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éky Recepty" sheetId="346" r:id="rId9"/>
    <sheet name="LRp Lékaři" sheetId="415" r:id="rId10"/>
    <sheet name="LRp Detail" sheetId="347" r:id="rId11"/>
    <sheet name="LRp PL" sheetId="388" r:id="rId12"/>
    <sheet name="LRp PL Detail" sheetId="390" r:id="rId13"/>
    <sheet name="Materiál Žádanky" sheetId="420" r:id="rId14"/>
    <sheet name="MŽ Detail" sheetId="403" r:id="rId15"/>
    <sheet name="Osobní náklady" sheetId="419" r:id="rId16"/>
    <sheet name="ON Data" sheetId="418" state="hidden" r:id="rId17"/>
    <sheet name="ZV Vykáz.-A" sheetId="344" r:id="rId18"/>
    <sheet name="ZV Vykáz.-A Detail" sheetId="345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8" hidden="1">'Léky Recepty'!$A$4:$M$4</definedName>
    <definedName name="_xlnm._FilterDatabase" localSheetId="6" hidden="1">'Léky Žádanky'!$A$4:$I$4</definedName>
    <definedName name="_xlnm._FilterDatabase" localSheetId="10" hidden="1">'LRp Detail'!$A$6:$U$6</definedName>
    <definedName name="_xlnm._FilterDatabase" localSheetId="9" hidden="1">'LRp Lékaři'!$A$4:$N$4</definedName>
    <definedName name="_xlnm._FilterDatabase" localSheetId="11" hidden="1">'LRp PL'!$A$3:$F$50</definedName>
    <definedName name="_xlnm._FilterDatabase" localSheetId="12" hidden="1">'LRp PL Detail'!$A$5:$M$1005</definedName>
    <definedName name="_xlnm._FilterDatabase" localSheetId="7" hidden="1">'LŽ Detail'!$A$4:$N$4</definedName>
    <definedName name="_xlnm._FilterDatabase" localSheetId="4" hidden="1">'Man Tab'!$A$5:$A$31</definedName>
    <definedName name="_xlnm._FilterDatabase" localSheetId="13" hidden="1">'Materiál Žádanky'!$A$4:$I$4</definedName>
    <definedName name="_xlnm._FilterDatabase" localSheetId="14" hidden="1">'MŽ Detail'!$A$4:$K$4</definedName>
    <definedName name="_xlnm._FilterDatabase" localSheetId="18" hidden="1">'ZV Vykáz.-A Detail'!$A$5:$P$5</definedName>
    <definedName name="_xlnm._FilterDatabase" localSheetId="20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8" i="383" l="1"/>
  <c r="A11" i="383"/>
  <c r="C14" i="414"/>
  <c r="D14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7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9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9" i="414"/>
  <c r="A18" i="414"/>
  <c r="A13" i="414"/>
  <c r="A10" i="414"/>
  <c r="A9" i="414"/>
  <c r="A7" i="414"/>
  <c r="A14" i="414"/>
  <c r="A4" i="414"/>
  <c r="A6" i="339" l="1"/>
  <c r="A5" i="339"/>
  <c r="D17" i="414"/>
  <c r="C17" i="414"/>
  <c r="D4" i="414"/>
  <c r="D10" i="414" l="1"/>
  <c r="C13" i="414" l="1"/>
  <c r="C7" i="414"/>
  <c r="D9" i="414" l="1"/>
  <c r="E9" i="414" s="1"/>
  <c r="E19" i="414"/>
  <c r="E18" i="414"/>
  <c r="E13" i="414"/>
  <c r="E7" i="414"/>
  <c r="E10" i="414"/>
  <c r="A14" i="383" l="1"/>
  <c r="A17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0" i="414"/>
  <c r="C20" i="414"/>
  <c r="Q3" i="347" l="1"/>
  <c r="S3" i="347"/>
  <c r="U3" i="347"/>
  <c r="F13" i="339"/>
  <c r="E13" i="339"/>
  <c r="E15" i="339" s="1"/>
  <c r="H12" i="339"/>
  <c r="G12" i="339"/>
  <c r="K3" i="390"/>
  <c r="A4" i="383"/>
  <c r="A26" i="383"/>
  <c r="A25" i="383"/>
  <c r="A24" i="383"/>
  <c r="A23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0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<sst xmlns="http://schemas.openxmlformats.org/spreadsheetml/2006/main" count="3075" uniqueCount="997">
  <si>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</si>
  <si>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</si>
  <si>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</si>
  <si>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</si>
  <si>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</si>
  <si>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</si>
  <si>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</si>
  <si>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</si>
  <si>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</si>
  <si>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</si>
  <si>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</si>
  <si>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</si>
  <si>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</si>
  <si>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</si>
  <si>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</si>
  <si>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</si>
  <si>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</si>
  <si>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</si>
  <si>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</si>
  <si>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</si>
  <si>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</si>
  <si>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</si>
  <si>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</si>
  <si>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</si>
  <si>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</si>
  <si>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</si>
  <si>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</si>
  <si>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</si>
  <si>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</si>
  <si>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</si>
  <si>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</si>
  <si>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</si>
  <si>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</si>
  <si>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</si>
  <si>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</si>
  <si>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</si>
  <si>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</si>
  <si>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</si>
  <si>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</si>
  <si>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</si>
  <si>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</si>
  <si>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</si>
  <si>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</si>
  <si>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</si>
  <si>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</si>
  <si>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</si>
  <si>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</si>
  <si>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</si>
  <si>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</si>
  <si>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</si>
  <si>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</si>
  <si>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</si>
  <si>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</si>
  <si>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</si>
  <si>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</si>
  <si>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</si>
  <si>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</si>
  <si>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</si>
  <si>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</si>
  <si>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</si>
  <si>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</si>
  <si>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</si>
  <si>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</si>
  <si>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</si>
  <si>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</si>
  <si>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</si>
  <si>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</si>
  <si>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</si>
  <si>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</si>
  <si>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</si>
  <si>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</si>
  <si>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</si>
  <si>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</si>
  <si>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</si>
  <si>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</si>
  <si>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</si>
  <si>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</si>
  <si>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</si>
  <si>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</si>
  <si>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</si>
  <si>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</si>
  <si>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</si>
  <si>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</si>
  <si>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</si>
  <si>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</si>
  <si>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</si>
  <si>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</si>
  <si>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</si>
  <si>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</si>
  <si>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</si>
  <si>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</si>
  <si>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</si>
  <si>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</si>
  <si>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</si>
  <si>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</si>
  <si>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</si>
  <si>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</si>
  <si>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</si>
  <si>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</si>
  <si>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</si>
  <si>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</si>
  <si>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</si>
  <si>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</si>
  <si>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</si>
  <si>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</si>
  <si>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</si>
  <si>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</si>
  <si>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</si>
  <si>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</si>
  <si>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</si>
  <si>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</si>
  <si>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</si>
  <si>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</si>
  <si>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</si>
  <si>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</si>
  <si>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</si>
  <si>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</si>
  <si>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</si>
  <si>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</si>
  <si>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</si>
  <si>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</si>
  <si>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</si>
  <si>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</si>
  <si>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</si>
  <si>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</si>
  <si>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</si>
  <si>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</si>
  <si>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</si>
  <si>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</si>
  <si>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</si>
  <si>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</si>
  <si>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</si>
  <si>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</si>
  <si>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</si>
  <si>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</si>
  <si>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</si>
  <si>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</si>
  <si>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</si>
  <si>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</si>
  <si>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</si>
  <si>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</si>
  <si>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</si>
  <si>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</si>
  <si>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</si>
  <si>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</si>
  <si>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</si>
  <si>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</si>
  <si>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</si>
  <si>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</si>
  <si>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</si>
  <si>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</si>
  <si>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</si>
  <si>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</si>
  <si>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</si>
  <si>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</si>
  <si>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</si>
  <si>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</si>
  <si>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</si>
  <si>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</si>
  <si>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</si>
  <si>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</si>
  <si>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</si>
  <si>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</si>
  <si>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</si>
  <si>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</si>
  <si>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</si>
  <si>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</si>
  <si>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</si>
  <si>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</si>
  <si>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</si>
  <si>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</si>
  <si>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</si>
  <si>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</si>
  <si>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</si>
  <si>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</si>
  <si>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</si>
  <si>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</si>
  <si>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</si>
  <si>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</si>
  <si>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</si>
  <si>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</si>
  <si>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</si>
  <si>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</si>
  <si>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</si>
  <si>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</si>
  <si>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</si>
  <si>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</si>
  <si>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</si>
  <si>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</si>
  <si>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</si>
  <si>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</si>
  <si>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</si>
  <si>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</si>
  <si>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</si>
  <si>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</si>
  <si>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</si>
  <si>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</si>
  <si>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</si>
  <si>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</si>
  <si>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</si>
  <si>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</si>
  <si>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</si>
  <si>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</si>
  <si>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</si>
  <si>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</si>
  <si>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</si>
  <si>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</si>
  <si>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</si>
  <si>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</si>
  <si>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</si>
  <si>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</si>
  <si>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</si>
  <si>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</si>
  <si>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</si>
  <si>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</si>
  <si>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</si>
  <si>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</si>
  <si>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</si>
  <si>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</si>
  <si>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</si>
  <si>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</si>
  <si>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</si>
  <si>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</si>
  <si>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</si>
  <si>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</si>
  <si>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</si>
  <si>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</si>
  <si>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</si>
  <si>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</si>
  <si>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</si>
  <si>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</si>
  <si>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</si>
  <si>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</si>
  <si>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</si>
  <si>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</si>
  <si>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</si>
  <si>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</si>
  <si>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</si>
  <si>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</si>
  <si>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</si>
  <si>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</si>
  <si>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</si>
  <si>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</si>
  <si>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</si>
  <si>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</si>
  <si>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</si>
  <si>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</si>
  <si>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</si>
  <si>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</si>
  <si>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</si>
  <si>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</si>
  <si>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</si>
  <si>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</si>
  <si>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</si>
  <si>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</si>
  <si>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</si>
  <si>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</si>
  <si>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</si>
  <si>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</si>
  <si>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</si>
  <si>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</si>
  <si>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</si>
  <si>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</si>
  <si>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</si>
  <si>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</si>
  <si>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</si>
  <si>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</si>
  <si>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</si>
  <si>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</si>
  <si>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</si>
  <si>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</si>
  <si>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</si>
  <si>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</si>
  <si>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</si>
  <si>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</si>
  <si>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</si>
  <si>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</si>
  <si>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</si>
  <si>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</si>
  <si>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</si>
  <si>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</si>
  <si>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</si>
  <si>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</si>
  <si>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</si>
  <si>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</si>
  <si>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</si>
  <si>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</si>
  <si>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</si>
  <si>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</si>
  <si>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</si>
  <si>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</si>
  <si>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</si>
  <si>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</si>
  <si>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</si>
  <si>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</si>
  <si>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</si>
  <si>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</si>
  <si>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</si>
  <si>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</si>
  <si>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</si>
  <si>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</si>
  <si>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</si>
  <si>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</si>
  <si>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</si>
  <si>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</si>
  <si>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</si>
  <si>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</si>
  <si>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</si>
  <si>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</si>
  <si>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</si>
  <si>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</si>
  <si>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</si>
  <si>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</si>
  <si>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</si>
  <si>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</si>
  <si>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</si>
  <si>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</si>
  <si>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</si>
  <si>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</si>
  <si>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</si>
  <si>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</si>
  <si>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</si>
  <si>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</si>
  <si>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</si>
  <si>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</si>
  <si>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</si>
  <si>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</si>
  <si>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</si>
  <si>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</si>
  <si>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</si>
  <si>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</si>
  <si>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</si>
  <si>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</si>
  <si>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</si>
  <si>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</si>
  <si>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</si>
  <si>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</si>
  <si>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</si>
  <si>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</si>
  <si>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</si>
  <si>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</si>
  <si>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</si>
  <si>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</si>
  <si>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</si>
  <si>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</si>
  <si>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</si>
  <si>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</si>
  <si>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</si>
  <si>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</si>
  <si>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</si>
  <si>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</si>
  <si>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</si>
  <si>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</si>
  <si>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</si>
  <si>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</si>
  <si>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</si>
  <si>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</si>
  <si>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</si>
  <si>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</si>
  <si>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</si>
  <si>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</si>
  <si>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</si>
  <si>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</si>
  <si>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</si>
  <si>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</si>
  <si>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</si>
  <si>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</si>
  <si>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</si>
  <si>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54999     Přípěvky a poplatky(daň.neúčinné)</t>
  </si>
  <si>
    <t>54999000     členské příspěvky a poplatky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</si>
  <si>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</si>
  <si>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</si>
  <si>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</si>
  <si>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</si>
  <si>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</si>
  <si>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</si>
  <si>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</si>
  <si>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</si>
  <si>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</si>
  <si>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</si>
  <si>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55804     DDHM - výpočetní technika</t>
  </si>
  <si>
    <t>55804080     DDHM - výpočetní technika (vecné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</si>
  <si>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</si>
  <si>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</si>
  <si>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</si>
  <si>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</si>
  <si>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</si>
  <si>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</si>
  <si>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</si>
  <si>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</si>
  <si>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</si>
  <si>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</si>
  <si>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</si>
  <si>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</si>
  <si>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</si>
  <si>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</si>
  <si>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</si>
  <si>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</si>
  <si>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</si>
  <si>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</si>
  <si>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</si>
  <si>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</si>
  <si>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</si>
  <si>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</si>
  <si>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</si>
  <si>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</si>
  <si>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</si>
  <si>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</si>
  <si>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</si>
  <si>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</si>
  <si>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</si>
  <si>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</si>
  <si>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</si>
  <si>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</si>
  <si>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</si>
  <si>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</si>
  <si>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</si>
  <si>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</si>
  <si>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</si>
  <si>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</si>
  <si>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64924460     foto při UZ a ost. služby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</si>
  <si>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</si>
  <si>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</si>
  <si>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</si>
  <si>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</si>
  <si>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</si>
  <si>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</si>
  <si>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</si>
  <si>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</si>
  <si>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</si>
  <si>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</si>
  <si>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</si>
  <si>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</si>
  <si>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</si>
  <si>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</si>
  <si>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</si>
  <si>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</si>
  <si>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</si>
  <si>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</si>
  <si>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79920000     mezistřediskové převody</t>
  </si>
  <si>
    <t>79950     VPN - správní režie</t>
  </si>
  <si>
    <t>79950001     režie HTS</t>
  </si>
  <si>
    <t>28</t>
  </si>
  <si>
    <t>Ústav lékařské genetiky a fetální medicíny</t>
  </si>
  <si>
    <t/>
  </si>
  <si>
    <t>Ústav lékařské genetiky a fetální medicíny Celkem</t>
  </si>
  <si>
    <t>SumaKL</t>
  </si>
  <si>
    <t>2801</t>
  </si>
  <si>
    <t>vedení klinického pracoviště</t>
  </si>
  <si>
    <t>vedení klinického pracoviště Celkem</t>
  </si>
  <si>
    <t>SumaNS</t>
  </si>
  <si>
    <t>mezeraNS</t>
  </si>
  <si>
    <t>2821</t>
  </si>
  <si>
    <t>ambulance</t>
  </si>
  <si>
    <t>ambulance Celkem</t>
  </si>
  <si>
    <t>2841</t>
  </si>
  <si>
    <t>laboratoř</t>
  </si>
  <si>
    <t>laboratoř Celkem</t>
  </si>
  <si>
    <t>50113001</t>
  </si>
  <si>
    <t>O</t>
  </si>
  <si>
    <t>47244</t>
  </si>
  <si>
    <t>GLUKÓZA 5 BRAUN</t>
  </si>
  <si>
    <t>INF SOL 10X500ML-PE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</si>
  <si>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</si>
  <si>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</si>
  <si>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</si>
  <si>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</si>
  <si>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</si>
  <si>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</si>
  <si>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</si>
  <si>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</si>
  <si>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</si>
  <si>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</si>
  <si>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</si>
  <si>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</si>
  <si>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395294</t>
  </si>
  <si>
    <t>180306</t>
  </si>
  <si>
    <t>TANTUM VERDE</t>
  </si>
  <si>
    <t>LIQ 1X240ML-PET TR</t>
  </si>
  <si>
    <t>849941</t>
  </si>
  <si>
    <t>162142</t>
  </si>
  <si>
    <t>PARALEN 500</t>
  </si>
  <si>
    <t>POR TBL NOB 24X500MG</t>
  </si>
  <si>
    <t>100394</t>
  </si>
  <si>
    <t>394</t>
  </si>
  <si>
    <t>ATROPIN BIOTIKA 1MG</t>
  </si>
  <si>
    <t>INJ 10X1ML/1MG</t>
  </si>
  <si>
    <t>111063</t>
  </si>
  <si>
    <t>11063</t>
  </si>
  <si>
    <t>IBALGIN 600 (IBUPROFEN 600)</t>
  </si>
  <si>
    <t>TBL OBD 30X600MG</t>
  </si>
  <si>
    <t>110555</t>
  </si>
  <si>
    <t>10555</t>
  </si>
  <si>
    <t>AQUA PRO INJECTIONE BRAUN</t>
  </si>
  <si>
    <t>INJ SOL 20X100ML-PE</t>
  </si>
  <si>
    <t>156926</t>
  </si>
  <si>
    <t>56926</t>
  </si>
  <si>
    <t>INJ SOL 20X10ML-PLA</t>
  </si>
  <si>
    <t>113403</t>
  </si>
  <si>
    <t>RHOPHYLAC 300 MIKROGRAMŮ/2 ML, INJEKČNÍ ROZTOK V P</t>
  </si>
  <si>
    <t>INJ SOL 1X2ML/300MCG</t>
  </si>
  <si>
    <t>901099</t>
  </si>
  <si>
    <t>IR KONTAKTNI GEL 3% 10 G</t>
  </si>
  <si>
    <t>IR 10g</t>
  </si>
  <si>
    <t>200863</t>
  </si>
  <si>
    <t>OPHTHALMO-SEPTONEX</t>
  </si>
  <si>
    <t>OPH GTT SOL 1X10ML PLAST</t>
  </si>
  <si>
    <t>51366</t>
  </si>
  <si>
    <t>CHLORID SODNÝ 0,9% BRAUN</t>
  </si>
  <si>
    <t>INF SOL 20X100MLPELAH</t>
  </si>
  <si>
    <t>395997</t>
  </si>
  <si>
    <t>DZ SOFTASEPT N BEZBARVÝ 250 ml</t>
  </si>
  <si>
    <t>930589</t>
  </si>
  <si>
    <t>KL ETHANOLUM BENZ.DENAT. 900 ml / 720g/</t>
  </si>
  <si>
    <t>UN 1170</t>
  </si>
  <si>
    <t>921227</t>
  </si>
  <si>
    <t>KL SOL.HYD.PEROX.20% 500g</t>
  </si>
  <si>
    <t>930443</t>
  </si>
  <si>
    <t>KL PERSTERIL 4% 1 kg HVLP</t>
  </si>
  <si>
    <t>UN 3149</t>
  </si>
  <si>
    <t>Ústav lékařské genetiky a fet.med.</t>
  </si>
  <si>
    <t>Ústav lékařské genetiky a fet.med., ambulance</t>
  </si>
  <si>
    <t>Ústav lékařské genetiky a fet.med., laboratoř</t>
  </si>
  <si>
    <t>Lékárna - léčiva</t>
  </si>
  <si>
    <t>HVLP</t>
  </si>
  <si>
    <t>89301282</t>
  </si>
  <si>
    <t>Ambulance odd.lékařské genetiky Celkem</t>
  </si>
  <si>
    <t>Ústav lékařské genetiky a fet.med. Celkem</t>
  </si>
  <si>
    <t>Godava Marek</t>
  </si>
  <si>
    <t>Hyjánek Jiří</t>
  </si>
  <si>
    <t>Aceklofenak</t>
  </si>
  <si>
    <t>160839</t>
  </si>
  <si>
    <t>BIOFENAC 100 MG POTAHOVANÉ TABLETY</t>
  </si>
  <si>
    <t>POR TBL FLM 60X100MG</t>
  </si>
  <si>
    <t>Aciklovir</t>
  </si>
  <si>
    <t>84128</t>
  </si>
  <si>
    <t>HERPESIN 400</t>
  </si>
  <si>
    <t>POR TBL NOB 25X400MG</t>
  </si>
  <si>
    <t>Azithromycin</t>
  </si>
  <si>
    <t>45010</t>
  </si>
  <si>
    <t>AZITROMYCIN SANDOZ 500 MG</t>
  </si>
  <si>
    <t>POR TBL FLM 3X500MG</t>
  </si>
  <si>
    <t>Hořčík (různé sole v kombinaci)</t>
  </si>
  <si>
    <t>66555</t>
  </si>
  <si>
    <t>MAGNOSOLV</t>
  </si>
  <si>
    <t>POR GRA SOL 30</t>
  </si>
  <si>
    <t>155936</t>
  </si>
  <si>
    <t>Alprazolam</t>
  </si>
  <si>
    <t>96977</t>
  </si>
  <si>
    <t>XANAX 1 MG</t>
  </si>
  <si>
    <t>POR TBL NOB 30X1MG</t>
  </si>
  <si>
    <t>Amoxicilin a enzymový inhibitor</t>
  </si>
  <si>
    <t>5951</t>
  </si>
  <si>
    <t>AMOKSIKLAV 1 G</t>
  </si>
  <si>
    <t>POR TBL FLM 14X1GM</t>
  </si>
  <si>
    <t>Atorvastatin</t>
  </si>
  <si>
    <t>93013</t>
  </si>
  <si>
    <t>SORTIS 10 MG</t>
  </si>
  <si>
    <t>POR TBL FLM 30X10MG</t>
  </si>
  <si>
    <t>Cetirizin</t>
  </si>
  <si>
    <t>99600</t>
  </si>
  <si>
    <t>ZODAC</t>
  </si>
  <si>
    <t>POR TBL FLM 90X10MG</t>
  </si>
  <si>
    <t>Indometacin</t>
  </si>
  <si>
    <t>93724</t>
  </si>
  <si>
    <t>INDOMETACIN 100 BERLIN-CHEMIE</t>
  </si>
  <si>
    <t>RCT SUP 10X100MG</t>
  </si>
  <si>
    <t>Nifuroxazid</t>
  </si>
  <si>
    <t>46405</t>
  </si>
  <si>
    <t>ERCEFURYL 200 MG CPS.</t>
  </si>
  <si>
    <t>POR CPS DUR 14X200MG</t>
  </si>
  <si>
    <t>Omeprazol</t>
  </si>
  <si>
    <t>132531</t>
  </si>
  <si>
    <t>HELICID 20</t>
  </si>
  <si>
    <t>POR CPS ETD 90X20MG</t>
  </si>
  <si>
    <t>Rosuvastatin</t>
  </si>
  <si>
    <t>148068</t>
  </si>
  <si>
    <t>ROSUCARD 10 MG POTAHOVANÉ TABLETY</t>
  </si>
  <si>
    <t>Sertralin</t>
  </si>
  <si>
    <t>107888</t>
  </si>
  <si>
    <t>APO-SERTRAL 100</t>
  </si>
  <si>
    <t>POR CPS DUR 30X100MG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</si>
  <si>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</si>
  <si>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</si>
  <si>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</si>
  <si>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</si>
  <si>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C10AA05 - Atorvastatin</t>
  </si>
  <si>
    <t>N06AB06 - Sertralin</t>
  </si>
  <si>
    <t>N05BA12 - Alprazolam</t>
  </si>
  <si>
    <t>C10AA07 - Rosuvastatin</t>
  </si>
  <si>
    <t>R06AE07 - Cetirizin</t>
  </si>
  <si>
    <t>J01CR02 - Amoxicilin a enzymový inhibitor</t>
  </si>
  <si>
    <t>J01FA10 - Azithromycin</t>
  </si>
  <si>
    <t>J01FA10</t>
  </si>
  <si>
    <t>C10AA05</t>
  </si>
  <si>
    <t>C10AA07</t>
  </si>
  <si>
    <t>J01CR02</t>
  </si>
  <si>
    <t>N05BA12</t>
  </si>
  <si>
    <t>N06AB06</t>
  </si>
  <si>
    <t>R06AE07</t>
  </si>
  <si>
    <t>Přehled plnění PL - Preskripce léčivých přípravků - orientační přehled</t>
  </si>
  <si>
    <t>50115063     ostatní ZPr - vaky, sety (sk.Z_528)</t>
  </si>
  <si>
    <t>ZA090</t>
  </si>
  <si>
    <t>Vata buničitá přířezy 37 x 57 cm 2730152</t>
  </si>
  <si>
    <t>ZA446</t>
  </si>
  <si>
    <t>Vata buničitá přířezy 20 x 30 cm 1230200129</t>
  </si>
  <si>
    <t>ZA571</t>
  </si>
  <si>
    <t>Mediset pro anestezii 4706312</t>
  </si>
  <si>
    <t>ZC100</t>
  </si>
  <si>
    <t>Vata buničitá dělená 2 role / 500 ks 40 x 50 mm 1230200310</t>
  </si>
  <si>
    <t>ZB006</t>
  </si>
  <si>
    <t>Teploměr digitální thermoval basic 9250391</t>
  </si>
  <si>
    <t>ZB755</t>
  </si>
  <si>
    <t>Zkumavka 1 ml K3 edta fialová 454034</t>
  </si>
  <si>
    <t>ZB756</t>
  </si>
  <si>
    <t>Zkumavka 3 ml K3 edta fialová 454086</t>
  </si>
  <si>
    <t>ZB758</t>
  </si>
  <si>
    <t>Zkumavka 9 ml K3 edta NR 455036</t>
  </si>
  <si>
    <t>ZB759</t>
  </si>
  <si>
    <t>Zkumavka červená 8 ml gel 455071</t>
  </si>
  <si>
    <t>ZB763</t>
  </si>
  <si>
    <t>Zkumavka červená 9 ml 455092</t>
  </si>
  <si>
    <t>ZB764</t>
  </si>
  <si>
    <t>Zkumavka zelená 4 ml 454051</t>
  </si>
  <si>
    <t>ZB771</t>
  </si>
  <si>
    <t>Držák jehly základní 450201</t>
  </si>
  <si>
    <t>ZB775</t>
  </si>
  <si>
    <t>Zkumavka koagulace 4 ml modrá 454328</t>
  </si>
  <si>
    <t>ZB777</t>
  </si>
  <si>
    <t>Zkumavka červená 4 ml gel 454071</t>
  </si>
  <si>
    <t>ZE159</t>
  </si>
  <si>
    <t>Nádoba na kontaminovaný odpad 2 l 15-0003</t>
  </si>
  <si>
    <t>ZE007</t>
  </si>
  <si>
    <t>Teploměr tyčinkový -10/+110°C 388 100 121 055</t>
  </si>
  <si>
    <t>ZB768</t>
  </si>
  <si>
    <t>Jehla vakuová 216/38 mm zelená 450076</t>
  </si>
  <si>
    <t>ZB288</t>
  </si>
  <si>
    <t>Jehla spinocan G20 88 mm žlutá 4509900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</si>
  <si>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</si>
  <si>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</si>
  <si>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</si>
  <si>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</si>
  <si>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</si>
  <si>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302926</t>
  </si>
  <si>
    <t>ZL072</t>
  </si>
  <si>
    <t>Rukavice operační gammex bez pudru PF EnLite vel. 7,0 353384</t>
  </si>
  <si>
    <t>ZA411</t>
  </si>
  <si>
    <t>Gáza přířezy 30 cm x 30 cm 17 nití 07004</t>
  </si>
  <si>
    <t>ZA557</t>
  </si>
  <si>
    <t>Kompresa gáza sterilní 10 x 20 cm / 5 ks 26013</t>
  </si>
  <si>
    <t>ZD104</t>
  </si>
  <si>
    <t>Náplast omniplast 10,0 cm x 10,0 m 9004472 (900535)</t>
  </si>
  <si>
    <t>ZA788</t>
  </si>
  <si>
    <t>Stříkačka injekční 2-dílná 20 ml L Inject Solo 4606205V</t>
  </si>
  <si>
    <t>ZA789</t>
  </si>
  <si>
    <t>Stříkačka injekční 2-dílná 2 ml L Inject Solo 4606027V</t>
  </si>
  <si>
    <t>ZB780</t>
  </si>
  <si>
    <t>Kontejner 120 ml sterilní 331690250350</t>
  </si>
  <si>
    <t>ZJ278</t>
  </si>
  <si>
    <t>Zkumavka PP 10 ml sterilní bal. á 200 ks 331690211500</t>
  </si>
  <si>
    <t>ZE961</t>
  </si>
  <si>
    <t>Strip Tubes and Caps 0,1ml  bal. á 250 ks 981103</t>
  </si>
  <si>
    <t>ZL467</t>
  </si>
  <si>
    <t>Stojan na zkumavky 190 x 90 x 52 mm 331840011183</t>
  </si>
  <si>
    <t>ZI304</t>
  </si>
  <si>
    <t xml:space="preserve">Elektroda do kapiláry 5914 </t>
  </si>
  <si>
    <t>ZA813</t>
  </si>
  <si>
    <t>Rotor adapters (10 x 24) elution tubes (1,5 ml) 990394</t>
  </si>
  <si>
    <t>ZC604</t>
  </si>
  <si>
    <t>Mikroampule 0,2 ml reaction tubes,8 x 125 ks N8010580</t>
  </si>
  <si>
    <t>ZI125</t>
  </si>
  <si>
    <t>Extension Tubes - 3 ml 19587</t>
  </si>
  <si>
    <t>ZF370</t>
  </si>
  <si>
    <t>Filtr syringe 0,22 um, pr. 33 mm á 40 ks 99722</t>
  </si>
  <si>
    <t>ZF477</t>
  </si>
  <si>
    <t>Destička pro přípravu vzorků do kapiláry 96-well PCR plate bal. á 100 ks 211-0283</t>
  </si>
  <si>
    <t>ZB070</t>
  </si>
  <si>
    <t>Filtr tips 1000ul (1024) 990352</t>
  </si>
  <si>
    <t>ZC831</t>
  </si>
  <si>
    <t>Sklo podložní mat. okraj 2501</t>
  </si>
  <si>
    <t>ZE719</t>
  </si>
  <si>
    <t>Špička pipetovací 0.5-10ul á 1000 ks 3110</t>
  </si>
  <si>
    <t>ZI560</t>
  </si>
  <si>
    <t>Špička žlutá dlouhá manžeta gilson 1 - 200 ul FLME28063</t>
  </si>
  <si>
    <t>ZA900</t>
  </si>
  <si>
    <t>Mikrozkumavka PCR 0,2 ml AB-0337</t>
  </si>
  <si>
    <t>ZC689</t>
  </si>
  <si>
    <t>Kádinka 100 ml vysoká sklo 632417012100</t>
  </si>
  <si>
    <t>ZE897</t>
  </si>
  <si>
    <t>Mikrozkumavka PCR 8 strip bez víček bal. á 125 ks 3426.8S</t>
  </si>
  <si>
    <t>ZL046</t>
  </si>
  <si>
    <t>Microtubes Clear 1.7 ml  bal. á 500 ks 7100</t>
  </si>
  <si>
    <t>ZC776</t>
  </si>
  <si>
    <t>Sklo podložní mat. MS7625011</t>
  </si>
  <si>
    <t>ZM043</t>
  </si>
  <si>
    <t>Mikrodestičky ABgene 0,8 ml Storage Plate 1bag of 50 plates 96-jamkové bal. á 50 ks AB-0859</t>
  </si>
  <si>
    <t>ZG352</t>
  </si>
  <si>
    <t>Špička pipetovací s filtrem 20ul á 1000 ks 30026</t>
  </si>
  <si>
    <t>ZB605</t>
  </si>
  <si>
    <t>Špička modrá krátká manžeta 1108</t>
  </si>
  <si>
    <t>ZF246</t>
  </si>
  <si>
    <t>96 wel clear flat top PCR mikroplate 40 ks 5610</t>
  </si>
  <si>
    <t>ZG351</t>
  </si>
  <si>
    <t>Špička pipetovací s filtrem 10ul á 1000 ks 30011</t>
  </si>
  <si>
    <t>ZF245</t>
  </si>
  <si>
    <t>SC Adapter BVS0120</t>
  </si>
  <si>
    <t>ZB857</t>
  </si>
  <si>
    <t>Kartáček na bukální stěr bal. á 100 ks MB 100 BR</t>
  </si>
  <si>
    <t>ZB788</t>
  </si>
  <si>
    <t>Špička s filtrem 20 ul bal. á 96 ks 96.10296.9.01</t>
  </si>
  <si>
    <t>ZK523</t>
  </si>
  <si>
    <t>Špičky s filtrem-Filter 10 ul clear racked10x69 sterile S3 bal. 960 ks BT10</t>
  </si>
  <si>
    <t>ZF670</t>
  </si>
  <si>
    <t xml:space="preserve">Kádinka 150 ml nízká s výlevkou sklo 632417010150 </t>
  </si>
  <si>
    <t>ZC528</t>
  </si>
  <si>
    <t>Filtr tips   200ul (1024) 990332</t>
  </si>
  <si>
    <t>ZA832</t>
  </si>
  <si>
    <t>Jehla injekční 0,9 x   40 mm žlutá 4657519</t>
  </si>
  <si>
    <t>ZI757</t>
  </si>
  <si>
    <t>Rukavice vinyl bez p. S á 100 ks EFEKTVR02</t>
  </si>
  <si>
    <t>ZK475</t>
  </si>
  <si>
    <t>Rukavice operační latexové s pudrem ansell medigrip plus vel. 7,0 302924</t>
  </si>
  <si>
    <t>ZL948</t>
  </si>
  <si>
    <t>Rukavice nitril promedica bez p. M bílé 6N á 100 ks 9399W3</t>
  </si>
  <si>
    <t>804536</t>
  </si>
  <si>
    <t xml:space="preserve">-Diagnostikum připr. </t>
  </si>
  <si>
    <t>500886</t>
  </si>
  <si>
    <t>-Roztok kolchicinu 0,2% (GEN) 100 ml</t>
  </si>
  <si>
    <t>920005</t>
  </si>
  <si>
    <t xml:space="preserve">-SORENS.PUFR PH 6,8 500ML (GEN) </t>
  </si>
  <si>
    <t>801631</t>
  </si>
  <si>
    <t xml:space="preserve">-PRIMER </t>
  </si>
  <si>
    <t>803815</t>
  </si>
  <si>
    <t>-SSC pufr 20x, pH=7 250 ml</t>
  </si>
  <si>
    <t>920001</t>
  </si>
  <si>
    <t>-PRACOVNI ROZTOK, 1L (GEN) 1000 ml</t>
  </si>
  <si>
    <t>920002</t>
  </si>
  <si>
    <t xml:space="preserve">-ROZTOK VERSENU 1L (GEN) </t>
  </si>
  <si>
    <t>920003</t>
  </si>
  <si>
    <t>-PBS PUFR 20X KONC,250ML (GEN) 250 ml</t>
  </si>
  <si>
    <t>DA447</t>
  </si>
  <si>
    <t>ViennaLab CF StripAssay 10t</t>
  </si>
  <si>
    <t>DD341</t>
  </si>
  <si>
    <t>METHANOL  P.A. 1000 ML</t>
  </si>
  <si>
    <t>801335</t>
  </si>
  <si>
    <t>-HCl 0,1 M 1000 ml, 500 ml</t>
  </si>
  <si>
    <t>DD659</t>
  </si>
  <si>
    <t>kyselina octová p.a.</t>
  </si>
  <si>
    <t>DG393</t>
  </si>
  <si>
    <t>Ethanol 96%</t>
  </si>
  <si>
    <t>DG227</t>
  </si>
  <si>
    <t>BENZEN p.a., 1L</t>
  </si>
  <si>
    <t>DC858</t>
  </si>
  <si>
    <t>PRIMER</t>
  </si>
  <si>
    <t>DA293</t>
  </si>
  <si>
    <t>SALSA MLPA EK1 reagent kit –100rxn -FAM</t>
  </si>
  <si>
    <t>DG143</t>
  </si>
  <si>
    <t>kyselina SIROVA P.A.</t>
  </si>
  <si>
    <t>DG399</t>
  </si>
  <si>
    <t>SALSA MLPA P250 DiGeorge probemix-25R</t>
  </si>
  <si>
    <t>DF483</t>
  </si>
  <si>
    <t>HotStarTaq DNA Polymerase (250)</t>
  </si>
  <si>
    <t>DG414</t>
  </si>
  <si>
    <t>SALSA MLPA kit P046-C1 TSC2 - 50rx</t>
  </si>
  <si>
    <t>DA548</t>
  </si>
  <si>
    <t>NanoPOP-7 polymer (10ml)</t>
  </si>
  <si>
    <t>DA982</t>
  </si>
  <si>
    <t>Chromosome Synchro P</t>
  </si>
  <si>
    <t>DA295</t>
  </si>
  <si>
    <t>SALSA MLPA P070 Hu Telomere-5 probemix 25rxn</t>
  </si>
  <si>
    <t>DB209</t>
  </si>
  <si>
    <t>Nucleo spin blood (240)</t>
  </si>
  <si>
    <t>DA810</t>
  </si>
  <si>
    <t>SALSA MLPA P343 Autism-1 probemix - 25 reactions</t>
  </si>
  <si>
    <t>DG229</t>
  </si>
  <si>
    <t>METHANOL P.A.</t>
  </si>
  <si>
    <t>DG404</t>
  </si>
  <si>
    <t>SALSA MLPA P018-F1 SHOX-50rxn</t>
  </si>
  <si>
    <t>DE371</t>
  </si>
  <si>
    <t>RPMI-1640 medium,w l-glutamine and s</t>
  </si>
  <si>
    <t>DE260</t>
  </si>
  <si>
    <t>AmnioGrow CE IVD</t>
  </si>
  <si>
    <t>DG534</t>
  </si>
  <si>
    <t>Xa Yc dual label  10 tests</t>
  </si>
  <si>
    <t>DG528</t>
  </si>
  <si>
    <t>Maxima Probe qPCR Master Mix,ROX Solution provided, 10x1,25ml(for 1000react.of 25ul</t>
  </si>
  <si>
    <t>DG535</t>
  </si>
  <si>
    <t>SHOX 5 tests</t>
  </si>
  <si>
    <t>DG536</t>
  </si>
  <si>
    <t>Alpha satellite 18 Green  5 tests</t>
  </si>
  <si>
    <t>DG533</t>
  </si>
  <si>
    <t>SNaPshot Multiplex Kit 100Reactions</t>
  </si>
  <si>
    <t>DG552</t>
  </si>
  <si>
    <t>Painting Probe 7 Green, 5 tests</t>
  </si>
  <si>
    <t>DG551</t>
  </si>
  <si>
    <t>Painting Probe 6 Red, 5 tests</t>
  </si>
  <si>
    <t>DA210</t>
  </si>
  <si>
    <t>FastAB Thermosens. Alk. Phosphatase 1000 u</t>
  </si>
  <si>
    <t>DA211</t>
  </si>
  <si>
    <t>Exonuclease I (Exo I) 4000 u</t>
  </si>
  <si>
    <t>DG553</t>
  </si>
  <si>
    <t>Telomere Probe 19p Red, 5 tests</t>
  </si>
  <si>
    <t>DG554</t>
  </si>
  <si>
    <t>Telomere Probe 19q Green, 5 tests</t>
  </si>
  <si>
    <t>DE825</t>
  </si>
  <si>
    <t>PCR H2O 15 ml</t>
  </si>
  <si>
    <t>DE452</t>
  </si>
  <si>
    <t>Flushing medium, 500 ml,CFLM-500</t>
  </si>
  <si>
    <t>DG588</t>
  </si>
  <si>
    <t>Qubit dsDNA BR Assay kit 500r</t>
  </si>
  <si>
    <t>DG585</t>
  </si>
  <si>
    <t>SALSA MLPA P002-C2 BRCA 1 probemix 100R</t>
  </si>
  <si>
    <t>DG606</t>
  </si>
  <si>
    <t>SALSA MLPA P311 CHD probemix - 50 reactions</t>
  </si>
  <si>
    <t>DG586</t>
  </si>
  <si>
    <t>GeneScan TM 120 LIZ</t>
  </si>
  <si>
    <t>DA624</t>
  </si>
  <si>
    <t>SALSA MLPA P106 MRX probemix 25rxn</t>
  </si>
  <si>
    <t>DG605</t>
  </si>
  <si>
    <t>SALSA PCR buffer, 480ul</t>
  </si>
  <si>
    <t>DG604</t>
  </si>
  <si>
    <t>SALSA Ligase-65, 115 ul</t>
  </si>
  <si>
    <t>DA956</t>
  </si>
  <si>
    <t>SALSA MLPA P297 Microdel.Syndr.-2 probemix 25rxn</t>
  </si>
  <si>
    <t>DC767</t>
  </si>
  <si>
    <t>POP4</t>
  </si>
  <si>
    <t>DD060</t>
  </si>
  <si>
    <t>FG,HI-DI FORMAMIDE 25 ml</t>
  </si>
  <si>
    <t>DC341</t>
  </si>
  <si>
    <t>PHYTOHAEMAGLUTININ REAGENT</t>
  </si>
  <si>
    <t>DC487</t>
  </si>
  <si>
    <t>KARYOMAX COLCEMID SOLUTION (CE LABEL)</t>
  </si>
  <si>
    <t>DD451</t>
  </si>
  <si>
    <t>UltraPure Glycogen 100 ul</t>
  </si>
  <si>
    <t>DD637</t>
  </si>
  <si>
    <t>GENESCAN 500 TAMRA</t>
  </si>
  <si>
    <t>DA292</t>
  </si>
  <si>
    <t>SALSA MLPA P245 Microdel.Syndr.-1 probemix 25rxn</t>
  </si>
  <si>
    <t>DG607</t>
  </si>
  <si>
    <t>SALSA MLPA P297 Microdel.Syndr.-2 probemix 50rxn</t>
  </si>
  <si>
    <t>DD567</t>
  </si>
  <si>
    <t>Running buffer w/EDTA 10x, 25ml</t>
  </si>
  <si>
    <t>DG639</t>
  </si>
  <si>
    <t>SE 12(D12Z3), 10testů, červená</t>
  </si>
  <si>
    <t>DA294</t>
  </si>
  <si>
    <t>SALSA MLPA P036 Hu Telomere-3 probemix 25rxn</t>
  </si>
  <si>
    <t>DG669</t>
  </si>
  <si>
    <t>HotStarTaq DNA Polymerase (1000 U) -DYNEX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</si>
  <si>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</si>
  <si>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</si>
  <si>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</si>
  <si>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</si>
  <si>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</si>
  <si>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</si>
  <si>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50115065</t>
  </si>
  <si>
    <t>530 SZM jehly (112 02 107)</t>
  </si>
  <si>
    <t>50115067</t>
  </si>
  <si>
    <t>532 SZM Rukavice (112 02 108)</t>
  </si>
  <si>
    <t>50115040</t>
  </si>
  <si>
    <t>505 SZM laboratorní sklo a materiál (112 02 140)</t>
  </si>
  <si>
    <t>50115020</t>
  </si>
  <si>
    <t>Diagnostika (132 03 001)</t>
  </si>
  <si>
    <t>Spotřeba zdravotnického materiálu - orientační přehled</t>
  </si>
  <si>
    <t>ON Data</t>
  </si>
  <si>
    <t>208 - Pracoviště lékařské genetiky</t>
  </si>
  <si>
    <t>301 - Pracoviště pediatrie</t>
  </si>
  <si>
    <t>603 - Pracoviště gynekologie a porodnictví</t>
  </si>
  <si>
    <t>816 - Laboratoř lékařské genetiky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</si>
  <si>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</si>
  <si>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</si>
  <si>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</si>
  <si>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</si>
  <si>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208</t>
  </si>
  <si>
    <t>1</t>
  </si>
  <si>
    <t>0015003</t>
  </si>
  <si>
    <t>IGAMAD 1500 I.U.</t>
  </si>
  <si>
    <t>0088353</t>
  </si>
  <si>
    <t>RHESONATIV 625 IU/ML</t>
  </si>
  <si>
    <t>0113403</t>
  </si>
  <si>
    <t>RHOPHYLAC 300 MIKROGRAMŮ/2 ML</t>
  </si>
  <si>
    <t>V</t>
  </si>
  <si>
    <t>09117</t>
  </si>
  <si>
    <t>ODBĚR KRVE ZE ŽÍLY U DÍTĚTĚ DO 10 LET</t>
  </si>
  <si>
    <t>09507</t>
  </si>
  <si>
    <t>PSYCHOTERAPIE PODPŮRNÁ PROVÁDĚNÁ LÉKAŘEM NEPSYCHIA</t>
  </si>
  <si>
    <t>09511</t>
  </si>
  <si>
    <t>MINIMÁLNÍ KONTAKT LÉKAŘE S PACIENTEM</t>
  </si>
  <si>
    <t>28021</t>
  </si>
  <si>
    <t>KLINICKO GENETICKÉ VYŠETŘENÍ KOMPLEXNÍ NAPLNĚNÉ ST</t>
  </si>
  <si>
    <t>28100</t>
  </si>
  <si>
    <t>TRANSPORT BIOLOGICKÉHO MATERIÁLU K VYŠETŘENÍ DO ZA</t>
  </si>
  <si>
    <t>28105</t>
  </si>
  <si>
    <t>GENETICKÉ HODNOCENÍ RIZIKA VROZENÝCH CHROMOSOMÁLNÍ</t>
  </si>
  <si>
    <t>09547</t>
  </si>
  <si>
    <t>REGULAČNÍ POPLATEK -- POJIŠTĚNEC OD ÚHRADY POPLATK</t>
  </si>
  <si>
    <t>28023</t>
  </si>
  <si>
    <t>KLINICKOGENETICKÉ VYŠETŘENÍ KONTROLNÍ</t>
  </si>
  <si>
    <t>09543</t>
  </si>
  <si>
    <t>REGULAČNÍ POPLATEK ZA NÁVŠTĚVU -- POPLATEK UHRAZEN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</si>
  <si>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</si>
  <si>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</si>
  <si>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</si>
  <si>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</si>
  <si>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</si>
  <si>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</si>
  <si>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</si>
  <si>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</si>
  <si>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</si>
  <si>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</si>
  <si>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09513</t>
  </si>
  <si>
    <t>TELEFONICKÁ KONZULTACE OŠETŘUJÍCÍHO LÉKAŘE PACIENT</t>
  </si>
  <si>
    <t>28103</t>
  </si>
  <si>
    <t>PŘÍPRAVA  BIOLOGICKÉHO MATERIÁLU PROBANDA K TRANSP</t>
  </si>
  <si>
    <t>301</t>
  </si>
  <si>
    <t>31023</t>
  </si>
  <si>
    <t>KONTROLNÍ VYŠETŘENÍ DĚTSKÝM LÉKAŘEM</t>
  </si>
  <si>
    <t>31022</t>
  </si>
  <si>
    <t>CÍLENÉ VYŠETŘENÍ DĚTSKÝM LÉKAŘEM</t>
  </si>
  <si>
    <t>31012</t>
  </si>
  <si>
    <t>603</t>
  </si>
  <si>
    <t>0088354</t>
  </si>
  <si>
    <t>32410</t>
  </si>
  <si>
    <t>SCREENINGOVÉ  PRENATÁLNÍ ECHOKARDIOGRAFICKÉ VYŠETŘ</t>
  </si>
  <si>
    <t>63319</t>
  </si>
  <si>
    <t>ODBĚR CHORIOVÝCH KLKŮ TRANSCERVIKÁLNÍM NEBO TRANSA</t>
  </si>
  <si>
    <t>63333</t>
  </si>
  <si>
    <t>SELEKTIVNÍ FETOCIDA TĚŽCE DEFEKTNÍHO PLODU U VÍCEČ</t>
  </si>
  <si>
    <t>63417</t>
  </si>
  <si>
    <t>ULTRASONOGRAFICKÉ VYŠETŘENÍ PÁNVE U GYNEKOLOGICKÝC</t>
  </si>
  <si>
    <t>89517</t>
  </si>
  <si>
    <t>UZ DUPLEXNÍ VYŠETŘENÍ DVOU A VÍCE CÉV, T. J. MORFO</t>
  </si>
  <si>
    <t>99991</t>
  </si>
  <si>
    <t>(VZP) KÓD POUZE PRO CENTRA DLE VYHL. 368/2006 - SL</t>
  </si>
  <si>
    <t>63415</t>
  </si>
  <si>
    <t xml:space="preserve">SUPERKONZILIÁRNÍ ULTRAZVUKOVÉ VYŠETŘENÍ V PRŮBĚHU </t>
  </si>
  <si>
    <t>89515</t>
  </si>
  <si>
    <t>UZ DUPLEXNÍ VYŠETŘENÍ POUZE JEDNÉ CÉVY, T. J. MORF</t>
  </si>
  <si>
    <t>63311</t>
  </si>
  <si>
    <t>ODBĚR PLODOVÉ VODY TRANSABDOMINÁLNÍ AMNIOCENTÉZOU</t>
  </si>
  <si>
    <t>32420</t>
  </si>
  <si>
    <t>SPECIALIZOVANÉ PRENATÁLNÍ  ECHOKARDIOGRAFICKÉ VYŠE</t>
  </si>
  <si>
    <t>63325</t>
  </si>
  <si>
    <t>TERAPEUTICKÁ PUNKCE DUTÝCH ORGÁNŮ PLODU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</si>
  <si>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</si>
  <si>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</si>
  <si>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</si>
  <si>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</si>
  <si>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</si>
  <si>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</si>
  <si>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IZOLACE A UCHOVÁNÍ LIDSKÉ DNA (RNA)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</si>
  <si>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</si>
  <si>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</si>
  <si>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</si>
  <si>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</si>
  <si>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</si>
  <si>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</si>
  <si>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94123</t>
  </si>
  <si>
    <t>PCR ANALÝZA LIDSKÉ DNA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</si>
  <si>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</si>
  <si>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</si>
  <si>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</si>
  <si>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</si>
  <si>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</si>
  <si>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</si>
  <si>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</si>
  <si>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</si>
  <si>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</si>
  <si>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</si>
  <si>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</si>
  <si>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</si>
  <si>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</si>
  <si>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</si>
  <si>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</si>
  <si>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</si>
  <si>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Zdravotní výkony + ZUM + ZULP vykázané na pracovišti v rámci ambulantní péče - orientační přehled</t>
  </si>
  <si>
    <t>03 - III. INTERNÍ  KLINIKA</t>
  </si>
  <si>
    <t>07 - KLINIKA ANESTEZIOLOGIE A RESUSCITACE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</si>
  <si>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</si>
  <si>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</si>
  <si>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</si>
  <si>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</si>
  <si>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</si>
  <si>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</si>
  <si>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</si>
  <si>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28 - ODDĚLENÍ LÉKAŘSKÉ GENETIKY</t>
  </si>
  <si>
    <t>50 - KARDIOCHIRURGICKÁ KLINIKA</t>
  </si>
  <si>
    <t>03</t>
  </si>
  <si>
    <t>07</t>
  </si>
  <si>
    <t>08</t>
  </si>
  <si>
    <t>09</t>
  </si>
  <si>
    <t>10</t>
  </si>
  <si>
    <t>16</t>
  </si>
  <si>
    <t>17</t>
  </si>
  <si>
    <t>20</t>
  </si>
  <si>
    <t>21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</si>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</sst>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65">
    <xf numFmtId="0" fontId="0" fillId="0" borderId="0" xfId="0"/>
    <xf numFmtId="0" fontId="28" fillId="2" borderId="16" xfId="81" applyFont="1" applyFill="1" applyBorder="1"/>
    <xf numFmtId="0" fontId="29" fillId="2" borderId="17" xfId="81" applyFont="1" applyFill="1" applyBorder="1"/>
    <xf numFmtId="3" fontId="29" fillId="2" borderId="18" xfId="81" applyNumberFormat="1" applyFont="1" applyFill="1" applyBorder="1"/>
    <xf numFmtId="0" fontId="29" fillId="4" borderId="17" xfId="81" applyFont="1" applyFill="1" applyBorder="1"/>
    <xf numFmtId="3" fontId="29" fillId="4" borderId="18" xfId="81" applyNumberFormat="1" applyFont="1" applyFill="1" applyBorder="1"/>
    <xf numFmtId="172" fontId="29" fillId="3" borderId="18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3" xfId="81" applyNumberFormat="1" applyFont="1" applyFill="1" applyBorder="1"/>
    <xf numFmtId="3" fontId="28" fillId="5" borderId="7" xfId="81" applyNumberFormat="1" applyFont="1" applyFill="1" applyBorder="1"/>
    <xf numFmtId="3" fontId="28" fillId="5" borderId="11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2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5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28" xfId="81" applyNumberFormat="1" applyFont="1" applyFill="1" applyBorder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9" xfId="81" applyNumberFormat="1" applyFont="1" applyFill="1" applyBorder="1"/>
    <xf numFmtId="3" fontId="28" fillId="5" borderId="12" xfId="81" applyNumberFormat="1" applyFont="1" applyFill="1" applyBorder="1"/>
    <xf numFmtId="3" fontId="28" fillId="5" borderId="13" xfId="81" applyNumberFormat="1" applyFont="1" applyFill="1" applyBorder="1"/>
    <xf numFmtId="3" fontId="29" fillId="2" borderId="26" xfId="81" applyNumberFormat="1" applyFont="1" applyFill="1" applyBorder="1"/>
    <xf numFmtId="3" fontId="29" fillId="2" borderId="19" xfId="81" applyNumberFormat="1" applyFont="1" applyFill="1" applyBorder="1"/>
    <xf numFmtId="3" fontId="29" fillId="4" borderId="26" xfId="81" applyNumberFormat="1" applyFont="1" applyFill="1" applyBorder="1"/>
    <xf numFmtId="3" fontId="29" fillId="4" borderId="19" xfId="81" applyNumberFormat="1" applyFont="1" applyFill="1" applyBorder="1"/>
    <xf numFmtId="172" fontId="29" fillId="3" borderId="26" xfId="81" applyNumberFormat="1" applyFont="1" applyFill="1" applyBorder="1"/>
    <xf numFmtId="172" fontId="29" fillId="3" borderId="19" xfId="81" applyNumberFormat="1" applyFont="1" applyFill="1" applyBorder="1"/>
    <xf numFmtId="0" fontId="32" fillId="2" borderId="24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6" xfId="78" applyNumberFormat="1" applyFont="1" applyFill="1" applyBorder="1" applyAlignment="1">
      <alignment horizontal="right"/>
    </xf>
    <xf numFmtId="9" fontId="29" fillId="0" borderId="26" xfId="78" applyNumberFormat="1" applyFont="1" applyFill="1" applyBorder="1" applyAlignment="1">
      <alignment horizontal="right"/>
    </xf>
    <xf numFmtId="3" fontId="29" fillId="0" borderId="19" xfId="78" applyNumberFormat="1" applyFont="1" applyFill="1" applyBorder="1" applyAlignment="1">
      <alignment horizontal="right"/>
    </xf>
    <xf numFmtId="0" fontId="33" fillId="0" borderId="42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31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2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0" xfId="79" applyNumberFormat="1" applyFont="1" applyFill="1" applyBorder="1"/>
    <xf numFmtId="9" fontId="3" fillId="0" borderId="40" xfId="79" applyNumberFormat="1" applyFont="1" applyFill="1" applyBorder="1"/>
    <xf numFmtId="9" fontId="3" fillId="0" borderId="41" xfId="79" applyNumberFormat="1" applyFont="1" applyFill="1" applyBorder="1"/>
    <xf numFmtId="0" fontId="3" fillId="0" borderId="35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6" xfId="79" applyFont="1" applyFill="1" applyBorder="1"/>
    <xf numFmtId="0" fontId="3" fillId="0" borderId="37" xfId="79" applyFont="1" applyFill="1" applyBorder="1"/>
    <xf numFmtId="165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29" xfId="0" applyFont="1" applyFill="1" applyBorder="1" applyAlignment="1"/>
    <xf numFmtId="0" fontId="33" fillId="0" borderId="30" xfId="0" applyFont="1" applyFill="1" applyBorder="1" applyAlignment="1"/>
    <xf numFmtId="0" fontId="33" fillId="0" borderId="60" xfId="0" applyFont="1" applyFill="1" applyBorder="1" applyAlignment="1"/>
    <xf numFmtId="0" fontId="29" fillId="2" borderId="25" xfId="78" applyFont="1" applyFill="1" applyBorder="1" applyAlignment="1">
      <alignment horizontal="right"/>
    </xf>
    <xf numFmtId="3" fontId="29" fillId="2" borderId="5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22" xfId="80" applyFont="1" applyFill="1" applyBorder="1"/>
    <xf numFmtId="0" fontId="3" fillId="2" borderId="21" xfId="80" applyFont="1" applyFill="1" applyBorder="1"/>
    <xf numFmtId="0" fontId="3" fillId="2" borderId="39" xfId="79" applyFont="1" applyFill="1" applyBorder="1"/>
    <xf numFmtId="0" fontId="3" fillId="2" borderId="38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4" xfId="0" applyFont="1" applyBorder="1" applyAlignment="1"/>
    <xf numFmtId="0" fontId="33" fillId="5" borderId="5" xfId="0" applyFont="1" applyFill="1" applyBorder="1"/>
    <xf numFmtId="0" fontId="33" fillId="5" borderId="9" xfId="0" applyFont="1" applyFill="1" applyBorder="1"/>
    <xf numFmtId="0" fontId="33" fillId="5" borderId="21" xfId="0" applyFont="1" applyFill="1" applyBorder="1"/>
    <xf numFmtId="0" fontId="33" fillId="5" borderId="42" xfId="0" applyFont="1" applyFill="1" applyBorder="1"/>
    <xf numFmtId="0" fontId="33" fillId="5" borderId="48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1" xfId="0" applyNumberFormat="1" applyFont="1" applyFill="1" applyBorder="1" applyAlignment="1">
      <alignment horizontal="right" vertical="top"/>
    </xf>
    <xf numFmtId="3" fontId="32" fillId="0" borderId="28" xfId="53" applyNumberFormat="1" applyFont="1" applyFill="1" applyBorder="1"/>
    <xf numFmtId="3" fontId="32" fillId="0" borderId="24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8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48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4" xfId="74" applyFont="1" applyFill="1" applyBorder="1" applyAlignment="1">
      <alignment horizontal="center"/>
    </xf>
    <xf numFmtId="0" fontId="28" fillId="5" borderId="42" xfId="81" applyFont="1" applyFill="1" applyBorder="1"/>
    <xf numFmtId="0" fontId="32" fillId="2" borderId="22" xfId="81" applyFont="1" applyFill="1" applyBorder="1" applyAlignment="1">
      <alignment horizontal="center"/>
    </xf>
    <xf numFmtId="0" fontId="32" fillId="2" borderId="21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6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8" xfId="0" applyNumberFormat="1" applyFont="1" applyFill="1" applyBorder="1"/>
    <xf numFmtId="3" fontId="33" fillId="0" borderId="23" xfId="0" applyNumberFormat="1" applyFont="1" applyFill="1" applyBorder="1"/>
    <xf numFmtId="3" fontId="33" fillId="0" borderId="7" xfId="0" applyNumberFormat="1" applyFont="1" applyFill="1" applyBorder="1"/>
    <xf numFmtId="3" fontId="33" fillId="0" borderId="8" xfId="0" applyNumberFormat="1" applyFont="1" applyFill="1" applyBorder="1"/>
    <xf numFmtId="3" fontId="33" fillId="0" borderId="11" xfId="0" applyNumberFormat="1" applyFont="1" applyFill="1" applyBorder="1"/>
    <xf numFmtId="3" fontId="33" fillId="0" borderId="12" xfId="0" applyNumberFormat="1" applyFont="1" applyFill="1" applyBorder="1"/>
    <xf numFmtId="9" fontId="33" fillId="0" borderId="24" xfId="0" applyNumberFormat="1" applyFont="1" applyFill="1" applyBorder="1"/>
    <xf numFmtId="9" fontId="33" fillId="0" borderId="9" xfId="0" applyNumberFormat="1" applyFont="1" applyFill="1" applyBorder="1"/>
    <xf numFmtId="9" fontId="33" fillId="0" borderId="13" xfId="0" applyNumberFormat="1" applyFont="1" applyFill="1" applyBorder="1"/>
    <xf numFmtId="9" fontId="29" fillId="2" borderId="19" xfId="81" applyNumberFormat="1" applyFont="1" applyFill="1" applyBorder="1"/>
    <xf numFmtId="9" fontId="29" fillId="4" borderId="19" xfId="81" applyNumberFormat="1" applyFont="1" applyFill="1" applyBorder="1"/>
    <xf numFmtId="9" fontId="29" fillId="3" borderId="19" xfId="81" applyNumberFormat="1" applyFont="1" applyFill="1" applyBorder="1"/>
    <xf numFmtId="0" fontId="32" fillId="2" borderId="20" xfId="81" applyFont="1" applyFill="1" applyBorder="1" applyAlignment="1">
      <alignment horizontal="center"/>
    </xf>
    <xf numFmtId="49" fontId="38" fillId="2" borderId="8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8" xfId="0" applyFont="1" applyFill="1" applyBorder="1" applyAlignment="1"/>
    <xf numFmtId="0" fontId="33" fillId="0" borderId="0" xfId="0" applyFont="1" applyFill="1" applyAlignment="1"/>
    <xf numFmtId="0" fontId="46" fillId="4" borderId="32" xfId="1" applyFont="1" applyFill="1" applyBorder="1"/>
    <xf numFmtId="0" fontId="46" fillId="4" borderId="16" xfId="1" applyFont="1" applyFill="1" applyBorder="1"/>
    <xf numFmtId="0" fontId="46" fillId="3" borderId="17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165" fontId="32" fillId="2" borderId="23" xfId="53" applyNumberFormat="1" applyFont="1" applyFill="1" applyBorder="1" applyAlignment="1">
      <alignment horizontal="right"/>
    </xf>
    <xf numFmtId="0" fontId="3" fillId="2" borderId="28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7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58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1" xfId="0" applyNumberFormat="1" applyFont="1" applyFill="1" applyBorder="1"/>
    <xf numFmtId="3" fontId="40" fillId="2" borderId="53" xfId="0" applyNumberFormat="1" applyFont="1" applyFill="1" applyBorder="1"/>
    <xf numFmtId="9" fontId="40" fillId="2" borderId="59" xfId="0" applyNumberFormat="1" applyFont="1" applyFill="1" applyBorder="1"/>
    <xf numFmtId="0" fontId="50" fillId="2" borderId="17" xfId="1" applyFont="1" applyFill="1" applyBorder="1" applyAlignment="1"/>
    <xf numFmtId="0" fontId="33" fillId="2" borderId="27" xfId="0" applyFont="1" applyFill="1" applyBorder="1" applyAlignment="1"/>
    <xf numFmtId="3" fontId="33" fillId="2" borderId="26" xfId="0" applyNumberFormat="1" applyFont="1" applyFill="1" applyBorder="1" applyAlignment="1"/>
    <xf numFmtId="9" fontId="33" fillId="2" borderId="19" xfId="0" applyNumberFormat="1" applyFont="1" applyFill="1" applyBorder="1" applyAlignment="1"/>
    <xf numFmtId="0" fontId="40" fillId="2" borderId="56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9" xfId="0" applyNumberFormat="1" applyFont="1" applyBorder="1" applyAlignment="1"/>
    <xf numFmtId="0" fontId="30" fillId="2" borderId="33" xfId="1" applyFont="1" applyFill="1" applyBorder="1" applyAlignment="1">
      <alignment horizontal="left" indent="2"/>
    </xf>
    <xf numFmtId="0" fontId="33" fillId="0" borderId="10" xfId="0" applyFont="1" applyBorder="1" applyAlignment="1"/>
    <xf numFmtId="3" fontId="33" fillId="0" borderId="8" xfId="0" applyNumberFormat="1" applyFont="1" applyBorder="1" applyAlignment="1"/>
    <xf numFmtId="0" fontId="46" fillId="2" borderId="33" xfId="1" applyFont="1" applyFill="1" applyBorder="1" applyAlignment="1">
      <alignment horizontal="left" indent="4"/>
    </xf>
    <xf numFmtId="9" fontId="33" fillId="0" borderId="8" xfId="0" applyNumberFormat="1" applyFont="1" applyBorder="1" applyAlignment="1"/>
    <xf numFmtId="0" fontId="33" fillId="2" borderId="33" xfId="0" applyFont="1" applyFill="1" applyBorder="1" applyAlignment="1">
      <alignment horizontal="left" indent="2"/>
    </xf>
    <xf numFmtId="0" fontId="32" fillId="2" borderId="33" xfId="1" applyFont="1" applyFill="1" applyBorder="1" applyAlignment="1"/>
    <xf numFmtId="0" fontId="46" fillId="2" borderId="33" xfId="1" applyFont="1" applyFill="1" applyBorder="1" applyAlignment="1">
      <alignment horizontal="left" indent="2"/>
    </xf>
    <xf numFmtId="0" fontId="50" fillId="2" borderId="33" xfId="1" applyFont="1" applyFill="1" applyBorder="1" applyAlignment="1"/>
    <xf numFmtId="0" fontId="33" fillId="0" borderId="31" xfId="0" applyFont="1" applyBorder="1" applyAlignment="1"/>
    <xf numFmtId="3" fontId="33" fillId="0" borderId="22" xfId="0" applyNumberFormat="1" applyFont="1" applyBorder="1" applyAlignment="1"/>
    <xf numFmtId="9" fontId="33" fillId="0" borderId="21" xfId="0" applyNumberFormat="1" applyFont="1" applyBorder="1" applyAlignment="1"/>
    <xf numFmtId="0" fontId="40" fillId="0" borderId="42" xfId="0" applyFont="1" applyFill="1" applyBorder="1" applyAlignment="1">
      <alignment horizontal="left" indent="2"/>
    </xf>
    <xf numFmtId="0" fontId="33" fillId="0" borderId="42" xfId="0" applyFont="1" applyBorder="1" applyAlignment="1"/>
    <xf numFmtId="3" fontId="33" fillId="0" borderId="42" xfId="0" applyNumberFormat="1" applyFont="1" applyBorder="1" applyAlignment="1"/>
    <xf numFmtId="9" fontId="33" fillId="0" borderId="42" xfId="0" applyNumberFormat="1" applyFont="1" applyBorder="1" applyAlignment="1"/>
    <xf numFmtId="0" fontId="50" fillId="4" borderId="17" xfId="1" applyFont="1" applyFill="1" applyBorder="1" applyAlignment="1">
      <alignment horizontal="left"/>
    </xf>
    <xf numFmtId="0" fontId="33" fillId="4" borderId="27" xfId="0" applyFont="1" applyFill="1" applyBorder="1" applyAlignment="1"/>
    <xf numFmtId="3" fontId="33" fillId="4" borderId="26" xfId="0" applyNumberFormat="1" applyFont="1" applyFill="1" applyBorder="1" applyAlignment="1"/>
    <xf numFmtId="9" fontId="33" fillId="4" borderId="19" xfId="0" applyNumberFormat="1" applyFont="1" applyFill="1" applyBorder="1" applyAlignment="1"/>
    <xf numFmtId="0" fontId="50" fillId="4" borderId="56" xfId="1" applyFont="1" applyFill="1" applyBorder="1" applyAlignment="1">
      <alignment horizontal="left"/>
    </xf>
    <xf numFmtId="0" fontId="46" fillId="4" borderId="33" xfId="1" applyFont="1" applyFill="1" applyBorder="1" applyAlignment="1">
      <alignment horizontal="left" indent="2"/>
    </xf>
    <xf numFmtId="0" fontId="50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8" xfId="0" applyNumberFormat="1" applyFont="1" applyBorder="1" applyAlignment="1"/>
    <xf numFmtId="0" fontId="40" fillId="3" borderId="17" xfId="0" applyFont="1" applyFill="1" applyBorder="1" applyAlignment="1"/>
    <xf numFmtId="0" fontId="33" fillId="3" borderId="27" xfId="0" applyFont="1" applyFill="1" applyBorder="1" applyAlignment="1"/>
    <xf numFmtId="3" fontId="33" fillId="3" borderId="26" xfId="0" applyNumberFormat="1" applyFont="1" applyFill="1" applyBorder="1" applyAlignment="1"/>
    <xf numFmtId="9" fontId="33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2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5" xfId="0" applyFont="1" applyFill="1" applyBorder="1" applyAlignment="1">
      <alignment horizontal="right"/>
    </xf>
    <xf numFmtId="170" fontId="40" fillId="0" borderId="18" xfId="0" applyNumberFormat="1" applyFont="1" applyFill="1" applyBorder="1" applyAlignment="1"/>
    <xf numFmtId="170" fontId="40" fillId="0" borderId="26" xfId="0" applyNumberFormat="1" applyFont="1" applyFill="1" applyBorder="1" applyAlignment="1"/>
    <xf numFmtId="9" fontId="40" fillId="0" borderId="19" xfId="0" applyNumberFormat="1" applyFont="1" applyFill="1" applyBorder="1" applyAlignment="1"/>
    <xf numFmtId="170" fontId="40" fillId="0" borderId="27" xfId="0" applyNumberFormat="1" applyFont="1" applyFill="1" applyBorder="1" applyAlignment="1"/>
    <xf numFmtId="9" fontId="40" fillId="0" borderId="50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8" xfId="0" applyNumberFormat="1" applyFont="1" applyFill="1" applyBorder="1" applyAlignment="1"/>
    <xf numFmtId="9" fontId="33" fillId="0" borderId="48" xfId="0" applyNumberFormat="1" applyFont="1" applyFill="1" applyBorder="1" applyAlignment="1"/>
    <xf numFmtId="3" fontId="0" fillId="0" borderId="0" xfId="0" applyNumberFormat="1"/>
    <xf numFmtId="3" fontId="0" fillId="7" borderId="72" xfId="0" applyNumberFormat="1" applyFont="1" applyFill="1" applyBorder="1"/>
    <xf numFmtId="3" fontId="53" fillId="8" borderId="73" xfId="0" applyNumberFormat="1" applyFont="1" applyFill="1" applyBorder="1"/>
    <xf numFmtId="3" fontId="53" fillId="8" borderId="7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6" xfId="0" applyNumberFormat="1" applyFont="1" applyFill="1" applyBorder="1" applyAlignment="1">
      <alignment horizontal="center" vertical="center"/>
    </xf>
    <xf numFmtId="0" fontId="40" fillId="2" borderId="77" xfId="0" applyFont="1" applyFill="1" applyBorder="1" applyAlignment="1">
      <alignment horizontal="center" vertical="center"/>
    </xf>
    <xf numFmtId="3" fontId="55" fillId="2" borderId="79" xfId="0" applyNumberFormat="1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40" fillId="2" borderId="82" xfId="0" applyFont="1" applyFill="1" applyBorder="1" applyAlignment="1"/>
    <xf numFmtId="0" fontId="40" fillId="2" borderId="84" xfId="0" applyFont="1" applyFill="1" applyBorder="1" applyAlignment="1">
      <alignment horizontal="left" indent="1"/>
    </xf>
    <xf numFmtId="0" fontId="40" fillId="2" borderId="90" xfId="0" applyFont="1" applyFill="1" applyBorder="1" applyAlignment="1">
      <alignment horizontal="left" indent="1"/>
    </xf>
    <xf numFmtId="0" fontId="40" fillId="4" borderId="82" xfId="0" applyFont="1" applyFill="1" applyBorder="1" applyAlignment="1"/>
    <xf numFmtId="0" fontId="40" fillId="4" borderId="84" xfId="0" applyFont="1" applyFill="1" applyBorder="1" applyAlignment="1">
      <alignment horizontal="left" indent="1"/>
    </xf>
    <xf numFmtId="0" fontId="40" fillId="4" borderId="95" xfId="0" applyFont="1" applyFill="1" applyBorder="1" applyAlignment="1">
      <alignment horizontal="left" indent="1"/>
    </xf>
    <xf numFmtId="0" fontId="33" fillId="2" borderId="84" xfId="0" quotePrefix="1" applyFont="1" applyFill="1" applyBorder="1" applyAlignment="1">
      <alignment horizontal="left" indent="2"/>
    </xf>
    <xf numFmtId="0" fontId="33" fillId="2" borderId="90" xfId="0" quotePrefix="1" applyFont="1" applyFill="1" applyBorder="1" applyAlignment="1">
      <alignment horizontal="left" indent="2"/>
    </xf>
    <xf numFmtId="0" fontId="40" fillId="2" borderId="82" xfId="0" applyFont="1" applyFill="1" applyBorder="1" applyAlignment="1">
      <alignment horizontal="left" indent="1"/>
    </xf>
    <xf numFmtId="0" fontId="40" fillId="2" borderId="95" xfId="0" applyFont="1" applyFill="1" applyBorder="1" applyAlignment="1">
      <alignment horizontal="left" indent="1"/>
    </xf>
    <xf numFmtId="0" fontId="40" fillId="4" borderId="90" xfId="0" applyFont="1" applyFill="1" applyBorder="1" applyAlignment="1">
      <alignment horizontal="left" indent="1"/>
    </xf>
    <xf numFmtId="0" fontId="33" fillId="0" borderId="100" xfId="0" applyFont="1" applyBorder="1"/>
    <xf numFmtId="3" fontId="33" fillId="0" borderId="100" xfId="0" applyNumberFormat="1" applyFont="1" applyBorder="1"/>
    <xf numFmtId="0" fontId="40" fillId="4" borderId="74" xfId="0" applyFont="1" applyFill="1" applyBorder="1" applyAlignment="1">
      <alignment horizontal="center" vertical="center"/>
    </xf>
    <xf numFmtId="0" fontId="40" fillId="4" borderId="60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99" xfId="0" applyNumberFormat="1" applyFont="1" applyFill="1" applyBorder="1" applyAlignment="1">
      <alignment horizontal="center" vertical="center"/>
    </xf>
    <xf numFmtId="3" fontId="55" fillId="2" borderId="97" xfId="0" applyNumberFormat="1" applyFont="1" applyFill="1" applyBorder="1" applyAlignment="1">
      <alignment horizontal="center" vertical="center" wrapText="1"/>
    </xf>
    <xf numFmtId="174" fontId="40" fillId="4" borderId="83" xfId="0" applyNumberFormat="1" applyFont="1" applyFill="1" applyBorder="1" applyAlignment="1"/>
    <xf numFmtId="174" fontId="40" fillId="4" borderId="76" xfId="0" applyNumberFormat="1" applyFont="1" applyFill="1" applyBorder="1" applyAlignment="1"/>
    <xf numFmtId="174" fontId="40" fillId="4" borderId="77" xfId="0" applyNumberFormat="1" applyFont="1" applyFill="1" applyBorder="1" applyAlignment="1"/>
    <xf numFmtId="174" fontId="40" fillId="0" borderId="85" xfId="0" applyNumberFormat="1" applyFont="1" applyBorder="1"/>
    <xf numFmtId="174" fontId="33" fillId="0" borderId="89" xfId="0" applyNumberFormat="1" applyFont="1" applyBorder="1"/>
    <xf numFmtId="174" fontId="33" fillId="0" borderId="87" xfId="0" applyNumberFormat="1" applyFont="1" applyBorder="1"/>
    <xf numFmtId="174" fontId="40" fillId="0" borderId="96" xfId="0" applyNumberFormat="1" applyFont="1" applyBorder="1"/>
    <xf numFmtId="174" fontId="33" fillId="0" borderId="97" xfId="0" applyNumberFormat="1" applyFont="1" applyBorder="1"/>
    <xf numFmtId="174" fontId="33" fillId="0" borderId="80" xfId="0" applyNumberFormat="1" applyFont="1" applyBorder="1"/>
    <xf numFmtId="174" fontId="40" fillId="2" borderId="98" xfId="0" applyNumberFormat="1" applyFont="1" applyFill="1" applyBorder="1" applyAlignment="1"/>
    <xf numFmtId="174" fontId="40" fillId="2" borderId="76" xfId="0" applyNumberFormat="1" applyFont="1" applyFill="1" applyBorder="1" applyAlignment="1"/>
    <xf numFmtId="174" fontId="40" fillId="2" borderId="77" xfId="0" applyNumberFormat="1" applyFont="1" applyFill="1" applyBorder="1" applyAlignment="1"/>
    <xf numFmtId="174" fontId="40" fillId="0" borderId="91" xfId="0" applyNumberFormat="1" applyFont="1" applyBorder="1"/>
    <xf numFmtId="174" fontId="33" fillId="0" borderId="92" xfId="0" applyNumberFormat="1" applyFont="1" applyBorder="1"/>
    <xf numFmtId="174" fontId="33" fillId="0" borderId="93" xfId="0" applyNumberFormat="1" applyFont="1" applyBorder="1"/>
    <xf numFmtId="174" fontId="40" fillId="0" borderId="83" xfId="0" applyNumberFormat="1" applyFont="1" applyBorder="1"/>
    <xf numFmtId="174" fontId="33" fillId="0" borderId="99" xfId="0" applyNumberFormat="1" applyFont="1" applyBorder="1"/>
    <xf numFmtId="174" fontId="33" fillId="0" borderId="77" xfId="0" applyNumberFormat="1" applyFont="1" applyBorder="1"/>
    <xf numFmtId="175" fontId="40" fillId="2" borderId="83" xfId="0" applyNumberFormat="1" applyFont="1" applyFill="1" applyBorder="1" applyAlignment="1"/>
    <xf numFmtId="175" fontId="33" fillId="2" borderId="76" xfId="0" applyNumberFormat="1" applyFont="1" applyFill="1" applyBorder="1" applyAlignment="1"/>
    <xf numFmtId="175" fontId="33" fillId="2" borderId="77" xfId="0" applyNumberFormat="1" applyFont="1" applyFill="1" applyBorder="1" applyAlignment="1"/>
    <xf numFmtId="175" fontId="40" fillId="0" borderId="85" xfId="0" applyNumberFormat="1" applyFont="1" applyBorder="1"/>
    <xf numFmtId="175" fontId="33" fillId="0" borderId="86" xfId="0" applyNumberFormat="1" applyFont="1" applyBorder="1"/>
    <xf numFmtId="175" fontId="33" fillId="0" borderId="87" xfId="0" applyNumberFormat="1" applyFont="1" applyBorder="1"/>
    <xf numFmtId="175" fontId="33" fillId="0" borderId="89" xfId="0" applyNumberFormat="1" applyFont="1" applyBorder="1"/>
    <xf numFmtId="175" fontId="40" fillId="0" borderId="91" xfId="0" applyNumberFormat="1" applyFont="1" applyBorder="1"/>
    <xf numFmtId="175" fontId="33" fillId="0" borderId="92" xfId="0" applyNumberFormat="1" applyFont="1" applyBorder="1"/>
    <xf numFmtId="175" fontId="33" fillId="0" borderId="9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4" fontId="40" fillId="4" borderId="83" xfId="0" applyNumberFormat="1" applyFont="1" applyFill="1" applyBorder="1" applyAlignment="1">
      <alignment horizontal="center"/>
    </xf>
    <xf numFmtId="176" fontId="40" fillId="0" borderId="91" xfId="0" applyNumberFormat="1" applyFont="1" applyBorder="1"/>
    <xf numFmtId="0" fontId="32" fillId="2" borderId="105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30" fillId="5" borderId="0" xfId="74" applyFont="1" applyFill="1" applyAlignment="1">
      <alignment horizontal="center"/>
    </xf>
    <xf numFmtId="0" fontId="40" fillId="3" borderId="25" xfId="0" applyFont="1" applyFill="1" applyBorder="1" applyAlignment="1"/>
    <xf numFmtId="0" fontId="33" fillId="0" borderId="43" xfId="0" applyFont="1" applyBorder="1" applyAlignment="1"/>
    <xf numFmtId="0" fontId="40" fillId="2" borderId="25" xfId="0" applyFont="1" applyFill="1" applyBorder="1" applyAlignment="1"/>
    <xf numFmtId="0" fontId="40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5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44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3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105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3" xfId="53" applyNumberFormat="1" applyFont="1" applyFill="1" applyBorder="1" applyAlignment="1">
      <alignment horizontal="right"/>
    </xf>
    <xf numFmtId="165" fontId="30" fillId="2" borderId="28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1" xfId="78" applyNumberFormat="1" applyFont="1" applyFill="1" applyBorder="1" applyAlignment="1">
      <alignment horizontal="left"/>
    </xf>
    <xf numFmtId="0" fontId="33" fillId="2" borderId="52" xfId="0" applyFont="1" applyFill="1" applyBorder="1" applyAlignment="1"/>
    <xf numFmtId="3" fontId="29" fillId="2" borderId="54" xfId="78" applyNumberFormat="1" applyFont="1" applyFill="1" applyBorder="1" applyAlignment="1"/>
    <xf numFmtId="0" fontId="40" fillId="2" borderId="61" xfId="0" applyFont="1" applyFill="1" applyBorder="1" applyAlignment="1">
      <alignment horizontal="left"/>
    </xf>
    <xf numFmtId="0" fontId="33" fillId="2" borderId="48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40" fillId="2" borderId="54" xfId="0" applyFont="1" applyFill="1" applyBorder="1" applyAlignment="1">
      <alignment horizontal="left"/>
    </xf>
    <xf numFmtId="3" fontId="40" fillId="2" borderId="54" xfId="0" applyNumberFormat="1" applyFont="1" applyFill="1" applyBorder="1" applyAlignment="1">
      <alignment horizontal="left"/>
    </xf>
    <xf numFmtId="3" fontId="33" fillId="2" borderId="49" xfId="0" applyNumberFormat="1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23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55" xfId="80" applyFont="1" applyFill="1" applyBorder="1" applyAlignment="1">
      <alignment horizontal="left"/>
    </xf>
    <xf numFmtId="0" fontId="3" fillId="2" borderId="38" xfId="79" applyFont="1" applyFill="1" applyBorder="1" applyAlignment="1"/>
    <xf numFmtId="0" fontId="5" fillId="2" borderId="38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39" xfId="79" applyFont="1" applyFill="1" applyBorder="1" applyAlignment="1">
      <alignment horizontal="left"/>
    </xf>
    <xf numFmtId="0" fontId="5" fillId="2" borderId="38" xfId="79" applyFont="1" applyFill="1" applyBorder="1" applyAlignment="1">
      <alignment horizontal="left"/>
    </xf>
    <xf numFmtId="0" fontId="3" fillId="2" borderId="38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0" fontId="2" fillId="0" borderId="1" xfId="26" applyFont="1" applyFill="1" applyBorder="1" applyAlignment="1"/>
    <xf numFmtId="167" fontId="40" fillId="2" borderId="75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48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4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/>
    </xf>
    <xf numFmtId="49" fontId="32" fillId="2" borderId="29" xfId="0" applyNumberFormat="1" applyFont="1" applyFill="1" applyBorder="1" applyAlignment="1">
      <alignment horizontal="center" vertical="top"/>
    </xf>
    <xf numFmtId="0" fontId="32" fillId="2" borderId="29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49" xfId="0" applyFont="1" applyFill="1" applyBorder="1" applyAlignment="1">
      <alignment horizontal="center"/>
    </xf>
    <xf numFmtId="9" fontId="44" fillId="2" borderId="49" xfId="0" applyNumberFormat="1" applyFont="1" applyFill="1" applyBorder="1" applyAlignment="1">
      <alignment horizontal="center" vertical="top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49" xfId="0" applyNumberFormat="1" applyFont="1" applyFill="1" applyBorder="1" applyAlignment="1">
      <alignment horizontal="center"/>
    </xf>
    <xf numFmtId="0" fontId="44" fillId="2" borderId="49" xfId="0" applyNumberFormat="1" applyFont="1" applyFill="1" applyBorder="1" applyAlignment="1">
      <alignment horizontal="center" vertical="top"/>
    </xf>
    <xf numFmtId="3" fontId="34" fillId="9" borderId="107" xfId="0" applyNumberFormat="1" applyFont="1" applyFill="1" applyBorder="1" applyAlignment="1">
      <alignment horizontal="right" vertical="top"/>
    </xf>
    <xf numFmtId="3" fontId="34" fillId="9" borderId="108" xfId="0" applyNumberFormat="1" applyFont="1" applyFill="1" applyBorder="1" applyAlignment="1">
      <alignment horizontal="right" vertical="top"/>
    </xf>
    <xf numFmtId="177" fontId="34" fillId="9" borderId="109" xfId="0" applyNumberFormat="1" applyFont="1" applyFill="1" applyBorder="1" applyAlignment="1">
      <alignment horizontal="right" vertical="top"/>
    </xf>
    <xf numFmtId="3" fontId="34" fillId="0" borderId="107" xfId="0" applyNumberFormat="1" applyFont="1" applyBorder="1" applyAlignment="1">
      <alignment horizontal="right" vertical="top"/>
    </xf>
    <xf numFmtId="177" fontId="34" fillId="9" borderId="110" xfId="0" applyNumberFormat="1" applyFont="1" applyFill="1" applyBorder="1" applyAlignment="1">
      <alignment horizontal="right" vertical="top"/>
    </xf>
    <xf numFmtId="3" fontId="36" fillId="9" borderId="112" xfId="0" applyNumberFormat="1" applyFont="1" applyFill="1" applyBorder="1" applyAlignment="1">
      <alignment horizontal="right" vertical="top"/>
    </xf>
    <xf numFmtId="3" fontId="36" fillId="9" borderId="113" xfId="0" applyNumberFormat="1" applyFont="1" applyFill="1" applyBorder="1" applyAlignment="1">
      <alignment horizontal="right" vertical="top"/>
    </xf>
    <xf numFmtId="0" fontId="36" fillId="9" borderId="114" xfId="0" applyFont="1" applyFill="1" applyBorder="1" applyAlignment="1">
      <alignment horizontal="right" vertical="top"/>
    </xf>
    <xf numFmtId="3" fontId="36" fillId="0" borderId="112" xfId="0" applyNumberFormat="1" applyFont="1" applyBorder="1" applyAlignment="1">
      <alignment horizontal="right" vertical="top"/>
    </xf>
    <xf numFmtId="0" fontId="36" fillId="9" borderId="115" xfId="0" applyFont="1" applyFill="1" applyBorder="1" applyAlignment="1">
      <alignment horizontal="right" vertical="top"/>
    </xf>
    <xf numFmtId="0" fontId="34" fillId="9" borderId="109" xfId="0" applyFont="1" applyFill="1" applyBorder="1" applyAlignment="1">
      <alignment horizontal="right" vertical="top"/>
    </xf>
    <xf numFmtId="0" fontId="34" fillId="9" borderId="110" xfId="0" applyFont="1" applyFill="1" applyBorder="1" applyAlignment="1">
      <alignment horizontal="right" vertical="top"/>
    </xf>
    <xf numFmtId="177" fontId="36" fillId="9" borderId="114" xfId="0" applyNumberFormat="1" applyFont="1" applyFill="1" applyBorder="1" applyAlignment="1">
      <alignment horizontal="right" vertical="top"/>
    </xf>
    <xf numFmtId="177" fontId="36" fillId="9" borderId="115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3" fontId="36" fillId="0" borderId="117" xfId="0" applyNumberFormat="1" applyFont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7" fontId="36" fillId="9" borderId="119" xfId="0" applyNumberFormat="1" applyFont="1" applyFill="1" applyBorder="1" applyAlignment="1">
      <alignment horizontal="right" vertical="top"/>
    </xf>
    <xf numFmtId="0" fontId="38" fillId="10" borderId="106" xfId="0" applyFont="1" applyFill="1" applyBorder="1" applyAlignment="1">
      <alignment vertical="top"/>
    </xf>
    <xf numFmtId="0" fontId="38" fillId="10" borderId="106" xfId="0" applyFont="1" applyFill="1" applyBorder="1" applyAlignment="1">
      <alignment vertical="top" indent="2"/>
    </xf>
    <xf numFmtId="0" fontId="38" fillId="10" borderId="106" xfId="0" applyFont="1" applyFill="1" applyBorder="1" applyAlignment="1">
      <alignment vertical="top" indent="4"/>
    </xf>
    <xf numFmtId="0" fontId="39" fillId="10" borderId="111" xfId="0" applyFont="1" applyFill="1" applyBorder="1" applyAlignment="1">
      <alignment vertical="top" indent="6"/>
    </xf>
    <xf numFmtId="0" fontId="38" fillId="10" borderId="106" xfId="0" applyFont="1" applyFill="1" applyBorder="1" applyAlignment="1">
      <alignment vertical="top" indent="8"/>
    </xf>
    <xf numFmtId="0" fontId="39" fillId="10" borderId="111" xfId="0" applyFont="1" applyFill="1" applyBorder="1" applyAlignment="1">
      <alignment vertical="top" indent="2"/>
    </xf>
    <xf numFmtId="0" fontId="38" fillId="10" borderId="106" xfId="0" applyFont="1" applyFill="1" applyBorder="1" applyAlignment="1">
      <alignment vertical="top" indent="6"/>
    </xf>
    <xf numFmtId="0" fontId="39" fillId="10" borderId="111" xfId="0" applyFont="1" applyFill="1" applyBorder="1" applyAlignment="1">
      <alignment vertical="top" indent="4"/>
    </xf>
    <xf numFmtId="0" fontId="33" fillId="10" borderId="106" xfId="0" applyFont="1" applyFill="1" applyBorder="1"/>
    <xf numFmtId="0" fontId="39" fillId="10" borderId="17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5" fontId="32" fillId="2" borderId="120" xfId="53" applyNumberFormat="1" applyFont="1" applyFill="1" applyBorder="1" applyAlignment="1">
      <alignment horizontal="left"/>
    </xf>
    <xf numFmtId="165" fontId="32" fillId="2" borderId="121" xfId="53" applyNumberFormat="1" applyFont="1" applyFill="1" applyBorder="1" applyAlignment="1">
      <alignment horizontal="left"/>
    </xf>
    <xf numFmtId="165" fontId="32" fillId="2" borderId="57" xfId="53" applyNumberFormat="1" applyFont="1" applyFill="1" applyBorder="1" applyAlignment="1">
      <alignment horizontal="left"/>
    </xf>
    <xf numFmtId="3" fontId="32" fillId="2" borderId="57" xfId="53" applyNumberFormat="1" applyFont="1" applyFill="1" applyBorder="1" applyAlignment="1">
      <alignment horizontal="left"/>
    </xf>
    <xf numFmtId="3" fontId="32" fillId="2" borderId="65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5" fontId="33" fillId="0" borderId="77" xfId="0" applyNumberFormat="1" applyFont="1" applyFill="1" applyBorder="1"/>
    <xf numFmtId="165" fontId="33" fillId="0" borderId="77" xfId="0" applyNumberFormat="1" applyFont="1" applyFill="1" applyBorder="1" applyAlignment="1">
      <alignment horizontal="right"/>
    </xf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5" fontId="33" fillId="0" borderId="87" xfId="0" applyNumberFormat="1" applyFont="1" applyFill="1" applyBorder="1"/>
    <xf numFmtId="165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9" fontId="30" fillId="0" borderId="0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40" fillId="10" borderId="105" xfId="0" applyFont="1" applyFill="1" applyBorder="1"/>
    <xf numFmtId="0" fontId="40" fillId="10" borderId="104" xfId="0" applyFont="1" applyFill="1" applyBorder="1"/>
    <xf numFmtId="3" fontId="3" fillId="2" borderId="93" xfId="80" applyNumberFormat="1" applyFont="1" applyFill="1" applyBorder="1"/>
    <xf numFmtId="0" fontId="3" fillId="2" borderId="93" xfId="80" applyFont="1" applyFill="1" applyBorder="1"/>
    <xf numFmtId="3" fontId="33" fillId="0" borderId="76" xfId="0" applyNumberFormat="1" applyFont="1" applyFill="1" applyBorder="1"/>
    <xf numFmtId="3" fontId="33" fillId="0" borderId="79" xfId="0" applyNumberFormat="1" applyFont="1" applyFill="1" applyBorder="1"/>
    <xf numFmtId="3" fontId="33" fillId="0" borderId="102" xfId="0" applyNumberFormat="1" applyFont="1" applyFill="1" applyBorder="1"/>
    <xf numFmtId="3" fontId="33" fillId="0" borderId="101" xfId="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33" fillId="0" borderId="105" xfId="0" applyFont="1" applyFill="1" applyBorder="1"/>
    <xf numFmtId="0" fontId="33" fillId="0" borderId="104" xfId="0" applyFont="1" applyFill="1" applyBorder="1"/>
    <xf numFmtId="3" fontId="33" fillId="0" borderId="99" xfId="0" applyNumberFormat="1" applyFont="1" applyFill="1" applyBorder="1"/>
    <xf numFmtId="3" fontId="33" fillId="0" borderId="97" xfId="0" applyNumberFormat="1" applyFont="1" applyFill="1" applyBorder="1"/>
    <xf numFmtId="0" fontId="3" fillId="2" borderId="123" xfId="79" applyFont="1" applyFill="1" applyBorder="1" applyAlignment="1">
      <alignment horizontal="left"/>
    </xf>
    <xf numFmtId="0" fontId="3" fillId="2" borderId="124" xfId="79" applyFont="1" applyFill="1" applyBorder="1" applyAlignment="1">
      <alignment horizontal="left"/>
    </xf>
    <xf numFmtId="0" fontId="3" fillId="2" borderId="125" xfId="80" applyFont="1" applyFill="1" applyBorder="1" applyAlignment="1">
      <alignment horizontal="left"/>
    </xf>
    <xf numFmtId="0" fontId="3" fillId="2" borderId="125" xfId="79" applyFont="1" applyFill="1" applyBorder="1" applyAlignment="1">
      <alignment horizontal="left"/>
    </xf>
    <xf numFmtId="0" fontId="3" fillId="2" borderId="126" xfId="79" applyFont="1" applyFill="1" applyBorder="1" applyAlignment="1">
      <alignment horizontal="left"/>
    </xf>
    <xf numFmtId="0" fontId="33" fillId="0" borderId="77" xfId="0" applyFont="1" applyFill="1" applyBorder="1" applyAlignment="1">
      <alignment horizontal="right"/>
    </xf>
    <xf numFmtId="0" fontId="33" fillId="0" borderId="77" xfId="0" applyFont="1" applyFill="1" applyBorder="1" applyAlignment="1">
      <alignment horizontal="left"/>
    </xf>
    <xf numFmtId="166" fontId="33" fillId="0" borderId="77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6" fontId="33" fillId="0" borderId="87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127" xfId="0" applyFont="1" applyFill="1" applyBorder="1"/>
    <xf numFmtId="0" fontId="33" fillId="0" borderId="128" xfId="0" applyFont="1" applyFill="1" applyBorder="1"/>
    <xf numFmtId="165" fontId="33" fillId="0" borderId="128" xfId="0" applyNumberFormat="1" applyFont="1" applyFill="1" applyBorder="1"/>
    <xf numFmtId="9" fontId="33" fillId="0" borderId="128" xfId="0" applyNumberFormat="1" applyFont="1" applyFill="1" applyBorder="1"/>
    <xf numFmtId="9" fontId="33" fillId="0" borderId="129" xfId="0" applyNumberFormat="1" applyFont="1" applyFill="1" applyBorder="1"/>
    <xf numFmtId="0" fontId="33" fillId="0" borderId="80" xfId="0" applyFont="1" applyFill="1" applyBorder="1" applyAlignment="1">
      <alignment horizontal="right"/>
    </xf>
    <xf numFmtId="0" fontId="33" fillId="0" borderId="80" xfId="0" applyFont="1" applyFill="1" applyBorder="1" applyAlignment="1">
      <alignment horizontal="left"/>
    </xf>
    <xf numFmtId="166" fontId="33" fillId="0" borderId="80" xfId="0" applyNumberFormat="1" applyFont="1" applyFill="1" applyBorder="1"/>
    <xf numFmtId="0" fontId="40" fillId="2" borderId="120" xfId="0" applyFont="1" applyFill="1" applyBorder="1"/>
    <xf numFmtId="3" fontId="40" fillId="2" borderId="122" xfId="0" applyNumberFormat="1" applyFont="1" applyFill="1" applyBorder="1"/>
    <xf numFmtId="9" fontId="40" fillId="2" borderId="71" xfId="0" applyNumberFormat="1" applyFont="1" applyFill="1" applyBorder="1"/>
    <xf numFmtId="3" fontId="40" fillId="2" borderId="65" xfId="0" applyNumberFormat="1" applyFont="1" applyFill="1" applyBorder="1"/>
    <xf numFmtId="0" fontId="33" fillId="0" borderId="130" xfId="0" applyFont="1" applyFill="1" applyBorder="1"/>
    <xf numFmtId="3" fontId="33" fillId="0" borderId="131" xfId="0" applyNumberFormat="1" applyFont="1" applyFill="1" applyBorder="1"/>
    <xf numFmtId="9" fontId="33" fillId="0" borderId="131" xfId="0" applyNumberFormat="1" applyFont="1" applyFill="1" applyBorder="1"/>
    <xf numFmtId="3" fontId="33" fillId="0" borderId="132" xfId="0" applyNumberFormat="1" applyFont="1" applyFill="1" applyBorder="1"/>
    <xf numFmtId="3" fontId="33" fillId="0" borderId="128" xfId="0" applyNumberFormat="1" applyFont="1" applyFill="1" applyBorder="1"/>
    <xf numFmtId="3" fontId="33" fillId="0" borderId="129" xfId="0" applyNumberFormat="1" applyFont="1" applyFill="1" applyBorder="1"/>
    <xf numFmtId="3" fontId="33" fillId="0" borderId="134" xfId="0" applyNumberFormat="1" applyFont="1" applyFill="1" applyBorder="1"/>
    <xf numFmtId="9" fontId="33" fillId="0" borderId="134" xfId="0" applyNumberFormat="1" applyFont="1" applyFill="1" applyBorder="1"/>
    <xf numFmtId="3" fontId="33" fillId="0" borderId="135" xfId="0" applyNumberFormat="1" applyFont="1" applyFill="1" applyBorder="1"/>
    <xf numFmtId="0" fontId="40" fillId="10" borderId="18" xfId="0" applyFont="1" applyFill="1" applyBorder="1"/>
    <xf numFmtId="3" fontId="40" fillId="10" borderId="26" xfId="0" applyNumberFormat="1" applyFont="1" applyFill="1" applyBorder="1"/>
    <xf numFmtId="9" fontId="40" fillId="10" borderId="26" xfId="0" applyNumberFormat="1" applyFont="1" applyFill="1" applyBorder="1"/>
    <xf numFmtId="3" fontId="40" fillId="10" borderId="19" xfId="0" applyNumberFormat="1" applyFont="1" applyFill="1" applyBorder="1"/>
    <xf numFmtId="0" fontId="40" fillId="0" borderId="76" xfId="0" applyFont="1" applyFill="1" applyBorder="1"/>
    <xf numFmtId="0" fontId="40" fillId="0" borderId="133" xfId="0" applyFont="1" applyFill="1" applyBorder="1"/>
    <xf numFmtId="0" fontId="33" fillId="5" borderId="9" xfId="0" applyFont="1" applyFill="1" applyBorder="1" applyAlignment="1">
      <alignment wrapText="1"/>
    </xf>
    <xf numFmtId="0" fontId="40" fillId="0" borderId="130" xfId="0" applyFont="1" applyFill="1" applyBorder="1"/>
    <xf numFmtId="0" fontId="40" fillId="2" borderId="121" xfId="0" applyFont="1" applyFill="1" applyBorder="1"/>
    <xf numFmtId="3" fontId="40" fillId="2" borderId="0" xfId="0" applyNumberFormat="1" applyFont="1" applyFill="1" applyBorder="1"/>
    <xf numFmtId="3" fontId="40" fillId="2" borderId="15" xfId="0" applyNumberFormat="1" applyFont="1" applyFill="1" applyBorder="1"/>
    <xf numFmtId="0" fontId="33" fillId="0" borderId="131" xfId="0" applyFont="1" applyFill="1" applyBorder="1"/>
    <xf numFmtId="165" fontId="33" fillId="0" borderId="131" xfId="0" applyNumberFormat="1" applyFont="1" applyFill="1" applyBorder="1"/>
    <xf numFmtId="165" fontId="33" fillId="0" borderId="131" xfId="0" applyNumberFormat="1" applyFont="1" applyFill="1" applyBorder="1" applyAlignment="1">
      <alignment horizontal="right"/>
    </xf>
    <xf numFmtId="165" fontId="33" fillId="0" borderId="128" xfId="0" applyNumberFormat="1" applyFont="1" applyFill="1" applyBorder="1" applyAlignment="1">
      <alignment horizontal="right"/>
    </xf>
    <xf numFmtId="174" fontId="40" fillId="4" borderId="139" xfId="0" applyNumberFormat="1" applyFont="1" applyFill="1" applyBorder="1" applyAlignment="1">
      <alignment horizontal="center"/>
    </xf>
    <xf numFmtId="174" fontId="40" fillId="4" borderId="140" xfId="0" applyNumberFormat="1" applyFont="1" applyFill="1" applyBorder="1" applyAlignment="1">
      <alignment horizontal="center"/>
    </xf>
    <xf numFmtId="174" fontId="33" fillId="0" borderId="141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/>
    </xf>
    <xf numFmtId="174" fontId="33" fillId="0" borderId="142" xfId="0" applyNumberFormat="1" applyFont="1" applyBorder="1" applyAlignment="1">
      <alignment horizontal="right" wrapText="1"/>
    </xf>
    <xf numFmtId="176" fontId="33" fillId="0" borderId="141" xfId="0" applyNumberFormat="1" applyFont="1" applyBorder="1" applyAlignment="1">
      <alignment horizontal="right"/>
    </xf>
    <xf numFmtId="176" fontId="33" fillId="0" borderId="142" xfId="0" applyNumberFormat="1" applyFont="1" applyBorder="1" applyAlignment="1">
      <alignment horizontal="right"/>
    </xf>
    <xf numFmtId="174" fontId="33" fillId="0" borderId="143" xfId="0" applyNumberFormat="1" applyFont="1" applyBorder="1" applyAlignment="1">
      <alignment horizontal="right"/>
    </xf>
    <xf numFmtId="174" fontId="33" fillId="0" borderId="144" xfId="0" applyNumberFormat="1" applyFont="1" applyBorder="1" applyAlignment="1">
      <alignment horizontal="right"/>
    </xf>
    <xf numFmtId="0" fontId="40" fillId="2" borderId="102" xfId="0" applyFont="1" applyFill="1" applyBorder="1" applyAlignment="1">
      <alignment horizontal="center" vertical="center"/>
    </xf>
    <xf numFmtId="0" fontId="55" fillId="2" borderId="138" xfId="0" applyFont="1" applyFill="1" applyBorder="1" applyAlignment="1">
      <alignment horizontal="center" vertical="center" wrapText="1"/>
    </xf>
    <xf numFmtId="175" fontId="33" fillId="2" borderId="102" xfId="0" applyNumberFormat="1" applyFont="1" applyFill="1" applyBorder="1" applyAlignment="1"/>
    <xf numFmtId="175" fontId="33" fillId="0" borderId="137" xfId="0" applyNumberFormat="1" applyFont="1" applyBorder="1"/>
    <xf numFmtId="175" fontId="33" fillId="0" borderId="145" xfId="0" applyNumberFormat="1" applyFont="1" applyBorder="1"/>
    <xf numFmtId="174" fontId="40" fillId="4" borderId="102" xfId="0" applyNumberFormat="1" applyFont="1" applyFill="1" applyBorder="1" applyAlignment="1"/>
    <xf numFmtId="174" fontId="33" fillId="0" borderId="137" xfId="0" applyNumberFormat="1" applyFont="1" applyBorder="1"/>
    <xf numFmtId="174" fontId="33" fillId="0" borderId="138" xfId="0" applyNumberFormat="1" applyFont="1" applyBorder="1"/>
    <xf numFmtId="174" fontId="40" fillId="2" borderId="102" xfId="0" applyNumberFormat="1" applyFont="1" applyFill="1" applyBorder="1" applyAlignment="1"/>
    <xf numFmtId="174" fontId="33" fillId="0" borderId="145" xfId="0" applyNumberFormat="1" applyFont="1" applyBorder="1"/>
    <xf numFmtId="174" fontId="33" fillId="0" borderId="102" xfId="0" applyNumberFormat="1" applyFont="1" applyBorder="1"/>
    <xf numFmtId="174" fontId="40" fillId="4" borderId="146" xfId="0" applyNumberFormat="1" applyFont="1" applyFill="1" applyBorder="1" applyAlignment="1">
      <alignment horizontal="center"/>
    </xf>
    <xf numFmtId="174" fontId="33" fillId="0" borderId="147" xfId="0" applyNumberFormat="1" applyFont="1" applyBorder="1" applyAlignment="1">
      <alignment horizontal="right"/>
    </xf>
    <xf numFmtId="176" fontId="33" fillId="0" borderId="147" xfId="0" applyNumberFormat="1" applyFont="1" applyBorder="1" applyAlignment="1">
      <alignment horizontal="right"/>
    </xf>
    <xf numFmtId="174" fontId="33" fillId="0" borderId="148" xfId="0" applyNumberFormat="1" applyFont="1" applyBorder="1" applyAlignment="1">
      <alignment horizontal="right"/>
    </xf>
    <xf numFmtId="0" fontId="0" fillId="0" borderId="14" xfId="0" applyBorder="1"/>
    <xf numFmtId="174" fontId="40" fillId="4" borderId="82" xfId="0" applyNumberFormat="1" applyFont="1" applyFill="1" applyBorder="1" applyAlignment="1">
      <alignment horizontal="center"/>
    </xf>
    <xf numFmtId="174" fontId="33" fillId="0" borderId="149" xfId="0" applyNumberFormat="1" applyFont="1" applyBorder="1" applyAlignment="1">
      <alignment horizontal="right"/>
    </xf>
    <xf numFmtId="176" fontId="33" fillId="0" borderId="149" xfId="0" applyNumberFormat="1" applyFont="1" applyBorder="1" applyAlignment="1">
      <alignment horizontal="right"/>
    </xf>
    <xf numFmtId="174" fontId="33" fillId="0" borderId="136" xfId="0" applyNumberFormat="1" applyFont="1" applyBorder="1" applyAlignment="1">
      <alignment horizontal="right"/>
    </xf>
    <xf numFmtId="0" fontId="33" fillId="2" borderId="65" xfId="0" applyFont="1" applyFill="1" applyBorder="1" applyAlignment="1">
      <alignment vertical="center"/>
    </xf>
    <xf numFmtId="0" fontId="32" fillId="2" borderId="14" xfId="26" applyNumberFormat="1" applyFont="1" applyFill="1" applyBorder="1"/>
    <xf numFmtId="0" fontId="32" fillId="2" borderId="0" xfId="26" applyNumberFormat="1" applyFont="1" applyFill="1" applyBorder="1"/>
    <xf numFmtId="0" fontId="32" fillId="2" borderId="15" xfId="26" applyNumberFormat="1" applyFont="1" applyFill="1" applyBorder="1" applyAlignment="1">
      <alignment horizontal="right"/>
    </xf>
    <xf numFmtId="170" fontId="33" fillId="0" borderId="77" xfId="0" applyNumberFormat="1" applyFont="1" applyFill="1" applyBorder="1"/>
    <xf numFmtId="170" fontId="33" fillId="0" borderId="131" xfId="0" applyNumberFormat="1" applyFont="1" applyFill="1" applyBorder="1"/>
    <xf numFmtId="9" fontId="33" fillId="0" borderId="132" xfId="0" applyNumberFormat="1" applyFont="1" applyFill="1" applyBorder="1"/>
    <xf numFmtId="170" fontId="33" fillId="0" borderId="128" xfId="0" applyNumberFormat="1" applyFont="1" applyFill="1" applyBorder="1"/>
    <xf numFmtId="0" fontId="40" fillId="0" borderId="127" xfId="0" applyFont="1" applyFill="1" applyBorder="1"/>
    <xf numFmtId="0" fontId="59" fillId="0" borderId="0" xfId="0" applyFont="1" applyFill="1"/>
    <xf numFmtId="0" fontId="60" fillId="0" borderId="0" xfId="0" applyFont="1" applyFill="1"/>
    <xf numFmtId="0" fontId="33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49" fontId="32" fillId="2" borderId="3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3" fontId="32" fillId="2" borderId="14" xfId="0" applyNumberFormat="1" applyFont="1" applyFill="1" applyBorder="1" applyAlignment="1">
      <alignment horizontal="left"/>
    </xf>
    <xf numFmtId="3" fontId="32" fillId="2" borderId="15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5" xfId="0" applyNumberFormat="1" applyFont="1" applyFill="1" applyBorder="1" applyAlignment="1">
      <alignment horizontal="center" vertical="top"/>
    </xf>
    <xf numFmtId="3" fontId="32" fillId="2" borderId="15" xfId="0" applyNumberFormat="1" applyFont="1" applyFill="1" applyBorder="1" applyAlignment="1">
      <alignment horizontal="center" vertical="top"/>
    </xf>
    <xf numFmtId="0" fontId="32" fillId="2" borderId="14" xfId="0" applyNumberFormat="1" applyFont="1" applyFill="1" applyBorder="1" applyAlignment="1">
      <alignment horizontal="left"/>
    </xf>
    <xf numFmtId="0" fontId="32" fillId="2" borderId="15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5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2.3229464334332772</c:v>
                </c:pt>
                <c:pt idx="1">
                  <c:v>2.7371443942937526</c:v>
                </c:pt>
                <c:pt idx="2">
                  <c:v>2.7076075165588618</c:v>
                </c:pt>
                <c:pt idx="3">
                  <c:v>2.7953402609646605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681856"/>
        <c:axId val="748853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2.2760794884653959</c:v>
                </c:pt>
                <c:pt idx="1">
                  <c:v>2.2760794884653959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21312"/>
        <c:axId val="749423232"/>
      </c:scatterChart>
      <c:catAx>
        <c:axId val="74868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88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885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681856"/>
        <c:crosses val="autoZero"/>
        <c:crossBetween val="between"/>
      </c:valAx>
      <c:valAx>
        <c:axId val="7494213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749423232"/>
        <c:crosses val="max"/>
        <c:crossBetween val="midCat"/>
      </c:valAx>
      <c:valAx>
        <c:axId val="7494232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94213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98.6640625" style="130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05" t="s">
        <v>109</v>
      </c>
      <c r="B1" s="305"/>
    </row>
    <row r="2" spans="1:3" ht="14.4" customHeight="1" thickBot="1" x14ac:dyDescent="0.35">
      <c r="A2" s="235" t="s">
        <v>263</v>
      </c>
      <c r="B2" s="46"/>
    </row>
    <row r="3" spans="1:3" ht="14.4" customHeight="1" thickBot="1" x14ac:dyDescent="0.35">
      <c r="A3" s="301" t="s">
        <v>141</v>
      </c>
      <c r="B3" s="302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122</v>
      </c>
      <c r="C4" s="47" t="s">
        <v>123</v>
      </c>
    </row>
    <row r="5" spans="1:3" ht="14.4" customHeight="1" x14ac:dyDescent="0.3">
      <c r="A5" s="146" t="str">
        <f t="shared" si="0"/>
        <v>HI</v>
      </c>
      <c r="B5" s="89" t="s">
        <v>137</v>
      </c>
      <c r="C5" s="47" t="s">
        <v>112</v>
      </c>
    </row>
    <row r="6" spans="1:3" ht="14.4" customHeight="1" x14ac:dyDescent="0.3">
      <c r="A6" s="147" t="str">
        <f t="shared" si="0"/>
        <v>HI Graf</v>
      </c>
      <c r="B6" s="90" t="s">
        <v>105</v>
      </c>
      <c r="C6" s="47" t="s">
        <v>113</v>
      </c>
    </row>
    <row r="7" spans="1:3" ht="14.4" customHeight="1" x14ac:dyDescent="0.3">
      <c r="A7" s="147" t="str">
        <f t="shared" si="0"/>
        <v>Man Tab</v>
      </c>
      <c r="B7" s="90" t="s">
        <v>265</v>
      </c>
      <c r="C7" s="47" t="s">
        <v>114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3" t="s">
        <v>110</v>
      </c>
      <c r="B10" s="302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138</v>
      </c>
      <c r="C11" s="47" t="s">
        <v>115</v>
      </c>
    </row>
    <row r="12" spans="1:3" ht="14.4" customHeight="1" x14ac:dyDescent="0.3">
      <c r="A12" s="147" t="str">
        <f t="shared" ref="A12:A20" si="2">HYPERLINK("#'"&amp;C12&amp;"'!A1",C12)</f>
        <v>LŽ Detail</v>
      </c>
      <c r="B12" s="90" t="s">
        <v>163</v>
      </c>
      <c r="C12" s="47" t="s">
        <v>116</v>
      </c>
    </row>
    <row r="13" spans="1:3" ht="14.4" customHeight="1" x14ac:dyDescent="0.3">
      <c r="A13" s="147" t="str">
        <f t="shared" si="2"/>
        <v>Léky Recepty</v>
      </c>
      <c r="B13" s="90" t="s">
        <v>139</v>
      </c>
      <c r="C13" s="47" t="s">
        <v>117</v>
      </c>
    </row>
    <row r="14" spans="1:3" ht="14.4" customHeight="1" x14ac:dyDescent="0.3">
      <c r="A14" s="147" t="str">
        <f t="shared" si="2"/>
        <v>LRp Lékaři</v>
      </c>
      <c r="B14" s="90" t="s">
        <v>147</v>
      </c>
      <c r="C14" s="47" t="s">
        <v>148</v>
      </c>
    </row>
    <row r="15" spans="1:3" ht="14.4" customHeight="1" x14ac:dyDescent="0.3">
      <c r="A15" s="147" t="str">
        <f t="shared" si="2"/>
        <v>LRp Detail</v>
      </c>
      <c r="B15" s="90" t="s">
        <v>584</v>
      </c>
      <c r="C15" s="47" t="s">
        <v>118</v>
      </c>
    </row>
    <row r="16" spans="1:3" ht="28.8" customHeight="1" x14ac:dyDescent="0.3">
      <c r="A16" s="147" t="str">
        <f t="shared" si="2"/>
        <v>LRp PL</v>
      </c>
      <c r="B16" s="503" t="s">
        <v>585</v>
      </c>
      <c r="C16" s="47" t="s">
        <v>144</v>
      </c>
    </row>
    <row r="17" spans="1:3" ht="14.4" customHeight="1" x14ac:dyDescent="0.3">
      <c r="A17" s="147" t="str">
        <f>HYPERLINK("#'"&amp;C17&amp;"'!A1",C17)</f>
        <v>LRp PL Detail</v>
      </c>
      <c r="B17" s="90" t="s">
        <v>600</v>
      </c>
      <c r="C17" s="47" t="s">
        <v>145</v>
      </c>
    </row>
    <row r="18" spans="1:3" ht="14.4" customHeight="1" x14ac:dyDescent="0.3">
      <c r="A18" s="149" t="str">
        <f t="shared" ref="A18" si="3">HYPERLINK("#'"&amp;C18&amp;"'!A1",C18)</f>
        <v>Materiál Žádanky</v>
      </c>
      <c r="B18" s="90" t="s">
        <v>140</v>
      </c>
      <c r="C18" s="47" t="s">
        <v>119</v>
      </c>
    </row>
    <row r="19" spans="1:3" ht="14.4" customHeight="1" x14ac:dyDescent="0.3">
      <c r="A19" s="147" t="str">
        <f t="shared" si="2"/>
        <v>MŽ Detail</v>
      </c>
      <c r="B19" s="90" t="s">
        <v>862</v>
      </c>
      <c r="C19" s="47" t="s">
        <v>120</v>
      </c>
    </row>
    <row r="20" spans="1:3" ht="14.4" customHeight="1" thickBot="1" x14ac:dyDescent="0.35">
      <c r="A20" s="149" t="str">
        <f t="shared" si="2"/>
        <v>Osobní náklady</v>
      </c>
      <c r="B20" s="90" t="s">
        <v>107</v>
      </c>
      <c r="C20" s="47" t="s">
        <v>121</v>
      </c>
    </row>
    <row r="21" spans="1:3" ht="14.4" customHeight="1" thickBot="1" x14ac:dyDescent="0.35">
      <c r="A21" s="93"/>
      <c r="B21" s="93"/>
    </row>
    <row r="22" spans="1:3" ht="14.4" customHeight="1" thickBot="1" x14ac:dyDescent="0.35">
      <c r="A22" s="304" t="s">
        <v>111</v>
      </c>
      <c r="B22" s="302"/>
    </row>
    <row r="23" spans="1:3" ht="14.4" customHeight="1" x14ac:dyDescent="0.3">
      <c r="A23" s="150" t="str">
        <f t="shared" ref="A23:A26" si="4">HYPERLINK("#'"&amp;C23&amp;"'!A1",C23)</f>
        <v>ZV Vykáz.-A</v>
      </c>
      <c r="B23" s="89" t="s">
        <v>871</v>
      </c>
      <c r="C23" s="47" t="s">
        <v>124</v>
      </c>
    </row>
    <row r="24" spans="1:3" ht="14.4" customHeight="1" x14ac:dyDescent="0.3">
      <c r="A24" s="147" t="str">
        <f t="shared" si="4"/>
        <v>ZV Vykáz.-A Detail</v>
      </c>
      <c r="B24" s="90" t="s">
        <v>974</v>
      </c>
      <c r="C24" s="47" t="s">
        <v>125</v>
      </c>
    </row>
    <row r="25" spans="1:3" ht="14.4" customHeight="1" x14ac:dyDescent="0.3">
      <c r="A25" s="147" t="str">
        <f t="shared" si="4"/>
        <v>ZV Vykáz.-H</v>
      </c>
      <c r="B25" s="90" t="s">
        <v>128</v>
      </c>
      <c r="C25" s="47" t="s">
        <v>126</v>
      </c>
    </row>
    <row r="26" spans="1:3" ht="14.4" customHeight="1" x14ac:dyDescent="0.3">
      <c r="A26" s="147" t="str">
        <f t="shared" si="4"/>
        <v>ZV Vykáz.-H Detail</v>
      </c>
      <c r="B26" s="90" t="s">
        <v>996</v>
      </c>
      <c r="C26" s="47" t="s">
        <v>127</v>
      </c>
    </row>
  </sheetData>
  <mergeCells count="4">
    <mergeCell ref="A3:B3"/>
    <mergeCell ref="A10:B10"/>
    <mergeCell ref="A22:B2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8" bestFit="1" customWidth="1"/>
    <col min="3" max="3" width="11.109375" style="130" hidden="1" customWidth="1"/>
    <col min="4" max="4" width="7.33203125" style="208" bestFit="1" customWidth="1"/>
    <col min="5" max="5" width="7.33203125" style="130" hidden="1" customWidth="1"/>
    <col min="6" max="6" width="11.109375" style="208" bestFit="1" customWidth="1"/>
    <col min="7" max="7" width="5.33203125" style="211" customWidth="1"/>
    <col min="8" max="8" width="7.33203125" style="208" bestFit="1" customWidth="1"/>
    <col min="9" max="9" width="5.33203125" style="211" customWidth="1"/>
    <col min="10" max="10" width="11.109375" style="208" customWidth="1"/>
    <col min="11" max="11" width="5.33203125" style="211" customWidth="1"/>
    <col min="12" max="12" width="7.33203125" style="208" customWidth="1"/>
    <col min="13" max="13" width="5.33203125" style="211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43" t="s">
        <v>147</v>
      </c>
      <c r="B1" s="343"/>
      <c r="C1" s="343"/>
      <c r="D1" s="343"/>
      <c r="E1" s="343"/>
      <c r="F1" s="343"/>
      <c r="G1" s="343"/>
      <c r="H1" s="343"/>
      <c r="I1" s="343"/>
      <c r="J1" s="306"/>
      <c r="K1" s="306"/>
      <c r="L1" s="306"/>
      <c r="M1" s="306"/>
    </row>
    <row r="2" spans="1:13" ht="14.4" customHeight="1" thickBot="1" x14ac:dyDescent="0.35">
      <c r="A2" s="235" t="s">
        <v>263</v>
      </c>
      <c r="B2" s="215"/>
      <c r="C2" s="207"/>
      <c r="D2" s="215"/>
      <c r="E2" s="207"/>
      <c r="F2" s="215"/>
      <c r="G2" s="216"/>
      <c r="H2" s="215"/>
      <c r="I2" s="216"/>
    </row>
    <row r="3" spans="1:13" ht="14.4" customHeight="1" thickBot="1" x14ac:dyDescent="0.35">
      <c r="A3" s="144"/>
      <c r="B3" s="354" t="s">
        <v>15</v>
      </c>
      <c r="C3" s="356"/>
      <c r="D3" s="353"/>
      <c r="E3" s="143"/>
      <c r="F3" s="353" t="s">
        <v>16</v>
      </c>
      <c r="G3" s="353"/>
      <c r="H3" s="353"/>
      <c r="I3" s="353"/>
      <c r="J3" s="353" t="s">
        <v>146</v>
      </c>
      <c r="K3" s="353"/>
      <c r="L3" s="353"/>
      <c r="M3" s="355"/>
    </row>
    <row r="4" spans="1:13" ht="14.4" customHeight="1" thickBot="1" x14ac:dyDescent="0.35">
      <c r="A4" s="444" t="s">
        <v>136</v>
      </c>
      <c r="B4" s="447" t="s">
        <v>19</v>
      </c>
      <c r="C4" s="448"/>
      <c r="D4" s="447" t="s">
        <v>20</v>
      </c>
      <c r="E4" s="448"/>
      <c r="F4" s="447" t="s">
        <v>19</v>
      </c>
      <c r="G4" s="453" t="s">
        <v>2</v>
      </c>
      <c r="H4" s="447" t="s">
        <v>20</v>
      </c>
      <c r="I4" s="453" t="s">
        <v>2</v>
      </c>
      <c r="J4" s="447" t="s">
        <v>19</v>
      </c>
      <c r="K4" s="453" t="s">
        <v>2</v>
      </c>
      <c r="L4" s="447" t="s">
        <v>20</v>
      </c>
      <c r="M4" s="454" t="s">
        <v>2</v>
      </c>
    </row>
    <row r="5" spans="1:13" ht="14.4" customHeight="1" x14ac:dyDescent="0.3">
      <c r="A5" s="445" t="s">
        <v>528</v>
      </c>
      <c r="B5" s="449">
        <v>1140.04</v>
      </c>
      <c r="C5" s="426">
        <v>1</v>
      </c>
      <c r="D5" s="451">
        <v>4</v>
      </c>
      <c r="E5" s="459" t="s">
        <v>528</v>
      </c>
      <c r="F5" s="449">
        <v>656.28</v>
      </c>
      <c r="G5" s="455">
        <v>0.57566401178906002</v>
      </c>
      <c r="H5" s="429">
        <v>3</v>
      </c>
      <c r="I5" s="456">
        <v>0.75</v>
      </c>
      <c r="J5" s="461">
        <v>483.76</v>
      </c>
      <c r="K5" s="455">
        <v>0.42433598821093998</v>
      </c>
      <c r="L5" s="429">
        <v>1</v>
      </c>
      <c r="M5" s="456">
        <v>0.25</v>
      </c>
    </row>
    <row r="6" spans="1:13" ht="14.4" customHeight="1" thickBot="1" x14ac:dyDescent="0.35">
      <c r="A6" s="446" t="s">
        <v>529</v>
      </c>
      <c r="B6" s="450">
        <v>8464.5</v>
      </c>
      <c r="C6" s="438">
        <v>1</v>
      </c>
      <c r="D6" s="452">
        <v>13</v>
      </c>
      <c r="E6" s="460" t="s">
        <v>529</v>
      </c>
      <c r="F6" s="450">
        <v>971.30000000000007</v>
      </c>
      <c r="G6" s="457">
        <v>0.11474983755685511</v>
      </c>
      <c r="H6" s="441">
        <v>5</v>
      </c>
      <c r="I6" s="458">
        <v>0.38461538461538464</v>
      </c>
      <c r="J6" s="462">
        <v>7493.2</v>
      </c>
      <c r="K6" s="457">
        <v>0.88525016244314492</v>
      </c>
      <c r="L6" s="441">
        <v>8</v>
      </c>
      <c r="M6" s="458">
        <v>0.61538461538461542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1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9" customWidth="1"/>
    <col min="5" max="5" width="13.5546875" style="209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10" customWidth="1"/>
    <col min="13" max="13" width="11.109375" style="210" customWidth="1"/>
    <col min="14" max="14" width="7.77734375" style="130" customWidth="1"/>
    <col min="15" max="15" width="7.77734375" style="220" customWidth="1"/>
    <col min="16" max="16" width="11.109375" style="210" customWidth="1"/>
    <col min="17" max="17" width="5.44140625" style="211" bestFit="1" customWidth="1"/>
    <col min="18" max="18" width="7.77734375" style="130" customWidth="1"/>
    <col min="19" max="19" width="5.44140625" style="211" bestFit="1" customWidth="1"/>
    <col min="20" max="20" width="7.77734375" style="220" customWidth="1"/>
    <col min="21" max="21" width="5.44140625" style="211" bestFit="1" customWidth="1"/>
    <col min="22" max="16384" width="8.88671875" style="130"/>
  </cols>
  <sheetData>
    <row r="1" spans="1:21" ht="18.600000000000001" customHeight="1" thickBot="1" x14ac:dyDescent="0.4">
      <c r="A1" s="334" t="s">
        <v>584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</row>
    <row r="2" spans="1:21" ht="14.4" customHeight="1" thickBot="1" x14ac:dyDescent="0.35">
      <c r="A2" s="235" t="s">
        <v>263</v>
      </c>
      <c r="B2" s="217"/>
      <c r="C2" s="207"/>
      <c r="D2" s="207"/>
      <c r="E2" s="218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129</v>
      </c>
      <c r="L3" s="363"/>
      <c r="M3" s="66">
        <f>SUBTOTAL(9,M7:M1048576)</f>
        <v>9604.5399999999991</v>
      </c>
      <c r="N3" s="66">
        <f>SUBTOTAL(9,N7:N1048576)</f>
        <v>37</v>
      </c>
      <c r="O3" s="66">
        <f>SUBTOTAL(9,O7:O1048576)</f>
        <v>17</v>
      </c>
      <c r="P3" s="66">
        <f>SUBTOTAL(9,P7:P1048576)</f>
        <v>1627.58</v>
      </c>
      <c r="Q3" s="67">
        <f>IF(M3=0,0,P3/M3)</f>
        <v>0.16945944313834915</v>
      </c>
      <c r="R3" s="66">
        <f>SUBTOTAL(9,R7:R1048576)</f>
        <v>16</v>
      </c>
      <c r="S3" s="67">
        <f>IF(N3=0,0,R3/N3)</f>
        <v>0.43243243243243246</v>
      </c>
      <c r="T3" s="66">
        <f>SUBTOTAL(9,T7:T1048576)</f>
        <v>8</v>
      </c>
      <c r="U3" s="68">
        <f>IF(O3=0,0,T3/O3)</f>
        <v>0.47058823529411764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64" t="s">
        <v>15</v>
      </c>
      <c r="N4" s="365"/>
      <c r="O4" s="365"/>
      <c r="P4" s="366" t="s">
        <v>21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57" t="s">
        <v>22</v>
      </c>
      <c r="Q5" s="358"/>
      <c r="R5" s="357" t="s">
        <v>13</v>
      </c>
      <c r="S5" s="358"/>
      <c r="T5" s="357" t="s">
        <v>20</v>
      </c>
      <c r="U5" s="359"/>
    </row>
    <row r="6" spans="1:21" s="209" customFormat="1" ht="14.4" customHeight="1" thickBot="1" x14ac:dyDescent="0.35">
      <c r="A6" s="463" t="s">
        <v>23</v>
      </c>
      <c r="B6" s="464" t="s">
        <v>5</v>
      </c>
      <c r="C6" s="463" t="s">
        <v>24</v>
      </c>
      <c r="D6" s="464" t="s">
        <v>6</v>
      </c>
      <c r="E6" s="464" t="s">
        <v>149</v>
      </c>
      <c r="F6" s="464" t="s">
        <v>25</v>
      </c>
      <c r="G6" s="464" t="s">
        <v>26</v>
      </c>
      <c r="H6" s="464" t="s">
        <v>8</v>
      </c>
      <c r="I6" s="464" t="s">
        <v>10</v>
      </c>
      <c r="J6" s="464" t="s">
        <v>11</v>
      </c>
      <c r="K6" s="464" t="s">
        <v>12</v>
      </c>
      <c r="L6" s="464" t="s">
        <v>27</v>
      </c>
      <c r="M6" s="465" t="s">
        <v>14</v>
      </c>
      <c r="N6" s="466" t="s">
        <v>28</v>
      </c>
      <c r="O6" s="466" t="s">
        <v>28</v>
      </c>
      <c r="P6" s="466" t="s">
        <v>14</v>
      </c>
      <c r="Q6" s="466" t="s">
        <v>2</v>
      </c>
      <c r="R6" s="466" t="s">
        <v>28</v>
      </c>
      <c r="S6" s="466" t="s">
        <v>2</v>
      </c>
      <c r="T6" s="466" t="s">
        <v>28</v>
      </c>
      <c r="U6" s="467" t="s">
        <v>2</v>
      </c>
    </row>
    <row r="7" spans="1:21" ht="14.4" customHeight="1" x14ac:dyDescent="0.3">
      <c r="A7" s="425">
        <v>28</v>
      </c>
      <c r="B7" s="426" t="s">
        <v>520</v>
      </c>
      <c r="C7" s="426">
        <v>89301282</v>
      </c>
      <c r="D7" s="468" t="s">
        <v>582</v>
      </c>
      <c r="E7" s="469" t="s">
        <v>528</v>
      </c>
      <c r="F7" s="426" t="s">
        <v>524</v>
      </c>
      <c r="G7" s="426" t="s">
        <v>530</v>
      </c>
      <c r="H7" s="426" t="s">
        <v>444</v>
      </c>
      <c r="I7" s="426" t="s">
        <v>531</v>
      </c>
      <c r="J7" s="426" t="s">
        <v>532</v>
      </c>
      <c r="K7" s="426" t="s">
        <v>533</v>
      </c>
      <c r="L7" s="427">
        <v>106.23</v>
      </c>
      <c r="M7" s="427">
        <v>106.23</v>
      </c>
      <c r="N7" s="426">
        <v>1</v>
      </c>
      <c r="O7" s="470">
        <v>1</v>
      </c>
      <c r="P7" s="427">
        <v>106.23</v>
      </c>
      <c r="Q7" s="455">
        <v>1</v>
      </c>
      <c r="R7" s="426">
        <v>1</v>
      </c>
      <c r="S7" s="455">
        <v>1</v>
      </c>
      <c r="T7" s="470">
        <v>1</v>
      </c>
      <c r="U7" s="456">
        <v>1</v>
      </c>
    </row>
    <row r="8" spans="1:21" ht="14.4" customHeight="1" x14ac:dyDescent="0.3">
      <c r="A8" s="431">
        <v>28</v>
      </c>
      <c r="B8" s="432" t="s">
        <v>520</v>
      </c>
      <c r="C8" s="432">
        <v>89301282</v>
      </c>
      <c r="D8" s="471" t="s">
        <v>582</v>
      </c>
      <c r="E8" s="472" t="s">
        <v>528</v>
      </c>
      <c r="F8" s="432" t="s">
        <v>524</v>
      </c>
      <c r="G8" s="432" t="s">
        <v>534</v>
      </c>
      <c r="H8" s="432" t="s">
        <v>444</v>
      </c>
      <c r="I8" s="432" t="s">
        <v>535</v>
      </c>
      <c r="J8" s="432" t="s">
        <v>536</v>
      </c>
      <c r="K8" s="432" t="s">
        <v>537</v>
      </c>
      <c r="L8" s="433">
        <v>483.76</v>
      </c>
      <c r="M8" s="433">
        <v>483.76</v>
      </c>
      <c r="N8" s="432">
        <v>1</v>
      </c>
      <c r="O8" s="473">
        <v>1</v>
      </c>
      <c r="P8" s="433"/>
      <c r="Q8" s="474">
        <v>0</v>
      </c>
      <c r="R8" s="432"/>
      <c r="S8" s="474">
        <v>0</v>
      </c>
      <c r="T8" s="473"/>
      <c r="U8" s="475">
        <v>0</v>
      </c>
    </row>
    <row r="9" spans="1:21" ht="14.4" customHeight="1" x14ac:dyDescent="0.3">
      <c r="A9" s="431">
        <v>28</v>
      </c>
      <c r="B9" s="432" t="s">
        <v>520</v>
      </c>
      <c r="C9" s="432">
        <v>89301282</v>
      </c>
      <c r="D9" s="471" t="s">
        <v>582</v>
      </c>
      <c r="E9" s="472" t="s">
        <v>528</v>
      </c>
      <c r="F9" s="432" t="s">
        <v>524</v>
      </c>
      <c r="G9" s="432" t="s">
        <v>538</v>
      </c>
      <c r="H9" s="432" t="s">
        <v>583</v>
      </c>
      <c r="I9" s="432" t="s">
        <v>539</v>
      </c>
      <c r="J9" s="432" t="s">
        <v>540</v>
      </c>
      <c r="K9" s="432" t="s">
        <v>541</v>
      </c>
      <c r="L9" s="433">
        <v>222.25</v>
      </c>
      <c r="M9" s="433">
        <v>222.25</v>
      </c>
      <c r="N9" s="432">
        <v>1</v>
      </c>
      <c r="O9" s="473">
        <v>1</v>
      </c>
      <c r="P9" s="433">
        <v>222.25</v>
      </c>
      <c r="Q9" s="474">
        <v>1</v>
      </c>
      <c r="R9" s="432">
        <v>1</v>
      </c>
      <c r="S9" s="474">
        <v>1</v>
      </c>
      <c r="T9" s="473">
        <v>1</v>
      </c>
      <c r="U9" s="475">
        <v>1</v>
      </c>
    </row>
    <row r="10" spans="1:21" ht="14.4" customHeight="1" x14ac:dyDescent="0.3">
      <c r="A10" s="431">
        <v>28</v>
      </c>
      <c r="B10" s="432" t="s">
        <v>520</v>
      </c>
      <c r="C10" s="432">
        <v>89301282</v>
      </c>
      <c r="D10" s="471" t="s">
        <v>582</v>
      </c>
      <c r="E10" s="472" t="s">
        <v>528</v>
      </c>
      <c r="F10" s="432" t="s">
        <v>524</v>
      </c>
      <c r="G10" s="432" t="s">
        <v>542</v>
      </c>
      <c r="H10" s="432" t="s">
        <v>444</v>
      </c>
      <c r="I10" s="432" t="s">
        <v>543</v>
      </c>
      <c r="J10" s="432" t="s">
        <v>544</v>
      </c>
      <c r="K10" s="432" t="s">
        <v>545</v>
      </c>
      <c r="L10" s="433">
        <v>163.9</v>
      </c>
      <c r="M10" s="433">
        <v>327.8</v>
      </c>
      <c r="N10" s="432">
        <v>2</v>
      </c>
      <c r="O10" s="473">
        <v>1</v>
      </c>
      <c r="P10" s="433">
        <v>327.8</v>
      </c>
      <c r="Q10" s="474">
        <v>1</v>
      </c>
      <c r="R10" s="432">
        <v>2</v>
      </c>
      <c r="S10" s="474">
        <v>1</v>
      </c>
      <c r="T10" s="473">
        <v>1</v>
      </c>
      <c r="U10" s="475">
        <v>1</v>
      </c>
    </row>
    <row r="11" spans="1:21" ht="14.4" customHeight="1" x14ac:dyDescent="0.3">
      <c r="A11" s="431">
        <v>28</v>
      </c>
      <c r="B11" s="432" t="s">
        <v>520</v>
      </c>
      <c r="C11" s="432">
        <v>89301282</v>
      </c>
      <c r="D11" s="471" t="s">
        <v>582</v>
      </c>
      <c r="E11" s="472" t="s">
        <v>529</v>
      </c>
      <c r="F11" s="432" t="s">
        <v>524</v>
      </c>
      <c r="G11" s="432" t="s">
        <v>534</v>
      </c>
      <c r="H11" s="432" t="s">
        <v>444</v>
      </c>
      <c r="I11" s="432" t="s">
        <v>546</v>
      </c>
      <c r="J11" s="432" t="s">
        <v>536</v>
      </c>
      <c r="K11" s="432" t="s">
        <v>537</v>
      </c>
      <c r="L11" s="433">
        <v>483.76</v>
      </c>
      <c r="M11" s="433">
        <v>967.52</v>
      </c>
      <c r="N11" s="432">
        <v>2</v>
      </c>
      <c r="O11" s="473">
        <v>1</v>
      </c>
      <c r="P11" s="433"/>
      <c r="Q11" s="474">
        <v>0</v>
      </c>
      <c r="R11" s="432"/>
      <c r="S11" s="474">
        <v>0</v>
      </c>
      <c r="T11" s="473"/>
      <c r="U11" s="475">
        <v>0</v>
      </c>
    </row>
    <row r="12" spans="1:21" ht="14.4" customHeight="1" x14ac:dyDescent="0.3">
      <c r="A12" s="431">
        <v>28</v>
      </c>
      <c r="B12" s="432" t="s">
        <v>520</v>
      </c>
      <c r="C12" s="432">
        <v>89301282</v>
      </c>
      <c r="D12" s="471" t="s">
        <v>582</v>
      </c>
      <c r="E12" s="472" t="s">
        <v>529</v>
      </c>
      <c r="F12" s="432" t="s">
        <v>524</v>
      </c>
      <c r="G12" s="432" t="s">
        <v>534</v>
      </c>
      <c r="H12" s="432" t="s">
        <v>444</v>
      </c>
      <c r="I12" s="432" t="s">
        <v>535</v>
      </c>
      <c r="J12" s="432" t="s">
        <v>536</v>
      </c>
      <c r="K12" s="432" t="s">
        <v>537</v>
      </c>
      <c r="L12" s="433">
        <v>483.76</v>
      </c>
      <c r="M12" s="433">
        <v>967.52</v>
      </c>
      <c r="N12" s="432">
        <v>2</v>
      </c>
      <c r="O12" s="473">
        <v>0.5</v>
      </c>
      <c r="P12" s="433"/>
      <c r="Q12" s="474">
        <v>0</v>
      </c>
      <c r="R12" s="432"/>
      <c r="S12" s="474">
        <v>0</v>
      </c>
      <c r="T12" s="473"/>
      <c r="U12" s="475">
        <v>0</v>
      </c>
    </row>
    <row r="13" spans="1:21" ht="14.4" customHeight="1" x14ac:dyDescent="0.3">
      <c r="A13" s="431">
        <v>28</v>
      </c>
      <c r="B13" s="432" t="s">
        <v>520</v>
      </c>
      <c r="C13" s="432">
        <v>89301282</v>
      </c>
      <c r="D13" s="471" t="s">
        <v>582</v>
      </c>
      <c r="E13" s="472" t="s">
        <v>529</v>
      </c>
      <c r="F13" s="432" t="s">
        <v>524</v>
      </c>
      <c r="G13" s="432" t="s">
        <v>547</v>
      </c>
      <c r="H13" s="432" t="s">
        <v>583</v>
      </c>
      <c r="I13" s="432" t="s">
        <v>548</v>
      </c>
      <c r="J13" s="432" t="s">
        <v>549</v>
      </c>
      <c r="K13" s="432" t="s">
        <v>550</v>
      </c>
      <c r="L13" s="433">
        <v>17.690000000000001</v>
      </c>
      <c r="M13" s="433">
        <v>35.380000000000003</v>
      </c>
      <c r="N13" s="432">
        <v>2</v>
      </c>
      <c r="O13" s="473">
        <v>1</v>
      </c>
      <c r="P13" s="433"/>
      <c r="Q13" s="474">
        <v>0</v>
      </c>
      <c r="R13" s="432"/>
      <c r="S13" s="474">
        <v>0</v>
      </c>
      <c r="T13" s="473"/>
      <c r="U13" s="475">
        <v>0</v>
      </c>
    </row>
    <row r="14" spans="1:21" ht="14.4" customHeight="1" x14ac:dyDescent="0.3">
      <c r="A14" s="431">
        <v>28</v>
      </c>
      <c r="B14" s="432" t="s">
        <v>520</v>
      </c>
      <c r="C14" s="432">
        <v>89301282</v>
      </c>
      <c r="D14" s="471" t="s">
        <v>582</v>
      </c>
      <c r="E14" s="472" t="s">
        <v>529</v>
      </c>
      <c r="F14" s="432" t="s">
        <v>524</v>
      </c>
      <c r="G14" s="432" t="s">
        <v>551</v>
      </c>
      <c r="H14" s="432" t="s">
        <v>583</v>
      </c>
      <c r="I14" s="432" t="s">
        <v>552</v>
      </c>
      <c r="J14" s="432" t="s">
        <v>553</v>
      </c>
      <c r="K14" s="432" t="s">
        <v>554</v>
      </c>
      <c r="L14" s="433">
        <v>333.31</v>
      </c>
      <c r="M14" s="433">
        <v>333.31</v>
      </c>
      <c r="N14" s="432">
        <v>1</v>
      </c>
      <c r="O14" s="473">
        <v>1</v>
      </c>
      <c r="P14" s="433"/>
      <c r="Q14" s="474">
        <v>0</v>
      </c>
      <c r="R14" s="432"/>
      <c r="S14" s="474">
        <v>0</v>
      </c>
      <c r="T14" s="473"/>
      <c r="U14" s="475">
        <v>0</v>
      </c>
    </row>
    <row r="15" spans="1:21" ht="14.4" customHeight="1" x14ac:dyDescent="0.3">
      <c r="A15" s="431">
        <v>28</v>
      </c>
      <c r="B15" s="432" t="s">
        <v>520</v>
      </c>
      <c r="C15" s="432">
        <v>89301282</v>
      </c>
      <c r="D15" s="471" t="s">
        <v>582</v>
      </c>
      <c r="E15" s="472" t="s">
        <v>529</v>
      </c>
      <c r="F15" s="432" t="s">
        <v>524</v>
      </c>
      <c r="G15" s="432" t="s">
        <v>555</v>
      </c>
      <c r="H15" s="432" t="s">
        <v>583</v>
      </c>
      <c r="I15" s="432" t="s">
        <v>556</v>
      </c>
      <c r="J15" s="432" t="s">
        <v>557</v>
      </c>
      <c r="K15" s="432" t="s">
        <v>558</v>
      </c>
      <c r="L15" s="433">
        <v>65.3</v>
      </c>
      <c r="M15" s="433">
        <v>261.2</v>
      </c>
      <c r="N15" s="432">
        <v>4</v>
      </c>
      <c r="O15" s="473">
        <v>2</v>
      </c>
      <c r="P15" s="433"/>
      <c r="Q15" s="474">
        <v>0</v>
      </c>
      <c r="R15" s="432"/>
      <c r="S15" s="474">
        <v>0</v>
      </c>
      <c r="T15" s="473"/>
      <c r="U15" s="475">
        <v>0</v>
      </c>
    </row>
    <row r="16" spans="1:21" ht="14.4" customHeight="1" x14ac:dyDescent="0.3">
      <c r="A16" s="431">
        <v>28</v>
      </c>
      <c r="B16" s="432" t="s">
        <v>520</v>
      </c>
      <c r="C16" s="432">
        <v>89301282</v>
      </c>
      <c r="D16" s="471" t="s">
        <v>582</v>
      </c>
      <c r="E16" s="472" t="s">
        <v>529</v>
      </c>
      <c r="F16" s="432" t="s">
        <v>524</v>
      </c>
      <c r="G16" s="432" t="s">
        <v>559</v>
      </c>
      <c r="H16" s="432" t="s">
        <v>583</v>
      </c>
      <c r="I16" s="432" t="s">
        <v>560</v>
      </c>
      <c r="J16" s="432" t="s">
        <v>561</v>
      </c>
      <c r="K16" s="432" t="s">
        <v>562</v>
      </c>
      <c r="L16" s="433">
        <v>413.22</v>
      </c>
      <c r="M16" s="433">
        <v>413.22</v>
      </c>
      <c r="N16" s="432">
        <v>1</v>
      </c>
      <c r="O16" s="473">
        <v>0.5</v>
      </c>
      <c r="P16" s="433"/>
      <c r="Q16" s="474">
        <v>0</v>
      </c>
      <c r="R16" s="432"/>
      <c r="S16" s="474">
        <v>0</v>
      </c>
      <c r="T16" s="473"/>
      <c r="U16" s="475">
        <v>0</v>
      </c>
    </row>
    <row r="17" spans="1:21" ht="14.4" customHeight="1" x14ac:dyDescent="0.3">
      <c r="A17" s="431">
        <v>28</v>
      </c>
      <c r="B17" s="432" t="s">
        <v>520</v>
      </c>
      <c r="C17" s="432">
        <v>89301282</v>
      </c>
      <c r="D17" s="471" t="s">
        <v>582</v>
      </c>
      <c r="E17" s="472" t="s">
        <v>529</v>
      </c>
      <c r="F17" s="432" t="s">
        <v>524</v>
      </c>
      <c r="G17" s="432" t="s">
        <v>563</v>
      </c>
      <c r="H17" s="432" t="s">
        <v>444</v>
      </c>
      <c r="I17" s="432" t="s">
        <v>564</v>
      </c>
      <c r="J17" s="432" t="s">
        <v>565</v>
      </c>
      <c r="K17" s="432" t="s">
        <v>566</v>
      </c>
      <c r="L17" s="433">
        <v>63.67</v>
      </c>
      <c r="M17" s="433">
        <v>318.35000000000002</v>
      </c>
      <c r="N17" s="432">
        <v>5</v>
      </c>
      <c r="O17" s="473">
        <v>2.5</v>
      </c>
      <c r="P17" s="433">
        <v>318.35000000000002</v>
      </c>
      <c r="Q17" s="474">
        <v>1</v>
      </c>
      <c r="R17" s="432">
        <v>5</v>
      </c>
      <c r="S17" s="474">
        <v>1</v>
      </c>
      <c r="T17" s="473">
        <v>2.5</v>
      </c>
      <c r="U17" s="475">
        <v>1</v>
      </c>
    </row>
    <row r="18" spans="1:21" ht="14.4" customHeight="1" x14ac:dyDescent="0.3">
      <c r="A18" s="431">
        <v>28</v>
      </c>
      <c r="B18" s="432" t="s">
        <v>520</v>
      </c>
      <c r="C18" s="432">
        <v>89301282</v>
      </c>
      <c r="D18" s="471" t="s">
        <v>582</v>
      </c>
      <c r="E18" s="472" t="s">
        <v>529</v>
      </c>
      <c r="F18" s="432" t="s">
        <v>524</v>
      </c>
      <c r="G18" s="432" t="s">
        <v>567</v>
      </c>
      <c r="H18" s="432" t="s">
        <v>444</v>
      </c>
      <c r="I18" s="432" t="s">
        <v>568</v>
      </c>
      <c r="J18" s="432" t="s">
        <v>569</v>
      </c>
      <c r="K18" s="432" t="s">
        <v>570</v>
      </c>
      <c r="L18" s="433">
        <v>0</v>
      </c>
      <c r="M18" s="433">
        <v>0</v>
      </c>
      <c r="N18" s="432">
        <v>2</v>
      </c>
      <c r="O18" s="473">
        <v>0.5</v>
      </c>
      <c r="P18" s="433">
        <v>0</v>
      </c>
      <c r="Q18" s="474"/>
      <c r="R18" s="432">
        <v>2</v>
      </c>
      <c r="S18" s="474">
        <v>1</v>
      </c>
      <c r="T18" s="473">
        <v>0.5</v>
      </c>
      <c r="U18" s="475">
        <v>1</v>
      </c>
    </row>
    <row r="19" spans="1:21" ht="14.4" customHeight="1" x14ac:dyDescent="0.3">
      <c r="A19" s="431">
        <v>28</v>
      </c>
      <c r="B19" s="432" t="s">
        <v>520</v>
      </c>
      <c r="C19" s="432">
        <v>89301282</v>
      </c>
      <c r="D19" s="471" t="s">
        <v>582</v>
      </c>
      <c r="E19" s="472" t="s">
        <v>529</v>
      </c>
      <c r="F19" s="432" t="s">
        <v>524</v>
      </c>
      <c r="G19" s="432" t="s">
        <v>571</v>
      </c>
      <c r="H19" s="432" t="s">
        <v>444</v>
      </c>
      <c r="I19" s="432" t="s">
        <v>572</v>
      </c>
      <c r="J19" s="432" t="s">
        <v>573</v>
      </c>
      <c r="K19" s="432" t="s">
        <v>574</v>
      </c>
      <c r="L19" s="433">
        <v>314.89999999999998</v>
      </c>
      <c r="M19" s="433">
        <v>314.89999999999998</v>
      </c>
      <c r="N19" s="432">
        <v>1</v>
      </c>
      <c r="O19" s="473">
        <v>0.5</v>
      </c>
      <c r="P19" s="433"/>
      <c r="Q19" s="474">
        <v>0</v>
      </c>
      <c r="R19" s="432"/>
      <c r="S19" s="474">
        <v>0</v>
      </c>
      <c r="T19" s="473"/>
      <c r="U19" s="475">
        <v>0</v>
      </c>
    </row>
    <row r="20" spans="1:21" ht="14.4" customHeight="1" x14ac:dyDescent="0.3">
      <c r="A20" s="431">
        <v>28</v>
      </c>
      <c r="B20" s="432" t="s">
        <v>520</v>
      </c>
      <c r="C20" s="432">
        <v>89301282</v>
      </c>
      <c r="D20" s="471" t="s">
        <v>582</v>
      </c>
      <c r="E20" s="472" t="s">
        <v>529</v>
      </c>
      <c r="F20" s="432" t="s">
        <v>524</v>
      </c>
      <c r="G20" s="432" t="s">
        <v>575</v>
      </c>
      <c r="H20" s="432" t="s">
        <v>583</v>
      </c>
      <c r="I20" s="432" t="s">
        <v>576</v>
      </c>
      <c r="J20" s="432" t="s">
        <v>577</v>
      </c>
      <c r="K20" s="432" t="s">
        <v>558</v>
      </c>
      <c r="L20" s="433">
        <v>130.59</v>
      </c>
      <c r="M20" s="433">
        <v>783.54000000000008</v>
      </c>
      <c r="N20" s="432">
        <v>6</v>
      </c>
      <c r="O20" s="473">
        <v>3</v>
      </c>
      <c r="P20" s="433">
        <v>652.95000000000005</v>
      </c>
      <c r="Q20" s="474">
        <v>0.83333333333333326</v>
      </c>
      <c r="R20" s="432">
        <v>5</v>
      </c>
      <c r="S20" s="474">
        <v>0.83333333333333337</v>
      </c>
      <c r="T20" s="473">
        <v>2</v>
      </c>
      <c r="U20" s="475">
        <v>0.66666666666666663</v>
      </c>
    </row>
    <row r="21" spans="1:21" ht="14.4" customHeight="1" thickBot="1" x14ac:dyDescent="0.35">
      <c r="A21" s="476">
        <v>28</v>
      </c>
      <c r="B21" s="438" t="s">
        <v>520</v>
      </c>
      <c r="C21" s="438">
        <v>89301282</v>
      </c>
      <c r="D21" s="481" t="s">
        <v>582</v>
      </c>
      <c r="E21" s="482" t="s">
        <v>529</v>
      </c>
      <c r="F21" s="438" t="s">
        <v>524</v>
      </c>
      <c r="G21" s="438" t="s">
        <v>578</v>
      </c>
      <c r="H21" s="438" t="s">
        <v>583</v>
      </c>
      <c r="I21" s="438" t="s">
        <v>579</v>
      </c>
      <c r="J21" s="438" t="s">
        <v>580</v>
      </c>
      <c r="K21" s="438" t="s">
        <v>581</v>
      </c>
      <c r="L21" s="439">
        <v>678.26</v>
      </c>
      <c r="M21" s="439">
        <v>4069.56</v>
      </c>
      <c r="N21" s="438">
        <v>6</v>
      </c>
      <c r="O21" s="483">
        <v>0.5</v>
      </c>
      <c r="P21" s="439"/>
      <c r="Q21" s="457">
        <v>0</v>
      </c>
      <c r="R21" s="438"/>
      <c r="S21" s="457">
        <v>0</v>
      </c>
      <c r="T21" s="483"/>
      <c r="U21" s="45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8" customWidth="1"/>
    <col min="3" max="3" width="5.5546875" style="211" customWidth="1"/>
    <col min="4" max="4" width="10" style="208" customWidth="1"/>
    <col min="5" max="5" width="5.5546875" style="211" customWidth="1"/>
    <col min="6" max="6" width="10" style="208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2" t="s">
        <v>585</v>
      </c>
      <c r="B1" s="343"/>
      <c r="C1" s="343"/>
      <c r="D1" s="343"/>
      <c r="E1" s="343"/>
      <c r="F1" s="343"/>
    </row>
    <row r="2" spans="1:6" ht="14.4" customHeight="1" thickBot="1" x14ac:dyDescent="0.35">
      <c r="A2" s="235" t="s">
        <v>263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44" t="s">
        <v>131</v>
      </c>
      <c r="C3" s="345"/>
      <c r="D3" s="346" t="s">
        <v>130</v>
      </c>
      <c r="E3" s="345"/>
      <c r="F3" s="80" t="s">
        <v>3</v>
      </c>
    </row>
    <row r="4" spans="1:6" ht="14.4" customHeight="1" thickBot="1" x14ac:dyDescent="0.35">
      <c r="A4" s="484" t="s">
        <v>185</v>
      </c>
      <c r="B4" s="485" t="s">
        <v>14</v>
      </c>
      <c r="C4" s="486" t="s">
        <v>2</v>
      </c>
      <c r="D4" s="485" t="s">
        <v>14</v>
      </c>
      <c r="E4" s="486" t="s">
        <v>2</v>
      </c>
      <c r="F4" s="487" t="s">
        <v>14</v>
      </c>
    </row>
    <row r="5" spans="1:6" ht="14.4" customHeight="1" x14ac:dyDescent="0.3">
      <c r="A5" s="501" t="s">
        <v>529</v>
      </c>
      <c r="B5" s="429"/>
      <c r="C5" s="455">
        <v>0</v>
      </c>
      <c r="D5" s="429">
        <v>5896.2100000000009</v>
      </c>
      <c r="E5" s="455">
        <v>1</v>
      </c>
      <c r="F5" s="430">
        <v>5896.2100000000009</v>
      </c>
    </row>
    <row r="6" spans="1:6" ht="14.4" customHeight="1" thickBot="1" x14ac:dyDescent="0.35">
      <c r="A6" s="502" t="s">
        <v>528</v>
      </c>
      <c r="B6" s="494"/>
      <c r="C6" s="495">
        <v>0</v>
      </c>
      <c r="D6" s="494">
        <v>222.25</v>
      </c>
      <c r="E6" s="495">
        <v>1</v>
      </c>
      <c r="F6" s="496">
        <v>222.25</v>
      </c>
    </row>
    <row r="7" spans="1:6" ht="14.4" customHeight="1" thickBot="1" x14ac:dyDescent="0.35">
      <c r="A7" s="497" t="s">
        <v>3</v>
      </c>
      <c r="B7" s="498"/>
      <c r="C7" s="499">
        <v>0</v>
      </c>
      <c r="D7" s="498">
        <v>6118.4600000000009</v>
      </c>
      <c r="E7" s="499">
        <v>1</v>
      </c>
      <c r="F7" s="500">
        <v>6118.4600000000009</v>
      </c>
    </row>
    <row r="8" spans="1:6" ht="14.4" customHeight="1" thickBot="1" x14ac:dyDescent="0.35"/>
    <row r="9" spans="1:6" ht="14.4" customHeight="1" x14ac:dyDescent="0.3">
      <c r="A9" s="501" t="s">
        <v>586</v>
      </c>
      <c r="B9" s="429"/>
      <c r="C9" s="455">
        <v>0</v>
      </c>
      <c r="D9" s="429">
        <v>261.2</v>
      </c>
      <c r="E9" s="455">
        <v>1</v>
      </c>
      <c r="F9" s="430">
        <v>261.2</v>
      </c>
    </row>
    <row r="10" spans="1:6" ht="14.4" customHeight="1" x14ac:dyDescent="0.3">
      <c r="A10" s="504" t="s">
        <v>587</v>
      </c>
      <c r="B10" s="489"/>
      <c r="C10" s="490">
        <v>0</v>
      </c>
      <c r="D10" s="489">
        <v>4069.56</v>
      </c>
      <c r="E10" s="490">
        <v>1</v>
      </c>
      <c r="F10" s="491">
        <v>4069.56</v>
      </c>
    </row>
    <row r="11" spans="1:6" ht="14.4" customHeight="1" x14ac:dyDescent="0.3">
      <c r="A11" s="504" t="s">
        <v>588</v>
      </c>
      <c r="B11" s="489"/>
      <c r="C11" s="490">
        <v>0</v>
      </c>
      <c r="D11" s="489">
        <v>35.380000000000003</v>
      </c>
      <c r="E11" s="490">
        <v>1</v>
      </c>
      <c r="F11" s="491">
        <v>35.380000000000003</v>
      </c>
    </row>
    <row r="12" spans="1:6" ht="14.4" customHeight="1" x14ac:dyDescent="0.3">
      <c r="A12" s="504" t="s">
        <v>589</v>
      </c>
      <c r="B12" s="489"/>
      <c r="C12" s="490">
        <v>0</v>
      </c>
      <c r="D12" s="489">
        <v>783.54</v>
      </c>
      <c r="E12" s="490">
        <v>1</v>
      </c>
      <c r="F12" s="491">
        <v>783.54</v>
      </c>
    </row>
    <row r="13" spans="1:6" ht="14.4" customHeight="1" x14ac:dyDescent="0.3">
      <c r="A13" s="504" t="s">
        <v>590</v>
      </c>
      <c r="B13" s="489"/>
      <c r="C13" s="490">
        <v>0</v>
      </c>
      <c r="D13" s="489">
        <v>413.22</v>
      </c>
      <c r="E13" s="490">
        <v>1</v>
      </c>
      <c r="F13" s="491">
        <v>413.22</v>
      </c>
    </row>
    <row r="14" spans="1:6" ht="14.4" customHeight="1" x14ac:dyDescent="0.3">
      <c r="A14" s="504" t="s">
        <v>591</v>
      </c>
      <c r="B14" s="489"/>
      <c r="C14" s="490">
        <v>0</v>
      </c>
      <c r="D14" s="489">
        <v>333.31</v>
      </c>
      <c r="E14" s="490">
        <v>1</v>
      </c>
      <c r="F14" s="491">
        <v>333.31</v>
      </c>
    </row>
    <row r="15" spans="1:6" ht="14.4" customHeight="1" thickBot="1" x14ac:dyDescent="0.35">
      <c r="A15" s="502" t="s">
        <v>592</v>
      </c>
      <c r="B15" s="494"/>
      <c r="C15" s="495">
        <v>0</v>
      </c>
      <c r="D15" s="494">
        <v>222.25</v>
      </c>
      <c r="E15" s="495">
        <v>1</v>
      </c>
      <c r="F15" s="496">
        <v>222.25</v>
      </c>
    </row>
    <row r="16" spans="1:6" ht="14.4" customHeight="1" thickBot="1" x14ac:dyDescent="0.35">
      <c r="A16" s="497" t="s">
        <v>3</v>
      </c>
      <c r="B16" s="498"/>
      <c r="C16" s="499">
        <v>0</v>
      </c>
      <c r="D16" s="498">
        <v>6118.46</v>
      </c>
      <c r="E16" s="499">
        <v>1</v>
      </c>
      <c r="F16" s="500">
        <v>6118.46</v>
      </c>
    </row>
  </sheetData>
  <mergeCells count="3">
    <mergeCell ref="A1:F1"/>
    <mergeCell ref="B3:C3"/>
    <mergeCell ref="D3:E3"/>
  </mergeCells>
  <conditionalFormatting sqref="C5:C1048576">
    <cfRule type="cellIs" dxfId="19" priority="12" stopIfTrue="1" operator="greaterThan">
      <formula>0.2</formula>
    </cfRule>
  </conditionalFormatting>
  <conditionalFormatting sqref="F5:F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{1EBC4723-AF5B-43BE-9224-AE8BBBF4F004}</x14:id>
        </ext>
      </extLst>
    </cfRule>
  </conditionalFormatting>
  <conditionalFormatting sqref="F9:F1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{2F7CF879-E1A5-4D17-985E-DA70E187099F}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BC4723-AF5B-43BE-9224-AE8BBBF4F0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F5:F6</xm:sqref>
        </x14:conditionalFormatting>
        <x14:conditionalFormatting xmlns:xm="http://schemas.microsoft.com/office/excel/2006/main">
          <x14:cfRule type="dataBar" id="{2F7CF879-E1A5-4D17-985E-DA70E18709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F9:F15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8" customWidth="1"/>
    <col min="7" max="7" width="10" style="208" customWidth="1"/>
    <col min="8" max="8" width="6.77734375" style="211" customWidth="1"/>
    <col min="9" max="9" width="6.6640625" style="208" customWidth="1"/>
    <col min="10" max="10" width="10" style="208" customWidth="1"/>
    <col min="11" max="11" width="6.77734375" style="211" customWidth="1"/>
    <col min="12" max="12" width="6.6640625" style="208" customWidth="1"/>
    <col min="13" max="13" width="10" style="208" customWidth="1"/>
    <col min="14" max="16384" width="8.88671875" style="130"/>
  </cols>
  <sheetData>
    <row r="1" spans="1:13" ht="18.600000000000001" customHeight="1" thickBot="1" x14ac:dyDescent="0.4">
      <c r="A1" s="343" t="s">
        <v>600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5"/>
      <c r="M1" s="305"/>
    </row>
    <row r="2" spans="1:13" ht="14.4" customHeight="1" thickBot="1" x14ac:dyDescent="0.35">
      <c r="A2" s="235" t="s">
        <v>263</v>
      </c>
      <c r="B2" s="207"/>
      <c r="C2" s="207"/>
      <c r="D2" s="207"/>
      <c r="E2" s="207"/>
      <c r="F2" s="215"/>
      <c r="G2" s="215"/>
      <c r="H2" s="216"/>
      <c r="I2" s="215"/>
      <c r="J2" s="215"/>
      <c r="K2" s="216"/>
      <c r="L2" s="215"/>
    </row>
    <row r="3" spans="1:13" ht="14.4" customHeight="1" thickBot="1" x14ac:dyDescent="0.35">
      <c r="E3" s="79" t="s">
        <v>129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21</v>
      </c>
      <c r="J3" s="43">
        <f>SUBTOTAL(9,J6:J1048576)</f>
        <v>6118.46</v>
      </c>
      <c r="K3" s="44">
        <f>IF(M3=0,0,J3/M3)</f>
        <v>1</v>
      </c>
      <c r="L3" s="43">
        <f>SUBTOTAL(9,L6:L1048576)</f>
        <v>21</v>
      </c>
      <c r="M3" s="45">
        <f>SUBTOTAL(9,M6:M1048576)</f>
        <v>6118.46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131</v>
      </c>
      <c r="G4" s="348"/>
      <c r="H4" s="349"/>
      <c r="I4" s="350" t="s">
        <v>130</v>
      </c>
      <c r="J4" s="348"/>
      <c r="K4" s="349"/>
      <c r="L4" s="351" t="s">
        <v>3</v>
      </c>
      <c r="M4" s="352"/>
    </row>
    <row r="5" spans="1:13" ht="14.4" customHeight="1" thickBot="1" x14ac:dyDescent="0.35">
      <c r="A5" s="484" t="s">
        <v>136</v>
      </c>
      <c r="B5" s="505" t="s">
        <v>132</v>
      </c>
      <c r="C5" s="505" t="s">
        <v>71</v>
      </c>
      <c r="D5" s="505" t="s">
        <v>133</v>
      </c>
      <c r="E5" s="505" t="s">
        <v>134</v>
      </c>
      <c r="F5" s="506" t="s">
        <v>28</v>
      </c>
      <c r="G5" s="506" t="s">
        <v>14</v>
      </c>
      <c r="H5" s="486" t="s">
        <v>135</v>
      </c>
      <c r="I5" s="485" t="s">
        <v>28</v>
      </c>
      <c r="J5" s="506" t="s">
        <v>14</v>
      </c>
      <c r="K5" s="486" t="s">
        <v>135</v>
      </c>
      <c r="L5" s="485" t="s">
        <v>28</v>
      </c>
      <c r="M5" s="507" t="s">
        <v>14</v>
      </c>
    </row>
    <row r="6" spans="1:13" ht="14.4" customHeight="1" x14ac:dyDescent="0.3">
      <c r="A6" s="425" t="s">
        <v>528</v>
      </c>
      <c r="B6" s="426" t="s">
        <v>593</v>
      </c>
      <c r="C6" s="426" t="s">
        <v>539</v>
      </c>
      <c r="D6" s="426" t="s">
        <v>540</v>
      </c>
      <c r="E6" s="426" t="s">
        <v>541</v>
      </c>
      <c r="F6" s="429"/>
      <c r="G6" s="429"/>
      <c r="H6" s="455">
        <v>0</v>
      </c>
      <c r="I6" s="429">
        <v>1</v>
      </c>
      <c r="J6" s="429">
        <v>222.25</v>
      </c>
      <c r="K6" s="455">
        <v>1</v>
      </c>
      <c r="L6" s="429">
        <v>1</v>
      </c>
      <c r="M6" s="430">
        <v>222.25</v>
      </c>
    </row>
    <row r="7" spans="1:13" ht="14.4" customHeight="1" x14ac:dyDescent="0.3">
      <c r="A7" s="488" t="s">
        <v>529</v>
      </c>
      <c r="B7" s="508" t="s">
        <v>594</v>
      </c>
      <c r="C7" s="508" t="s">
        <v>556</v>
      </c>
      <c r="D7" s="508" t="s">
        <v>557</v>
      </c>
      <c r="E7" s="508" t="s">
        <v>558</v>
      </c>
      <c r="F7" s="489"/>
      <c r="G7" s="489"/>
      <c r="H7" s="490">
        <v>0</v>
      </c>
      <c r="I7" s="489">
        <v>4</v>
      </c>
      <c r="J7" s="489">
        <v>261.2</v>
      </c>
      <c r="K7" s="490">
        <v>1</v>
      </c>
      <c r="L7" s="489">
        <v>4</v>
      </c>
      <c r="M7" s="491">
        <v>261.2</v>
      </c>
    </row>
    <row r="8" spans="1:13" ht="14.4" customHeight="1" x14ac:dyDescent="0.3">
      <c r="A8" s="488" t="s">
        <v>529</v>
      </c>
      <c r="B8" s="508" t="s">
        <v>595</v>
      </c>
      <c r="C8" s="508" t="s">
        <v>576</v>
      </c>
      <c r="D8" s="508" t="s">
        <v>577</v>
      </c>
      <c r="E8" s="508" t="s">
        <v>558</v>
      </c>
      <c r="F8" s="489"/>
      <c r="G8" s="489"/>
      <c r="H8" s="490">
        <v>0</v>
      </c>
      <c r="I8" s="489">
        <v>6</v>
      </c>
      <c r="J8" s="489">
        <v>783.54</v>
      </c>
      <c r="K8" s="490">
        <v>1</v>
      </c>
      <c r="L8" s="489">
        <v>6</v>
      </c>
      <c r="M8" s="491">
        <v>783.54</v>
      </c>
    </row>
    <row r="9" spans="1:13" ht="14.4" customHeight="1" x14ac:dyDescent="0.3">
      <c r="A9" s="488" t="s">
        <v>529</v>
      </c>
      <c r="B9" s="508" t="s">
        <v>596</v>
      </c>
      <c r="C9" s="508" t="s">
        <v>552</v>
      </c>
      <c r="D9" s="508" t="s">
        <v>553</v>
      </c>
      <c r="E9" s="508" t="s">
        <v>554</v>
      </c>
      <c r="F9" s="489"/>
      <c r="G9" s="489"/>
      <c r="H9" s="490">
        <v>0</v>
      </c>
      <c r="I9" s="489">
        <v>1</v>
      </c>
      <c r="J9" s="489">
        <v>333.31</v>
      </c>
      <c r="K9" s="490">
        <v>1</v>
      </c>
      <c r="L9" s="489">
        <v>1</v>
      </c>
      <c r="M9" s="491">
        <v>333.31</v>
      </c>
    </row>
    <row r="10" spans="1:13" ht="14.4" customHeight="1" x14ac:dyDescent="0.3">
      <c r="A10" s="488" t="s">
        <v>529</v>
      </c>
      <c r="B10" s="508" t="s">
        <v>597</v>
      </c>
      <c r="C10" s="508" t="s">
        <v>548</v>
      </c>
      <c r="D10" s="508" t="s">
        <v>549</v>
      </c>
      <c r="E10" s="508" t="s">
        <v>550</v>
      </c>
      <c r="F10" s="489"/>
      <c r="G10" s="489"/>
      <c r="H10" s="490">
        <v>0</v>
      </c>
      <c r="I10" s="489">
        <v>2</v>
      </c>
      <c r="J10" s="489">
        <v>35.380000000000003</v>
      </c>
      <c r="K10" s="490">
        <v>1</v>
      </c>
      <c r="L10" s="489">
        <v>2</v>
      </c>
      <c r="M10" s="491">
        <v>35.380000000000003</v>
      </c>
    </row>
    <row r="11" spans="1:13" ht="14.4" customHeight="1" x14ac:dyDescent="0.3">
      <c r="A11" s="488" t="s">
        <v>529</v>
      </c>
      <c r="B11" s="508" t="s">
        <v>598</v>
      </c>
      <c r="C11" s="508" t="s">
        <v>579</v>
      </c>
      <c r="D11" s="508" t="s">
        <v>580</v>
      </c>
      <c r="E11" s="508" t="s">
        <v>581</v>
      </c>
      <c r="F11" s="489"/>
      <c r="G11" s="489"/>
      <c r="H11" s="490">
        <v>0</v>
      </c>
      <c r="I11" s="489">
        <v>6</v>
      </c>
      <c r="J11" s="489">
        <v>4069.56</v>
      </c>
      <c r="K11" s="490">
        <v>1</v>
      </c>
      <c r="L11" s="489">
        <v>6</v>
      </c>
      <c r="M11" s="491">
        <v>4069.56</v>
      </c>
    </row>
    <row r="12" spans="1:13" ht="14.4" customHeight="1" thickBot="1" x14ac:dyDescent="0.35">
      <c r="A12" s="476" t="s">
        <v>529</v>
      </c>
      <c r="B12" s="477" t="s">
        <v>599</v>
      </c>
      <c r="C12" s="477" t="s">
        <v>560</v>
      </c>
      <c r="D12" s="477" t="s">
        <v>561</v>
      </c>
      <c r="E12" s="477" t="s">
        <v>562</v>
      </c>
      <c r="F12" s="492"/>
      <c r="G12" s="492"/>
      <c r="H12" s="479">
        <v>0</v>
      </c>
      <c r="I12" s="492">
        <v>1</v>
      </c>
      <c r="J12" s="492">
        <v>413.22</v>
      </c>
      <c r="K12" s="479">
        <v>1</v>
      </c>
      <c r="L12" s="492">
        <v>1</v>
      </c>
      <c r="M12" s="493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140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262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5" t="s">
        <v>442</v>
      </c>
      <c r="B5" s="416" t="s">
        <v>443</v>
      </c>
      <c r="C5" s="417" t="s">
        <v>444</v>
      </c>
      <c r="D5" s="417" t="s">
        <v>444</v>
      </c>
      <c r="E5" s="417"/>
      <c r="F5" s="417" t="s">
        <v>444</v>
      </c>
      <c r="G5" s="417" t="s">
        <v>444</v>
      </c>
      <c r="H5" s="417" t="s">
        <v>444</v>
      </c>
      <c r="I5" s="418" t="s">
        <v>444</v>
      </c>
      <c r="J5" s="419" t="s">
        <v>69</v>
      </c>
    </row>
    <row r="6" spans="1:10" ht="14.4" customHeight="1" x14ac:dyDescent="0.3">
      <c r="A6" s="415" t="s">
        <v>442</v>
      </c>
      <c r="B6" s="416" t="s">
        <v>277</v>
      </c>
      <c r="C6" s="417">
        <v>464.87563</v>
      </c>
      <c r="D6" s="417">
        <v>498.78776999999997</v>
      </c>
      <c r="E6" s="417"/>
      <c r="F6" s="417">
        <v>503.49037000000101</v>
      </c>
      <c r="G6" s="417">
        <v>972.66666666666663</v>
      </c>
      <c r="H6" s="417">
        <v>-469.17629666666562</v>
      </c>
      <c r="I6" s="418">
        <v>0.51763917409184479</v>
      </c>
      <c r="J6" s="419" t="s">
        <v>1</v>
      </c>
    </row>
    <row r="7" spans="1:10" ht="14.4" customHeight="1" x14ac:dyDescent="0.3">
      <c r="A7" s="415" t="s">
        <v>442</v>
      </c>
      <c r="B7" s="416" t="s">
        <v>278</v>
      </c>
      <c r="C7" s="417">
        <v>33.101599999999998</v>
      </c>
      <c r="D7" s="417">
        <v>28.526200000000003</v>
      </c>
      <c r="E7" s="417"/>
      <c r="F7" s="417">
        <v>48.938639999999999</v>
      </c>
      <c r="G7" s="417">
        <v>34.333333333333336</v>
      </c>
      <c r="H7" s="417">
        <v>14.605306666666664</v>
      </c>
      <c r="I7" s="418">
        <v>1.425397281553398</v>
      </c>
      <c r="J7" s="419" t="s">
        <v>1</v>
      </c>
    </row>
    <row r="8" spans="1:10" ht="14.4" customHeight="1" x14ac:dyDescent="0.3">
      <c r="A8" s="415" t="s">
        <v>442</v>
      </c>
      <c r="B8" s="416" t="s">
        <v>279</v>
      </c>
      <c r="C8" s="417">
        <v>8.7984299999999998</v>
      </c>
      <c r="D8" s="417">
        <v>9.3052599999989987</v>
      </c>
      <c r="E8" s="417"/>
      <c r="F8" s="417">
        <v>4.7647899999999996</v>
      </c>
      <c r="G8" s="417">
        <v>10.333333333333332</v>
      </c>
      <c r="H8" s="417">
        <v>-5.5685433333333325</v>
      </c>
      <c r="I8" s="418">
        <v>0.46110870967741935</v>
      </c>
      <c r="J8" s="419" t="s">
        <v>1</v>
      </c>
    </row>
    <row r="9" spans="1:10" ht="14.4" customHeight="1" x14ac:dyDescent="0.3">
      <c r="A9" s="415" t="s">
        <v>442</v>
      </c>
      <c r="B9" s="416" t="s">
        <v>280</v>
      </c>
      <c r="C9" s="417">
        <v>25.951260000000001</v>
      </c>
      <c r="D9" s="417">
        <v>49.272739999999999</v>
      </c>
      <c r="E9" s="417"/>
      <c r="F9" s="417">
        <v>62.553759999999997</v>
      </c>
      <c r="G9" s="417">
        <v>102</v>
      </c>
      <c r="H9" s="417">
        <v>-39.446240000000003</v>
      </c>
      <c r="I9" s="418">
        <v>0.61327215686274505</v>
      </c>
      <c r="J9" s="419" t="s">
        <v>1</v>
      </c>
    </row>
    <row r="10" spans="1:10" ht="14.4" customHeight="1" x14ac:dyDescent="0.3">
      <c r="A10" s="415" t="s">
        <v>442</v>
      </c>
      <c r="B10" s="416" t="s">
        <v>601</v>
      </c>
      <c r="C10" s="417">
        <v>0</v>
      </c>
      <c r="D10" s="417" t="s">
        <v>444</v>
      </c>
      <c r="E10" s="417"/>
      <c r="F10" s="417" t="s">
        <v>444</v>
      </c>
      <c r="G10" s="417" t="s">
        <v>444</v>
      </c>
      <c r="H10" s="417" t="s">
        <v>444</v>
      </c>
      <c r="I10" s="418" t="s">
        <v>444</v>
      </c>
      <c r="J10" s="419" t="s">
        <v>1</v>
      </c>
    </row>
    <row r="11" spans="1:10" ht="14.4" customHeight="1" x14ac:dyDescent="0.3">
      <c r="A11" s="415" t="s">
        <v>442</v>
      </c>
      <c r="B11" s="416" t="s">
        <v>281</v>
      </c>
      <c r="C11" s="417">
        <v>1.6045</v>
      </c>
      <c r="D11" s="417">
        <v>2.5434999999989998</v>
      </c>
      <c r="E11" s="417"/>
      <c r="F11" s="417">
        <v>1.4315</v>
      </c>
      <c r="G11" s="417">
        <v>6</v>
      </c>
      <c r="H11" s="417">
        <v>-4.5685000000000002</v>
      </c>
      <c r="I11" s="418">
        <v>0.23858333333333334</v>
      </c>
      <c r="J11" s="419" t="s">
        <v>1</v>
      </c>
    </row>
    <row r="12" spans="1:10" ht="14.4" customHeight="1" x14ac:dyDescent="0.3">
      <c r="A12" s="415" t="s">
        <v>442</v>
      </c>
      <c r="B12" s="416" t="s">
        <v>282</v>
      </c>
      <c r="C12" s="417">
        <v>2.8405</v>
      </c>
      <c r="D12" s="417">
        <v>4.1115399999979996</v>
      </c>
      <c r="E12" s="417"/>
      <c r="F12" s="417">
        <v>3.9286400000000001</v>
      </c>
      <c r="G12" s="417">
        <v>11.333333333333334</v>
      </c>
      <c r="H12" s="417">
        <v>-7.4046933333333342</v>
      </c>
      <c r="I12" s="418">
        <v>0.34664470588235291</v>
      </c>
      <c r="J12" s="419" t="s">
        <v>1</v>
      </c>
    </row>
    <row r="13" spans="1:10" ht="14.4" customHeight="1" x14ac:dyDescent="0.3">
      <c r="A13" s="415" t="s">
        <v>442</v>
      </c>
      <c r="B13" s="416" t="s">
        <v>445</v>
      </c>
      <c r="C13" s="417">
        <v>537.17192000000011</v>
      </c>
      <c r="D13" s="417">
        <v>592.54700999999579</v>
      </c>
      <c r="E13" s="417"/>
      <c r="F13" s="417">
        <v>625.10770000000093</v>
      </c>
      <c r="G13" s="417">
        <v>1136.6666666666667</v>
      </c>
      <c r="H13" s="417">
        <v>-511.55896666666581</v>
      </c>
      <c r="I13" s="418">
        <v>0.54994812316715624</v>
      </c>
      <c r="J13" s="419" t="s">
        <v>446</v>
      </c>
    </row>
    <row r="15" spans="1:10" ht="14.4" customHeight="1" x14ac:dyDescent="0.3">
      <c r="A15" s="415" t="s">
        <v>442</v>
      </c>
      <c r="B15" s="416" t="s">
        <v>443</v>
      </c>
      <c r="C15" s="417" t="s">
        <v>444</v>
      </c>
      <c r="D15" s="417" t="s">
        <v>444</v>
      </c>
      <c r="E15" s="417"/>
      <c r="F15" s="417" t="s">
        <v>444</v>
      </c>
      <c r="G15" s="417" t="s">
        <v>444</v>
      </c>
      <c r="H15" s="417" t="s">
        <v>444</v>
      </c>
      <c r="I15" s="418" t="s">
        <v>444</v>
      </c>
      <c r="J15" s="419" t="s">
        <v>69</v>
      </c>
    </row>
    <row r="16" spans="1:10" ht="14.4" customHeight="1" x14ac:dyDescent="0.3">
      <c r="A16" s="415" t="s">
        <v>452</v>
      </c>
      <c r="B16" s="416" t="s">
        <v>453</v>
      </c>
      <c r="C16" s="417" t="s">
        <v>444</v>
      </c>
      <c r="D16" s="417" t="s">
        <v>444</v>
      </c>
      <c r="E16" s="417"/>
      <c r="F16" s="417" t="s">
        <v>444</v>
      </c>
      <c r="G16" s="417" t="s">
        <v>444</v>
      </c>
      <c r="H16" s="417" t="s">
        <v>444</v>
      </c>
      <c r="I16" s="418" t="s">
        <v>444</v>
      </c>
      <c r="J16" s="419" t="s">
        <v>0</v>
      </c>
    </row>
    <row r="17" spans="1:10" ht="14.4" customHeight="1" x14ac:dyDescent="0.3">
      <c r="A17" s="415" t="s">
        <v>452</v>
      </c>
      <c r="B17" s="416" t="s">
        <v>277</v>
      </c>
      <c r="C17" s="417">
        <v>0</v>
      </c>
      <c r="D17" s="417">
        <v>5.8669200000000004</v>
      </c>
      <c r="E17" s="417"/>
      <c r="F17" s="417">
        <v>0</v>
      </c>
      <c r="G17" s="417">
        <v>2</v>
      </c>
      <c r="H17" s="417">
        <v>-2</v>
      </c>
      <c r="I17" s="418">
        <v>0</v>
      </c>
      <c r="J17" s="419" t="s">
        <v>1</v>
      </c>
    </row>
    <row r="18" spans="1:10" ht="14.4" customHeight="1" x14ac:dyDescent="0.3">
      <c r="A18" s="415" t="s">
        <v>452</v>
      </c>
      <c r="B18" s="416" t="s">
        <v>278</v>
      </c>
      <c r="C18" s="417">
        <v>3.08</v>
      </c>
      <c r="D18" s="417" t="s">
        <v>444</v>
      </c>
      <c r="E18" s="417"/>
      <c r="F18" s="417" t="s">
        <v>444</v>
      </c>
      <c r="G18" s="417" t="s">
        <v>444</v>
      </c>
      <c r="H18" s="417" t="s">
        <v>444</v>
      </c>
      <c r="I18" s="418" t="s">
        <v>444</v>
      </c>
      <c r="J18" s="419" t="s">
        <v>1</v>
      </c>
    </row>
    <row r="19" spans="1:10" ht="14.4" customHeight="1" x14ac:dyDescent="0.3">
      <c r="A19" s="415" t="s">
        <v>452</v>
      </c>
      <c r="B19" s="416" t="s">
        <v>279</v>
      </c>
      <c r="C19" s="417">
        <v>6.32273</v>
      </c>
      <c r="D19" s="417">
        <v>8.0879399999999997</v>
      </c>
      <c r="E19" s="417"/>
      <c r="F19" s="417">
        <v>3.3884799999999999</v>
      </c>
      <c r="G19" s="417">
        <v>7.333333333333333</v>
      </c>
      <c r="H19" s="417">
        <v>-3.9448533333333331</v>
      </c>
      <c r="I19" s="418">
        <v>0.46206545454545456</v>
      </c>
      <c r="J19" s="419" t="s">
        <v>1</v>
      </c>
    </row>
    <row r="20" spans="1:10" ht="14.4" customHeight="1" x14ac:dyDescent="0.3">
      <c r="A20" s="415" t="s">
        <v>452</v>
      </c>
      <c r="B20" s="416" t="s">
        <v>280</v>
      </c>
      <c r="C20" s="417">
        <v>12.72828</v>
      </c>
      <c r="D20" s="417">
        <v>9.1962299999999999</v>
      </c>
      <c r="E20" s="417"/>
      <c r="F20" s="417">
        <v>7.86592</v>
      </c>
      <c r="G20" s="417">
        <v>11.666666666666666</v>
      </c>
      <c r="H20" s="417">
        <v>-3.8007466666666661</v>
      </c>
      <c r="I20" s="418">
        <v>0.67422171428571431</v>
      </c>
      <c r="J20" s="419" t="s">
        <v>1</v>
      </c>
    </row>
    <row r="21" spans="1:10" ht="14.4" customHeight="1" x14ac:dyDescent="0.3">
      <c r="A21" s="415" t="s">
        <v>452</v>
      </c>
      <c r="B21" s="416" t="s">
        <v>601</v>
      </c>
      <c r="C21" s="417">
        <v>0</v>
      </c>
      <c r="D21" s="417" t="s">
        <v>444</v>
      </c>
      <c r="E21" s="417"/>
      <c r="F21" s="417" t="s">
        <v>444</v>
      </c>
      <c r="G21" s="417" t="s">
        <v>444</v>
      </c>
      <c r="H21" s="417" t="s">
        <v>444</v>
      </c>
      <c r="I21" s="418" t="s">
        <v>444</v>
      </c>
      <c r="J21" s="419" t="s">
        <v>1</v>
      </c>
    </row>
    <row r="22" spans="1:10" ht="14.4" customHeight="1" x14ac:dyDescent="0.3">
      <c r="A22" s="415" t="s">
        <v>452</v>
      </c>
      <c r="B22" s="416" t="s">
        <v>281</v>
      </c>
      <c r="C22" s="417">
        <v>1.3145</v>
      </c>
      <c r="D22" s="417">
        <v>2.3654999999999999</v>
      </c>
      <c r="E22" s="417"/>
      <c r="F22" s="417">
        <v>1.2195</v>
      </c>
      <c r="G22" s="417">
        <v>4.666666666666667</v>
      </c>
      <c r="H22" s="417">
        <v>-3.4471666666666669</v>
      </c>
      <c r="I22" s="418">
        <v>0.26132142857142854</v>
      </c>
      <c r="J22" s="419" t="s">
        <v>1</v>
      </c>
    </row>
    <row r="23" spans="1:10" ht="14.4" customHeight="1" x14ac:dyDescent="0.3">
      <c r="A23" s="415" t="s">
        <v>452</v>
      </c>
      <c r="B23" s="416" t="s">
        <v>282</v>
      </c>
      <c r="C23" s="417">
        <v>0.246</v>
      </c>
      <c r="D23" s="417">
        <v>1.852039999999</v>
      </c>
      <c r="E23" s="417"/>
      <c r="F23" s="417">
        <v>1.4668000000000001</v>
      </c>
      <c r="G23" s="417">
        <v>2.3333333333333335</v>
      </c>
      <c r="H23" s="417">
        <v>-0.86653333333333338</v>
      </c>
      <c r="I23" s="418">
        <v>0.62862857142857143</v>
      </c>
      <c r="J23" s="419" t="s">
        <v>1</v>
      </c>
    </row>
    <row r="24" spans="1:10" ht="14.4" customHeight="1" x14ac:dyDescent="0.3">
      <c r="A24" s="415" t="s">
        <v>452</v>
      </c>
      <c r="B24" s="416" t="s">
        <v>454</v>
      </c>
      <c r="C24" s="417">
        <v>23.691509999999997</v>
      </c>
      <c r="D24" s="417">
        <v>27.368629999999001</v>
      </c>
      <c r="E24" s="417"/>
      <c r="F24" s="417">
        <v>13.9407</v>
      </c>
      <c r="G24" s="417">
        <v>28</v>
      </c>
      <c r="H24" s="417">
        <v>-14.0593</v>
      </c>
      <c r="I24" s="418">
        <v>0.49788214285714283</v>
      </c>
      <c r="J24" s="419" t="s">
        <v>450</v>
      </c>
    </row>
    <row r="25" spans="1:10" ht="14.4" customHeight="1" x14ac:dyDescent="0.3">
      <c r="A25" s="415" t="s">
        <v>444</v>
      </c>
      <c r="B25" s="416" t="s">
        <v>444</v>
      </c>
      <c r="C25" s="417" t="s">
        <v>444</v>
      </c>
      <c r="D25" s="417" t="s">
        <v>444</v>
      </c>
      <c r="E25" s="417"/>
      <c r="F25" s="417" t="s">
        <v>444</v>
      </c>
      <c r="G25" s="417" t="s">
        <v>444</v>
      </c>
      <c r="H25" s="417" t="s">
        <v>444</v>
      </c>
      <c r="I25" s="418" t="s">
        <v>444</v>
      </c>
      <c r="J25" s="419" t="s">
        <v>451</v>
      </c>
    </row>
    <row r="26" spans="1:10" ht="14.4" customHeight="1" x14ac:dyDescent="0.3">
      <c r="A26" s="415" t="s">
        <v>455</v>
      </c>
      <c r="B26" s="416" t="s">
        <v>456</v>
      </c>
      <c r="C26" s="417" t="s">
        <v>444</v>
      </c>
      <c r="D26" s="417" t="s">
        <v>444</v>
      </c>
      <c r="E26" s="417"/>
      <c r="F26" s="417" t="s">
        <v>444</v>
      </c>
      <c r="G26" s="417" t="s">
        <v>444</v>
      </c>
      <c r="H26" s="417" t="s">
        <v>444</v>
      </c>
      <c r="I26" s="418" t="s">
        <v>444</v>
      </c>
      <c r="J26" s="419" t="s">
        <v>0</v>
      </c>
    </row>
    <row r="27" spans="1:10" ht="14.4" customHeight="1" x14ac:dyDescent="0.3">
      <c r="A27" s="415" t="s">
        <v>455</v>
      </c>
      <c r="B27" s="416" t="s">
        <v>277</v>
      </c>
      <c r="C27" s="417">
        <v>464.87563</v>
      </c>
      <c r="D27" s="417">
        <v>492.92084999999997</v>
      </c>
      <c r="E27" s="417"/>
      <c r="F27" s="417">
        <v>503.49037000000101</v>
      </c>
      <c r="G27" s="417">
        <v>970.66666666666663</v>
      </c>
      <c r="H27" s="417">
        <v>-467.17629666666562</v>
      </c>
      <c r="I27" s="418">
        <v>0.51870573832417688</v>
      </c>
      <c r="J27" s="419" t="s">
        <v>1</v>
      </c>
    </row>
    <row r="28" spans="1:10" ht="14.4" customHeight="1" x14ac:dyDescent="0.3">
      <c r="A28" s="415" t="s">
        <v>455</v>
      </c>
      <c r="B28" s="416" t="s">
        <v>278</v>
      </c>
      <c r="C28" s="417">
        <v>30.021599999999999</v>
      </c>
      <c r="D28" s="417">
        <v>28.526200000000003</v>
      </c>
      <c r="E28" s="417"/>
      <c r="F28" s="417">
        <v>48.938639999999999</v>
      </c>
      <c r="G28" s="417">
        <v>34.333333333333336</v>
      </c>
      <c r="H28" s="417">
        <v>14.605306666666664</v>
      </c>
      <c r="I28" s="418">
        <v>1.425397281553398</v>
      </c>
      <c r="J28" s="419" t="s">
        <v>1</v>
      </c>
    </row>
    <row r="29" spans="1:10" ht="14.4" customHeight="1" x14ac:dyDescent="0.3">
      <c r="A29" s="415" t="s">
        <v>455</v>
      </c>
      <c r="B29" s="416" t="s">
        <v>279</v>
      </c>
      <c r="C29" s="417">
        <v>2.4757000000000002</v>
      </c>
      <c r="D29" s="417">
        <v>1.2173199999989999</v>
      </c>
      <c r="E29" s="417"/>
      <c r="F29" s="417">
        <v>1.3763099999999999</v>
      </c>
      <c r="G29" s="417">
        <v>3</v>
      </c>
      <c r="H29" s="417">
        <v>-1.6236900000000001</v>
      </c>
      <c r="I29" s="418">
        <v>0.45876999999999996</v>
      </c>
      <c r="J29" s="419" t="s">
        <v>1</v>
      </c>
    </row>
    <row r="30" spans="1:10" ht="14.4" customHeight="1" x14ac:dyDescent="0.3">
      <c r="A30" s="415" t="s">
        <v>455</v>
      </c>
      <c r="B30" s="416" t="s">
        <v>280</v>
      </c>
      <c r="C30" s="417">
        <v>13.222980000000002</v>
      </c>
      <c r="D30" s="417">
        <v>40.076509999999999</v>
      </c>
      <c r="E30" s="417"/>
      <c r="F30" s="417">
        <v>54.687839999999994</v>
      </c>
      <c r="G30" s="417">
        <v>90.333333333333329</v>
      </c>
      <c r="H30" s="417">
        <v>-35.645493333333334</v>
      </c>
      <c r="I30" s="418">
        <v>0.60540044280442806</v>
      </c>
      <c r="J30" s="419" t="s">
        <v>1</v>
      </c>
    </row>
    <row r="31" spans="1:10" ht="14.4" customHeight="1" x14ac:dyDescent="0.3">
      <c r="A31" s="415" t="s">
        <v>455</v>
      </c>
      <c r="B31" s="416" t="s">
        <v>281</v>
      </c>
      <c r="C31" s="417">
        <v>0.28999999999999998</v>
      </c>
      <c r="D31" s="417">
        <v>0.17799999999899999</v>
      </c>
      <c r="E31" s="417"/>
      <c r="F31" s="417">
        <v>0.21199999999999999</v>
      </c>
      <c r="G31" s="417">
        <v>1.3333333333333333</v>
      </c>
      <c r="H31" s="417">
        <v>-1.1213333333333333</v>
      </c>
      <c r="I31" s="418">
        <v>0.159</v>
      </c>
      <c r="J31" s="419" t="s">
        <v>1</v>
      </c>
    </row>
    <row r="32" spans="1:10" ht="14.4" customHeight="1" x14ac:dyDescent="0.3">
      <c r="A32" s="415" t="s">
        <v>455</v>
      </c>
      <c r="B32" s="416" t="s">
        <v>282</v>
      </c>
      <c r="C32" s="417">
        <v>2.5945</v>
      </c>
      <c r="D32" s="417">
        <v>2.259499999999</v>
      </c>
      <c r="E32" s="417"/>
      <c r="F32" s="417">
        <v>2.46184</v>
      </c>
      <c r="G32" s="417">
        <v>9</v>
      </c>
      <c r="H32" s="417">
        <v>-6.5381599999999995</v>
      </c>
      <c r="I32" s="418">
        <v>0.27353777777777777</v>
      </c>
      <c r="J32" s="419" t="s">
        <v>1</v>
      </c>
    </row>
    <row r="33" spans="1:10" ht="14.4" customHeight="1" x14ac:dyDescent="0.3">
      <c r="A33" s="415" t="s">
        <v>455</v>
      </c>
      <c r="B33" s="416" t="s">
        <v>457</v>
      </c>
      <c r="C33" s="417">
        <v>513.48041000000001</v>
      </c>
      <c r="D33" s="417">
        <v>565.17837999999688</v>
      </c>
      <c r="E33" s="417"/>
      <c r="F33" s="417">
        <v>611.16700000000094</v>
      </c>
      <c r="G33" s="417">
        <v>1108.6666666666665</v>
      </c>
      <c r="H33" s="417">
        <v>-497.49966666666558</v>
      </c>
      <c r="I33" s="418">
        <v>0.55126307877330216</v>
      </c>
      <c r="J33" s="419" t="s">
        <v>450</v>
      </c>
    </row>
    <row r="34" spans="1:10" ht="14.4" customHeight="1" x14ac:dyDescent="0.3">
      <c r="A34" s="415" t="s">
        <v>444</v>
      </c>
      <c r="B34" s="416" t="s">
        <v>444</v>
      </c>
      <c r="C34" s="417" t="s">
        <v>444</v>
      </c>
      <c r="D34" s="417" t="s">
        <v>444</v>
      </c>
      <c r="E34" s="417"/>
      <c r="F34" s="417" t="s">
        <v>444</v>
      </c>
      <c r="G34" s="417" t="s">
        <v>444</v>
      </c>
      <c r="H34" s="417" t="s">
        <v>444</v>
      </c>
      <c r="I34" s="418" t="s">
        <v>444</v>
      </c>
      <c r="J34" s="419" t="s">
        <v>451</v>
      </c>
    </row>
    <row r="35" spans="1:10" ht="14.4" customHeight="1" x14ac:dyDescent="0.3">
      <c r="A35" s="415" t="s">
        <v>442</v>
      </c>
      <c r="B35" s="416" t="s">
        <v>445</v>
      </c>
      <c r="C35" s="417">
        <v>537.17192</v>
      </c>
      <c r="D35" s="417">
        <v>592.54700999999591</v>
      </c>
      <c r="E35" s="417"/>
      <c r="F35" s="417">
        <v>625.10770000000105</v>
      </c>
      <c r="G35" s="417">
        <v>1136.6666666666665</v>
      </c>
      <c r="H35" s="417">
        <v>-511.55896666666547</v>
      </c>
      <c r="I35" s="418">
        <v>0.54994812316715647</v>
      </c>
      <c r="J35" s="419" t="s">
        <v>446</v>
      </c>
    </row>
  </sheetData>
  <mergeCells count="3">
    <mergeCell ref="A1:I1"/>
    <mergeCell ref="F3:I3"/>
    <mergeCell ref="C4:D4"/>
  </mergeCells>
  <conditionalFormatting sqref="F14 F36:F65537">
    <cfRule type="cellIs" dxfId="18" priority="18" stopIfTrue="1" operator="greaterThan">
      <formula>1</formula>
    </cfRule>
  </conditionalFormatting>
  <conditionalFormatting sqref="H5:H13">
    <cfRule type="expression" dxfId="17" priority="14">
      <formula>$H5&gt;0</formula>
    </cfRule>
  </conditionalFormatting>
  <conditionalFormatting sqref="I5:I13">
    <cfRule type="expression" dxfId="16" priority="15">
      <formula>$I5&gt;1</formula>
    </cfRule>
  </conditionalFormatting>
  <conditionalFormatting sqref="B5:B13">
    <cfRule type="expression" dxfId="15" priority="11">
      <formula>OR($J5="NS",$J5="SumaNS",$J5="Účet")</formula>
    </cfRule>
  </conditionalFormatting>
  <conditionalFormatting sqref="F5:I13 B5:D13">
    <cfRule type="expression" dxfId="14" priority="17">
      <formula>AND($J5&lt;&gt;"",$J5&lt;&gt;"mezeraKL")</formula>
    </cfRule>
  </conditionalFormatting>
  <conditionalFormatting sqref="B5:D13 F5:I13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2" priority="13">
      <formula>OR($J5="SumaNS",$J5="NS")</formula>
    </cfRule>
  </conditionalFormatting>
  <conditionalFormatting sqref="A5:A13">
    <cfRule type="expression" dxfId="11" priority="9">
      <formula>AND($J5&lt;&gt;"mezeraKL",$J5&lt;&gt;"")</formula>
    </cfRule>
  </conditionalFormatting>
  <conditionalFormatting sqref="A5:A13">
    <cfRule type="expression" dxfId="10" priority="10">
      <formula>AND($J5&lt;&gt;"",$J5&lt;&gt;"mezeraKL")</formula>
    </cfRule>
  </conditionalFormatting>
  <conditionalFormatting sqref="H15:H35">
    <cfRule type="expression" dxfId="9" priority="5">
      <formula>$H15&gt;0</formula>
    </cfRule>
  </conditionalFormatting>
  <conditionalFormatting sqref="A15:A35">
    <cfRule type="expression" dxfId="8" priority="2">
      <formula>AND($J15&lt;&gt;"mezeraKL",$J15&lt;&gt;"")</formula>
    </cfRule>
  </conditionalFormatting>
  <conditionalFormatting sqref="I15:I35">
    <cfRule type="expression" dxfId="7" priority="6">
      <formula>$I15&gt;1</formula>
    </cfRule>
  </conditionalFormatting>
  <conditionalFormatting sqref="B15:B35">
    <cfRule type="expression" dxfId="6" priority="1">
      <formula>OR($J15="NS",$J15="SumaNS",$J15="Účet")</formula>
    </cfRule>
  </conditionalFormatting>
  <conditionalFormatting sqref="A15:D35 F15:I35">
    <cfRule type="expression" dxfId="5" priority="8">
      <formula>AND($J15&lt;&gt;"",$J15&lt;&gt;"mezeraKL")</formula>
    </cfRule>
  </conditionalFormatting>
  <conditionalFormatting sqref="B15:D35 F15:I35">
    <cfRule type="expression" dxfId="4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5 F15:I35">
    <cfRule type="expression" dxfId="3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12.44140625" style="210" hidden="1" customWidth="1" outlineLevel="1"/>
    <col min="8" max="8" width="25.77734375" style="210" customWidth="1" collapsed="1"/>
    <col min="9" max="9" width="7.77734375" style="208" customWidth="1"/>
    <col min="10" max="10" width="10" style="208" customWidth="1"/>
    <col min="11" max="11" width="11.109375" style="208" customWidth="1"/>
    <col min="12" max="16384" width="8.88671875" style="130"/>
  </cols>
  <sheetData>
    <row r="1" spans="1:11" ht="18.600000000000001" customHeight="1" thickBot="1" x14ac:dyDescent="0.4">
      <c r="A1" s="341" t="s">
        <v>862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4.4" customHeight="1" thickBot="1" x14ac:dyDescent="0.35">
      <c r="A2" s="235" t="s">
        <v>263</v>
      </c>
      <c r="B2" s="62"/>
      <c r="C2" s="212"/>
      <c r="D2" s="212"/>
      <c r="E2" s="212"/>
      <c r="F2" s="212"/>
      <c r="G2" s="212"/>
      <c r="H2" s="212"/>
      <c r="I2" s="213"/>
      <c r="J2" s="213"/>
      <c r="K2" s="213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2" t="s">
        <v>129</v>
      </c>
      <c r="I3" s="98">
        <f>IF(J3&lt;&gt;0,K3/J3,0)</f>
        <v>11.02468428703879</v>
      </c>
      <c r="J3" s="98">
        <f>SUBTOTAL(9,J5:J1048576)</f>
        <v>57482</v>
      </c>
      <c r="K3" s="99">
        <f>SUBTOTAL(9,K5:K1048576)</f>
        <v>633720.90218756371</v>
      </c>
    </row>
    <row r="4" spans="1:11" s="209" customFormat="1" ht="14.4" customHeight="1" thickBot="1" x14ac:dyDescent="0.35">
      <c r="A4" s="420" t="s">
        <v>4</v>
      </c>
      <c r="B4" s="421" t="s">
        <v>5</v>
      </c>
      <c r="C4" s="421" t="s">
        <v>0</v>
      </c>
      <c r="D4" s="421" t="s">
        <v>6</v>
      </c>
      <c r="E4" s="421" t="s">
        <v>7</v>
      </c>
      <c r="F4" s="421" t="s">
        <v>1</v>
      </c>
      <c r="G4" s="421" t="s">
        <v>71</v>
      </c>
      <c r="H4" s="422" t="s">
        <v>11</v>
      </c>
      <c r="I4" s="423" t="s">
        <v>143</v>
      </c>
      <c r="J4" s="423" t="s">
        <v>13</v>
      </c>
      <c r="K4" s="424" t="s">
        <v>157</v>
      </c>
    </row>
    <row r="5" spans="1:11" ht="14.4" customHeight="1" x14ac:dyDescent="0.3">
      <c r="A5" s="425" t="s">
        <v>442</v>
      </c>
      <c r="B5" s="426" t="s">
        <v>520</v>
      </c>
      <c r="C5" s="427" t="s">
        <v>452</v>
      </c>
      <c r="D5" s="428" t="s">
        <v>521</v>
      </c>
      <c r="E5" s="427" t="s">
        <v>850</v>
      </c>
      <c r="F5" s="428" t="s">
        <v>851</v>
      </c>
      <c r="G5" s="427" t="s">
        <v>602</v>
      </c>
      <c r="H5" s="427" t="s">
        <v>603</v>
      </c>
      <c r="I5" s="429">
        <v>260.3</v>
      </c>
      <c r="J5" s="429">
        <v>6</v>
      </c>
      <c r="K5" s="430">
        <v>1561.8000000000002</v>
      </c>
    </row>
    <row r="6" spans="1:11" ht="14.4" customHeight="1" x14ac:dyDescent="0.3">
      <c r="A6" s="488" t="s">
        <v>442</v>
      </c>
      <c r="B6" s="508" t="s">
        <v>520</v>
      </c>
      <c r="C6" s="509" t="s">
        <v>452</v>
      </c>
      <c r="D6" s="510" t="s">
        <v>521</v>
      </c>
      <c r="E6" s="509" t="s">
        <v>850</v>
      </c>
      <c r="F6" s="510" t="s">
        <v>851</v>
      </c>
      <c r="G6" s="509" t="s">
        <v>604</v>
      </c>
      <c r="H6" s="509" t="s">
        <v>605</v>
      </c>
      <c r="I6" s="489">
        <v>27.365000000000002</v>
      </c>
      <c r="J6" s="489">
        <v>15</v>
      </c>
      <c r="K6" s="491">
        <v>410.5</v>
      </c>
    </row>
    <row r="7" spans="1:11" ht="14.4" customHeight="1" x14ac:dyDescent="0.3">
      <c r="A7" s="488" t="s">
        <v>442</v>
      </c>
      <c r="B7" s="508" t="s">
        <v>520</v>
      </c>
      <c r="C7" s="509" t="s">
        <v>452</v>
      </c>
      <c r="D7" s="510" t="s">
        <v>521</v>
      </c>
      <c r="E7" s="509" t="s">
        <v>850</v>
      </c>
      <c r="F7" s="510" t="s">
        <v>851</v>
      </c>
      <c r="G7" s="509" t="s">
        <v>606</v>
      </c>
      <c r="H7" s="509" t="s">
        <v>607</v>
      </c>
      <c r="I7" s="489">
        <v>41.545000000000002</v>
      </c>
      <c r="J7" s="489">
        <v>30</v>
      </c>
      <c r="K7" s="491">
        <v>1246.4000000000001</v>
      </c>
    </row>
    <row r="8" spans="1:11" ht="14.4" customHeight="1" x14ac:dyDescent="0.3">
      <c r="A8" s="488" t="s">
        <v>442</v>
      </c>
      <c r="B8" s="508" t="s">
        <v>520</v>
      </c>
      <c r="C8" s="509" t="s">
        <v>452</v>
      </c>
      <c r="D8" s="510" t="s">
        <v>521</v>
      </c>
      <c r="E8" s="509" t="s">
        <v>850</v>
      </c>
      <c r="F8" s="510" t="s">
        <v>851</v>
      </c>
      <c r="G8" s="509" t="s">
        <v>608</v>
      </c>
      <c r="H8" s="509" t="s">
        <v>609</v>
      </c>
      <c r="I8" s="489">
        <v>28.296666666666667</v>
      </c>
      <c r="J8" s="489">
        <v>6</v>
      </c>
      <c r="K8" s="491">
        <v>169.78</v>
      </c>
    </row>
    <row r="9" spans="1:11" ht="14.4" customHeight="1" x14ac:dyDescent="0.3">
      <c r="A9" s="488" t="s">
        <v>442</v>
      </c>
      <c r="B9" s="508" t="s">
        <v>520</v>
      </c>
      <c r="C9" s="509" t="s">
        <v>452</v>
      </c>
      <c r="D9" s="510" t="s">
        <v>521</v>
      </c>
      <c r="E9" s="509" t="s">
        <v>852</v>
      </c>
      <c r="F9" s="510" t="s">
        <v>853</v>
      </c>
      <c r="G9" s="509" t="s">
        <v>610</v>
      </c>
      <c r="H9" s="509" t="s">
        <v>611</v>
      </c>
      <c r="I9" s="489">
        <v>68.510000000000005</v>
      </c>
      <c r="J9" s="489">
        <v>2</v>
      </c>
      <c r="K9" s="491">
        <v>137.02000000000001</v>
      </c>
    </row>
    <row r="10" spans="1:11" ht="14.4" customHeight="1" x14ac:dyDescent="0.3">
      <c r="A10" s="488" t="s">
        <v>442</v>
      </c>
      <c r="B10" s="508" t="s">
        <v>520</v>
      </c>
      <c r="C10" s="509" t="s">
        <v>452</v>
      </c>
      <c r="D10" s="510" t="s">
        <v>521</v>
      </c>
      <c r="E10" s="509" t="s">
        <v>852</v>
      </c>
      <c r="F10" s="510" t="s">
        <v>853</v>
      </c>
      <c r="G10" s="509" t="s">
        <v>612</v>
      </c>
      <c r="H10" s="509" t="s">
        <v>613</v>
      </c>
      <c r="I10" s="489">
        <v>2.37</v>
      </c>
      <c r="J10" s="489">
        <v>15</v>
      </c>
      <c r="K10" s="491">
        <v>35.549999999999997</v>
      </c>
    </row>
    <row r="11" spans="1:11" ht="14.4" customHeight="1" x14ac:dyDescent="0.3">
      <c r="A11" s="488" t="s">
        <v>442</v>
      </c>
      <c r="B11" s="508" t="s">
        <v>520</v>
      </c>
      <c r="C11" s="509" t="s">
        <v>452</v>
      </c>
      <c r="D11" s="510" t="s">
        <v>521</v>
      </c>
      <c r="E11" s="509" t="s">
        <v>852</v>
      </c>
      <c r="F11" s="510" t="s">
        <v>853</v>
      </c>
      <c r="G11" s="509" t="s">
        <v>614</v>
      </c>
      <c r="H11" s="509" t="s">
        <v>615</v>
      </c>
      <c r="I11" s="489">
        <v>1.78</v>
      </c>
      <c r="J11" s="489">
        <v>20</v>
      </c>
      <c r="K11" s="491">
        <v>35.6</v>
      </c>
    </row>
    <row r="12" spans="1:11" ht="14.4" customHeight="1" x14ac:dyDescent="0.3">
      <c r="A12" s="488" t="s">
        <v>442</v>
      </c>
      <c r="B12" s="508" t="s">
        <v>520</v>
      </c>
      <c r="C12" s="509" t="s">
        <v>452</v>
      </c>
      <c r="D12" s="510" t="s">
        <v>521</v>
      </c>
      <c r="E12" s="509" t="s">
        <v>852</v>
      </c>
      <c r="F12" s="510" t="s">
        <v>853</v>
      </c>
      <c r="G12" s="509" t="s">
        <v>616</v>
      </c>
      <c r="H12" s="509" t="s">
        <v>617</v>
      </c>
      <c r="I12" s="489">
        <v>1.9133333333333333</v>
      </c>
      <c r="J12" s="489">
        <v>400</v>
      </c>
      <c r="K12" s="491">
        <v>766</v>
      </c>
    </row>
    <row r="13" spans="1:11" ht="14.4" customHeight="1" x14ac:dyDescent="0.3">
      <c r="A13" s="488" t="s">
        <v>442</v>
      </c>
      <c r="B13" s="508" t="s">
        <v>520</v>
      </c>
      <c r="C13" s="509" t="s">
        <v>452</v>
      </c>
      <c r="D13" s="510" t="s">
        <v>521</v>
      </c>
      <c r="E13" s="509" t="s">
        <v>852</v>
      </c>
      <c r="F13" s="510" t="s">
        <v>853</v>
      </c>
      <c r="G13" s="509" t="s">
        <v>618</v>
      </c>
      <c r="H13" s="509" t="s">
        <v>619</v>
      </c>
      <c r="I13" s="489">
        <v>2.79</v>
      </c>
      <c r="J13" s="489">
        <v>50</v>
      </c>
      <c r="K13" s="491">
        <v>139.5</v>
      </c>
    </row>
    <row r="14" spans="1:11" ht="14.4" customHeight="1" x14ac:dyDescent="0.3">
      <c r="A14" s="488" t="s">
        <v>442</v>
      </c>
      <c r="B14" s="508" t="s">
        <v>520</v>
      </c>
      <c r="C14" s="509" t="s">
        <v>452</v>
      </c>
      <c r="D14" s="510" t="s">
        <v>521</v>
      </c>
      <c r="E14" s="509" t="s">
        <v>852</v>
      </c>
      <c r="F14" s="510" t="s">
        <v>853</v>
      </c>
      <c r="G14" s="509" t="s">
        <v>620</v>
      </c>
      <c r="H14" s="509" t="s">
        <v>621</v>
      </c>
      <c r="I14" s="489">
        <v>1.77</v>
      </c>
      <c r="J14" s="489">
        <v>50</v>
      </c>
      <c r="K14" s="491">
        <v>88.5</v>
      </c>
    </row>
    <row r="15" spans="1:11" ht="14.4" customHeight="1" x14ac:dyDescent="0.3">
      <c r="A15" s="488" t="s">
        <v>442</v>
      </c>
      <c r="B15" s="508" t="s">
        <v>520</v>
      </c>
      <c r="C15" s="509" t="s">
        <v>452</v>
      </c>
      <c r="D15" s="510" t="s">
        <v>521</v>
      </c>
      <c r="E15" s="509" t="s">
        <v>852</v>
      </c>
      <c r="F15" s="510" t="s">
        <v>853</v>
      </c>
      <c r="G15" s="509" t="s">
        <v>622</v>
      </c>
      <c r="H15" s="509" t="s">
        <v>623</v>
      </c>
      <c r="I15" s="489">
        <v>2.4300000000000002</v>
      </c>
      <c r="J15" s="489">
        <v>150</v>
      </c>
      <c r="K15" s="491">
        <v>364.5</v>
      </c>
    </row>
    <row r="16" spans="1:11" ht="14.4" customHeight="1" x14ac:dyDescent="0.3">
      <c r="A16" s="488" t="s">
        <v>442</v>
      </c>
      <c r="B16" s="508" t="s">
        <v>520</v>
      </c>
      <c r="C16" s="509" t="s">
        <v>452</v>
      </c>
      <c r="D16" s="510" t="s">
        <v>521</v>
      </c>
      <c r="E16" s="509" t="s">
        <v>852</v>
      </c>
      <c r="F16" s="510" t="s">
        <v>853</v>
      </c>
      <c r="G16" s="509" t="s">
        <v>624</v>
      </c>
      <c r="H16" s="509" t="s">
        <v>625</v>
      </c>
      <c r="I16" s="489">
        <v>1.2500000000000001E-2</v>
      </c>
      <c r="J16" s="489">
        <v>1600</v>
      </c>
      <c r="K16" s="491">
        <v>20</v>
      </c>
    </row>
    <row r="17" spans="1:11" ht="14.4" customHeight="1" x14ac:dyDescent="0.3">
      <c r="A17" s="488" t="s">
        <v>442</v>
      </c>
      <c r="B17" s="508" t="s">
        <v>520</v>
      </c>
      <c r="C17" s="509" t="s">
        <v>452</v>
      </c>
      <c r="D17" s="510" t="s">
        <v>521</v>
      </c>
      <c r="E17" s="509" t="s">
        <v>852</v>
      </c>
      <c r="F17" s="510" t="s">
        <v>853</v>
      </c>
      <c r="G17" s="509" t="s">
        <v>626</v>
      </c>
      <c r="H17" s="509" t="s">
        <v>627</v>
      </c>
      <c r="I17" s="489">
        <v>1.99</v>
      </c>
      <c r="J17" s="489">
        <v>10</v>
      </c>
      <c r="K17" s="491">
        <v>19.899999999999999</v>
      </c>
    </row>
    <row r="18" spans="1:11" ht="14.4" customHeight="1" x14ac:dyDescent="0.3">
      <c r="A18" s="488" t="s">
        <v>442</v>
      </c>
      <c r="B18" s="508" t="s">
        <v>520</v>
      </c>
      <c r="C18" s="509" t="s">
        <v>452</v>
      </c>
      <c r="D18" s="510" t="s">
        <v>521</v>
      </c>
      <c r="E18" s="509" t="s">
        <v>852</v>
      </c>
      <c r="F18" s="510" t="s">
        <v>853</v>
      </c>
      <c r="G18" s="509" t="s">
        <v>628</v>
      </c>
      <c r="H18" s="509" t="s">
        <v>629</v>
      </c>
      <c r="I18" s="489">
        <v>2.41</v>
      </c>
      <c r="J18" s="489">
        <v>1000</v>
      </c>
      <c r="K18" s="491">
        <v>2410</v>
      </c>
    </row>
    <row r="19" spans="1:11" ht="14.4" customHeight="1" x14ac:dyDescent="0.3">
      <c r="A19" s="488" t="s">
        <v>442</v>
      </c>
      <c r="B19" s="508" t="s">
        <v>520</v>
      </c>
      <c r="C19" s="509" t="s">
        <v>452</v>
      </c>
      <c r="D19" s="510" t="s">
        <v>521</v>
      </c>
      <c r="E19" s="509" t="s">
        <v>852</v>
      </c>
      <c r="F19" s="510" t="s">
        <v>853</v>
      </c>
      <c r="G19" s="509" t="s">
        <v>630</v>
      </c>
      <c r="H19" s="509" t="s">
        <v>631</v>
      </c>
      <c r="I19" s="489">
        <v>15</v>
      </c>
      <c r="J19" s="489">
        <v>55</v>
      </c>
      <c r="K19" s="491">
        <v>825</v>
      </c>
    </row>
    <row r="20" spans="1:11" ht="14.4" customHeight="1" x14ac:dyDescent="0.3">
      <c r="A20" s="488" t="s">
        <v>442</v>
      </c>
      <c r="B20" s="508" t="s">
        <v>520</v>
      </c>
      <c r="C20" s="509" t="s">
        <v>452</v>
      </c>
      <c r="D20" s="510" t="s">
        <v>521</v>
      </c>
      <c r="E20" s="509" t="s">
        <v>852</v>
      </c>
      <c r="F20" s="510" t="s">
        <v>853</v>
      </c>
      <c r="G20" s="509" t="s">
        <v>632</v>
      </c>
      <c r="H20" s="509" t="s">
        <v>633</v>
      </c>
      <c r="I20" s="489">
        <v>216.35</v>
      </c>
      <c r="J20" s="489">
        <v>1</v>
      </c>
      <c r="K20" s="491">
        <v>216.35</v>
      </c>
    </row>
    <row r="21" spans="1:11" ht="14.4" customHeight="1" x14ac:dyDescent="0.3">
      <c r="A21" s="488" t="s">
        <v>442</v>
      </c>
      <c r="B21" s="508" t="s">
        <v>520</v>
      </c>
      <c r="C21" s="509" t="s">
        <v>452</v>
      </c>
      <c r="D21" s="510" t="s">
        <v>521</v>
      </c>
      <c r="E21" s="509" t="s">
        <v>854</v>
      </c>
      <c r="F21" s="510" t="s">
        <v>855</v>
      </c>
      <c r="G21" s="509" t="s">
        <v>634</v>
      </c>
      <c r="H21" s="509" t="s">
        <v>635</v>
      </c>
      <c r="I21" s="489">
        <v>1.7549999999999999</v>
      </c>
      <c r="J21" s="489">
        <v>1600</v>
      </c>
      <c r="K21" s="491">
        <v>2808</v>
      </c>
    </row>
    <row r="22" spans="1:11" ht="14.4" customHeight="1" x14ac:dyDescent="0.3">
      <c r="A22" s="488" t="s">
        <v>442</v>
      </c>
      <c r="B22" s="508" t="s">
        <v>520</v>
      </c>
      <c r="C22" s="509" t="s">
        <v>452</v>
      </c>
      <c r="D22" s="510" t="s">
        <v>521</v>
      </c>
      <c r="E22" s="509" t="s">
        <v>854</v>
      </c>
      <c r="F22" s="510" t="s">
        <v>855</v>
      </c>
      <c r="G22" s="509" t="s">
        <v>636</v>
      </c>
      <c r="H22" s="509" t="s">
        <v>637</v>
      </c>
      <c r="I22" s="489">
        <v>48.78</v>
      </c>
      <c r="J22" s="489">
        <v>25</v>
      </c>
      <c r="K22" s="491">
        <v>1219.5</v>
      </c>
    </row>
    <row r="23" spans="1:11" ht="14.4" customHeight="1" x14ac:dyDescent="0.3">
      <c r="A23" s="488" t="s">
        <v>442</v>
      </c>
      <c r="B23" s="508" t="s">
        <v>520</v>
      </c>
      <c r="C23" s="509" t="s">
        <v>452</v>
      </c>
      <c r="D23" s="510" t="s">
        <v>521</v>
      </c>
      <c r="E23" s="509" t="s">
        <v>856</v>
      </c>
      <c r="F23" s="510" t="s">
        <v>857</v>
      </c>
      <c r="G23" s="509" t="s">
        <v>638</v>
      </c>
      <c r="H23" s="509" t="s">
        <v>639</v>
      </c>
      <c r="I23" s="489">
        <v>0.72666666666666657</v>
      </c>
      <c r="J23" s="489">
        <v>800</v>
      </c>
      <c r="K23" s="491">
        <v>580.4</v>
      </c>
    </row>
    <row r="24" spans="1:11" ht="14.4" customHeight="1" x14ac:dyDescent="0.3">
      <c r="A24" s="488" t="s">
        <v>442</v>
      </c>
      <c r="B24" s="508" t="s">
        <v>520</v>
      </c>
      <c r="C24" s="509" t="s">
        <v>452</v>
      </c>
      <c r="D24" s="510" t="s">
        <v>521</v>
      </c>
      <c r="E24" s="509" t="s">
        <v>856</v>
      </c>
      <c r="F24" s="510" t="s">
        <v>857</v>
      </c>
      <c r="G24" s="509" t="s">
        <v>640</v>
      </c>
      <c r="H24" s="509" t="s">
        <v>641</v>
      </c>
      <c r="I24" s="489">
        <v>0.73</v>
      </c>
      <c r="J24" s="489">
        <v>200</v>
      </c>
      <c r="K24" s="491">
        <v>146</v>
      </c>
    </row>
    <row r="25" spans="1:11" ht="14.4" customHeight="1" x14ac:dyDescent="0.3">
      <c r="A25" s="488" t="s">
        <v>442</v>
      </c>
      <c r="B25" s="508" t="s">
        <v>520</v>
      </c>
      <c r="C25" s="509" t="s">
        <v>452</v>
      </c>
      <c r="D25" s="510" t="s">
        <v>521</v>
      </c>
      <c r="E25" s="509" t="s">
        <v>856</v>
      </c>
      <c r="F25" s="510" t="s">
        <v>857</v>
      </c>
      <c r="G25" s="509" t="s">
        <v>642</v>
      </c>
      <c r="H25" s="509" t="s">
        <v>643</v>
      </c>
      <c r="I25" s="489">
        <v>7.5</v>
      </c>
      <c r="J25" s="489">
        <v>40</v>
      </c>
      <c r="K25" s="491">
        <v>300</v>
      </c>
    </row>
    <row r="26" spans="1:11" ht="14.4" customHeight="1" x14ac:dyDescent="0.3">
      <c r="A26" s="488" t="s">
        <v>442</v>
      </c>
      <c r="B26" s="508" t="s">
        <v>520</v>
      </c>
      <c r="C26" s="509" t="s">
        <v>452</v>
      </c>
      <c r="D26" s="510" t="s">
        <v>521</v>
      </c>
      <c r="E26" s="509" t="s">
        <v>856</v>
      </c>
      <c r="F26" s="510" t="s">
        <v>857</v>
      </c>
      <c r="G26" s="509" t="s">
        <v>644</v>
      </c>
      <c r="H26" s="509" t="s">
        <v>645</v>
      </c>
      <c r="I26" s="489">
        <v>11.01</v>
      </c>
      <c r="J26" s="489">
        <v>40</v>
      </c>
      <c r="K26" s="491">
        <v>440.4</v>
      </c>
    </row>
    <row r="27" spans="1:11" ht="14.4" customHeight="1" x14ac:dyDescent="0.3">
      <c r="A27" s="488" t="s">
        <v>442</v>
      </c>
      <c r="B27" s="508" t="s">
        <v>520</v>
      </c>
      <c r="C27" s="509" t="s">
        <v>455</v>
      </c>
      <c r="D27" s="510" t="s">
        <v>522</v>
      </c>
      <c r="E27" s="509" t="s">
        <v>850</v>
      </c>
      <c r="F27" s="510" t="s">
        <v>851</v>
      </c>
      <c r="G27" s="509" t="s">
        <v>646</v>
      </c>
      <c r="H27" s="509" t="s">
        <v>647</v>
      </c>
      <c r="I27" s="489">
        <v>0.49</v>
      </c>
      <c r="J27" s="489">
        <v>1000</v>
      </c>
      <c r="K27" s="491">
        <v>490</v>
      </c>
    </row>
    <row r="28" spans="1:11" ht="14.4" customHeight="1" x14ac:dyDescent="0.3">
      <c r="A28" s="488" t="s">
        <v>442</v>
      </c>
      <c r="B28" s="508" t="s">
        <v>520</v>
      </c>
      <c r="C28" s="509" t="s">
        <v>455</v>
      </c>
      <c r="D28" s="510" t="s">
        <v>522</v>
      </c>
      <c r="E28" s="509" t="s">
        <v>850</v>
      </c>
      <c r="F28" s="510" t="s">
        <v>851</v>
      </c>
      <c r="G28" s="509" t="s">
        <v>604</v>
      </c>
      <c r="H28" s="509" t="s">
        <v>605</v>
      </c>
      <c r="I28" s="489">
        <v>27.366666666666671</v>
      </c>
      <c r="J28" s="489">
        <v>10</v>
      </c>
      <c r="K28" s="491">
        <v>273.67</v>
      </c>
    </row>
    <row r="29" spans="1:11" ht="14.4" customHeight="1" x14ac:dyDescent="0.3">
      <c r="A29" s="488" t="s">
        <v>442</v>
      </c>
      <c r="B29" s="508" t="s">
        <v>520</v>
      </c>
      <c r="C29" s="509" t="s">
        <v>455</v>
      </c>
      <c r="D29" s="510" t="s">
        <v>522</v>
      </c>
      <c r="E29" s="509" t="s">
        <v>850</v>
      </c>
      <c r="F29" s="510" t="s">
        <v>851</v>
      </c>
      <c r="G29" s="509" t="s">
        <v>648</v>
      </c>
      <c r="H29" s="509" t="s">
        <v>649</v>
      </c>
      <c r="I29" s="489">
        <v>1.2</v>
      </c>
      <c r="J29" s="489">
        <v>300</v>
      </c>
      <c r="K29" s="491">
        <v>360</v>
      </c>
    </row>
    <row r="30" spans="1:11" ht="14.4" customHeight="1" x14ac:dyDescent="0.3">
      <c r="A30" s="488" t="s">
        <v>442</v>
      </c>
      <c r="B30" s="508" t="s">
        <v>520</v>
      </c>
      <c r="C30" s="509" t="s">
        <v>455</v>
      </c>
      <c r="D30" s="510" t="s">
        <v>522</v>
      </c>
      <c r="E30" s="509" t="s">
        <v>850</v>
      </c>
      <c r="F30" s="510" t="s">
        <v>851</v>
      </c>
      <c r="G30" s="509" t="s">
        <v>608</v>
      </c>
      <c r="H30" s="509" t="s">
        <v>609</v>
      </c>
      <c r="I30" s="489">
        <v>27.94</v>
      </c>
      <c r="J30" s="489">
        <v>2</v>
      </c>
      <c r="K30" s="491">
        <v>55.88</v>
      </c>
    </row>
    <row r="31" spans="1:11" ht="14.4" customHeight="1" x14ac:dyDescent="0.3">
      <c r="A31" s="488" t="s">
        <v>442</v>
      </c>
      <c r="B31" s="508" t="s">
        <v>520</v>
      </c>
      <c r="C31" s="509" t="s">
        <v>455</v>
      </c>
      <c r="D31" s="510" t="s">
        <v>522</v>
      </c>
      <c r="E31" s="509" t="s">
        <v>850</v>
      </c>
      <c r="F31" s="510" t="s">
        <v>851</v>
      </c>
      <c r="G31" s="509" t="s">
        <v>650</v>
      </c>
      <c r="H31" s="509" t="s">
        <v>651</v>
      </c>
      <c r="I31" s="489">
        <v>98.38</v>
      </c>
      <c r="J31" s="489">
        <v>2</v>
      </c>
      <c r="K31" s="491">
        <v>196.76</v>
      </c>
    </row>
    <row r="32" spans="1:11" ht="14.4" customHeight="1" x14ac:dyDescent="0.3">
      <c r="A32" s="488" t="s">
        <v>442</v>
      </c>
      <c r="B32" s="508" t="s">
        <v>520</v>
      </c>
      <c r="C32" s="509" t="s">
        <v>455</v>
      </c>
      <c r="D32" s="510" t="s">
        <v>522</v>
      </c>
      <c r="E32" s="509" t="s">
        <v>852</v>
      </c>
      <c r="F32" s="510" t="s">
        <v>853</v>
      </c>
      <c r="G32" s="509" t="s">
        <v>652</v>
      </c>
      <c r="H32" s="509" t="s">
        <v>653</v>
      </c>
      <c r="I32" s="489">
        <v>1.44</v>
      </c>
      <c r="J32" s="489">
        <v>100</v>
      </c>
      <c r="K32" s="491">
        <v>144</v>
      </c>
    </row>
    <row r="33" spans="1:11" ht="14.4" customHeight="1" x14ac:dyDescent="0.3">
      <c r="A33" s="488" t="s">
        <v>442</v>
      </c>
      <c r="B33" s="508" t="s">
        <v>520</v>
      </c>
      <c r="C33" s="509" t="s">
        <v>455</v>
      </c>
      <c r="D33" s="510" t="s">
        <v>522</v>
      </c>
      <c r="E33" s="509" t="s">
        <v>852</v>
      </c>
      <c r="F33" s="510" t="s">
        <v>853</v>
      </c>
      <c r="G33" s="509" t="s">
        <v>654</v>
      </c>
      <c r="H33" s="509" t="s">
        <v>655</v>
      </c>
      <c r="I33" s="489">
        <v>0.42</v>
      </c>
      <c r="J33" s="489">
        <v>500</v>
      </c>
      <c r="K33" s="491">
        <v>210</v>
      </c>
    </row>
    <row r="34" spans="1:11" ht="14.4" customHeight="1" x14ac:dyDescent="0.3">
      <c r="A34" s="488" t="s">
        <v>442</v>
      </c>
      <c r="B34" s="508" t="s">
        <v>520</v>
      </c>
      <c r="C34" s="509" t="s">
        <v>455</v>
      </c>
      <c r="D34" s="510" t="s">
        <v>522</v>
      </c>
      <c r="E34" s="509" t="s">
        <v>852</v>
      </c>
      <c r="F34" s="510" t="s">
        <v>853</v>
      </c>
      <c r="G34" s="509" t="s">
        <v>656</v>
      </c>
      <c r="H34" s="509" t="s">
        <v>657</v>
      </c>
      <c r="I34" s="489">
        <v>4.24</v>
      </c>
      <c r="J34" s="489">
        <v>50</v>
      </c>
      <c r="K34" s="491">
        <v>212</v>
      </c>
    </row>
    <row r="35" spans="1:11" ht="14.4" customHeight="1" x14ac:dyDescent="0.3">
      <c r="A35" s="488" t="s">
        <v>442</v>
      </c>
      <c r="B35" s="508" t="s">
        <v>520</v>
      </c>
      <c r="C35" s="509" t="s">
        <v>455</v>
      </c>
      <c r="D35" s="510" t="s">
        <v>522</v>
      </c>
      <c r="E35" s="509" t="s">
        <v>852</v>
      </c>
      <c r="F35" s="510" t="s">
        <v>853</v>
      </c>
      <c r="G35" s="509" t="s">
        <v>630</v>
      </c>
      <c r="H35" s="509" t="s">
        <v>631</v>
      </c>
      <c r="I35" s="489">
        <v>15</v>
      </c>
      <c r="J35" s="489">
        <v>43</v>
      </c>
      <c r="K35" s="491">
        <v>645</v>
      </c>
    </row>
    <row r="36" spans="1:11" ht="14.4" customHeight="1" x14ac:dyDescent="0.3">
      <c r="A36" s="488" t="s">
        <v>442</v>
      </c>
      <c r="B36" s="508" t="s">
        <v>520</v>
      </c>
      <c r="C36" s="509" t="s">
        <v>455</v>
      </c>
      <c r="D36" s="510" t="s">
        <v>522</v>
      </c>
      <c r="E36" s="509" t="s">
        <v>852</v>
      </c>
      <c r="F36" s="510" t="s">
        <v>853</v>
      </c>
      <c r="G36" s="509" t="s">
        <v>658</v>
      </c>
      <c r="H36" s="509" t="s">
        <v>659</v>
      </c>
      <c r="I36" s="489">
        <v>2</v>
      </c>
      <c r="J36" s="489">
        <v>600</v>
      </c>
      <c r="K36" s="491">
        <v>1200.32</v>
      </c>
    </row>
    <row r="37" spans="1:11" ht="14.4" customHeight="1" x14ac:dyDescent="0.3">
      <c r="A37" s="488" t="s">
        <v>442</v>
      </c>
      <c r="B37" s="508" t="s">
        <v>520</v>
      </c>
      <c r="C37" s="509" t="s">
        <v>455</v>
      </c>
      <c r="D37" s="510" t="s">
        <v>522</v>
      </c>
      <c r="E37" s="509" t="s">
        <v>852</v>
      </c>
      <c r="F37" s="510" t="s">
        <v>853</v>
      </c>
      <c r="G37" s="509" t="s">
        <v>660</v>
      </c>
      <c r="H37" s="509" t="s">
        <v>661</v>
      </c>
      <c r="I37" s="489">
        <v>21.68</v>
      </c>
      <c r="J37" s="489">
        <v>250</v>
      </c>
      <c r="K37" s="491">
        <v>5420.8</v>
      </c>
    </row>
    <row r="38" spans="1:11" ht="14.4" customHeight="1" x14ac:dyDescent="0.3">
      <c r="A38" s="488" t="s">
        <v>442</v>
      </c>
      <c r="B38" s="508" t="s">
        <v>520</v>
      </c>
      <c r="C38" s="509" t="s">
        <v>455</v>
      </c>
      <c r="D38" s="510" t="s">
        <v>522</v>
      </c>
      <c r="E38" s="509" t="s">
        <v>852</v>
      </c>
      <c r="F38" s="510" t="s">
        <v>853</v>
      </c>
      <c r="G38" s="509" t="s">
        <v>662</v>
      </c>
      <c r="H38" s="509" t="s">
        <v>663</v>
      </c>
      <c r="I38" s="489">
        <v>523.92999999999995</v>
      </c>
      <c r="J38" s="489">
        <v>4</v>
      </c>
      <c r="K38" s="491">
        <v>2095.7199999999998</v>
      </c>
    </row>
    <row r="39" spans="1:11" ht="14.4" customHeight="1" x14ac:dyDescent="0.3">
      <c r="A39" s="488" t="s">
        <v>442</v>
      </c>
      <c r="B39" s="508" t="s">
        <v>520</v>
      </c>
      <c r="C39" s="509" t="s">
        <v>455</v>
      </c>
      <c r="D39" s="510" t="s">
        <v>522</v>
      </c>
      <c r="E39" s="509" t="s">
        <v>852</v>
      </c>
      <c r="F39" s="510" t="s">
        <v>853</v>
      </c>
      <c r="G39" s="509" t="s">
        <v>664</v>
      </c>
      <c r="H39" s="509" t="s">
        <v>665</v>
      </c>
      <c r="I39" s="489">
        <v>8223.81</v>
      </c>
      <c r="J39" s="489">
        <v>1</v>
      </c>
      <c r="K39" s="491">
        <v>8223.81</v>
      </c>
    </row>
    <row r="40" spans="1:11" ht="14.4" customHeight="1" x14ac:dyDescent="0.3">
      <c r="A40" s="488" t="s">
        <v>442</v>
      </c>
      <c r="B40" s="508" t="s">
        <v>520</v>
      </c>
      <c r="C40" s="509" t="s">
        <v>455</v>
      </c>
      <c r="D40" s="510" t="s">
        <v>522</v>
      </c>
      <c r="E40" s="509" t="s">
        <v>852</v>
      </c>
      <c r="F40" s="510" t="s">
        <v>853</v>
      </c>
      <c r="G40" s="509" t="s">
        <v>666</v>
      </c>
      <c r="H40" s="509" t="s">
        <v>667</v>
      </c>
      <c r="I40" s="489">
        <v>4.45</v>
      </c>
      <c r="J40" s="489">
        <v>480</v>
      </c>
      <c r="K40" s="491">
        <v>2134.44</v>
      </c>
    </row>
    <row r="41" spans="1:11" ht="14.4" customHeight="1" x14ac:dyDescent="0.3">
      <c r="A41" s="488" t="s">
        <v>442</v>
      </c>
      <c r="B41" s="508" t="s">
        <v>520</v>
      </c>
      <c r="C41" s="509" t="s">
        <v>455</v>
      </c>
      <c r="D41" s="510" t="s">
        <v>522</v>
      </c>
      <c r="E41" s="509" t="s">
        <v>852</v>
      </c>
      <c r="F41" s="510" t="s">
        <v>853</v>
      </c>
      <c r="G41" s="509" t="s">
        <v>668</v>
      </c>
      <c r="H41" s="509" t="s">
        <v>669</v>
      </c>
      <c r="I41" s="489">
        <v>33.49</v>
      </c>
      <c r="J41" s="489">
        <v>125</v>
      </c>
      <c r="K41" s="491">
        <v>4185.63</v>
      </c>
    </row>
    <row r="42" spans="1:11" ht="14.4" customHeight="1" x14ac:dyDescent="0.3">
      <c r="A42" s="488" t="s">
        <v>442</v>
      </c>
      <c r="B42" s="508" t="s">
        <v>520</v>
      </c>
      <c r="C42" s="509" t="s">
        <v>455</v>
      </c>
      <c r="D42" s="510" t="s">
        <v>522</v>
      </c>
      <c r="E42" s="509" t="s">
        <v>852</v>
      </c>
      <c r="F42" s="510" t="s">
        <v>853</v>
      </c>
      <c r="G42" s="509" t="s">
        <v>670</v>
      </c>
      <c r="H42" s="509" t="s">
        <v>671</v>
      </c>
      <c r="I42" s="489">
        <v>1943.865</v>
      </c>
      <c r="J42" s="489">
        <v>6</v>
      </c>
      <c r="K42" s="491">
        <v>11660.769999999999</v>
      </c>
    </row>
    <row r="43" spans="1:11" ht="14.4" customHeight="1" x14ac:dyDescent="0.3">
      <c r="A43" s="488" t="s">
        <v>442</v>
      </c>
      <c r="B43" s="508" t="s">
        <v>520</v>
      </c>
      <c r="C43" s="509" t="s">
        <v>455</v>
      </c>
      <c r="D43" s="510" t="s">
        <v>522</v>
      </c>
      <c r="E43" s="509" t="s">
        <v>852</v>
      </c>
      <c r="F43" s="510" t="s">
        <v>853</v>
      </c>
      <c r="G43" s="509" t="s">
        <v>672</v>
      </c>
      <c r="H43" s="509" t="s">
        <v>673</v>
      </c>
      <c r="I43" s="489">
        <v>49.01</v>
      </c>
      <c r="J43" s="489">
        <v>40</v>
      </c>
      <c r="K43" s="491">
        <v>1960.2</v>
      </c>
    </row>
    <row r="44" spans="1:11" ht="14.4" customHeight="1" x14ac:dyDescent="0.3">
      <c r="A44" s="488" t="s">
        <v>442</v>
      </c>
      <c r="B44" s="508" t="s">
        <v>520</v>
      </c>
      <c r="C44" s="509" t="s">
        <v>455</v>
      </c>
      <c r="D44" s="510" t="s">
        <v>522</v>
      </c>
      <c r="E44" s="509" t="s">
        <v>852</v>
      </c>
      <c r="F44" s="510" t="s">
        <v>853</v>
      </c>
      <c r="G44" s="509" t="s">
        <v>674</v>
      </c>
      <c r="H44" s="509" t="s">
        <v>675</v>
      </c>
      <c r="I44" s="489">
        <v>68.73</v>
      </c>
      <c r="J44" s="489">
        <v>100</v>
      </c>
      <c r="K44" s="491">
        <v>6872.8</v>
      </c>
    </row>
    <row r="45" spans="1:11" ht="14.4" customHeight="1" x14ac:dyDescent="0.3">
      <c r="A45" s="488" t="s">
        <v>442</v>
      </c>
      <c r="B45" s="508" t="s">
        <v>520</v>
      </c>
      <c r="C45" s="509" t="s">
        <v>455</v>
      </c>
      <c r="D45" s="510" t="s">
        <v>522</v>
      </c>
      <c r="E45" s="509" t="s">
        <v>858</v>
      </c>
      <c r="F45" s="510" t="s">
        <v>859</v>
      </c>
      <c r="G45" s="509" t="s">
        <v>676</v>
      </c>
      <c r="H45" s="509" t="s">
        <v>677</v>
      </c>
      <c r="I45" s="489">
        <v>2.12</v>
      </c>
      <c r="J45" s="489">
        <v>1024</v>
      </c>
      <c r="K45" s="491">
        <v>2172.56</v>
      </c>
    </row>
    <row r="46" spans="1:11" ht="14.4" customHeight="1" x14ac:dyDescent="0.3">
      <c r="A46" s="488" t="s">
        <v>442</v>
      </c>
      <c r="B46" s="508" t="s">
        <v>520</v>
      </c>
      <c r="C46" s="509" t="s">
        <v>455</v>
      </c>
      <c r="D46" s="510" t="s">
        <v>522</v>
      </c>
      <c r="E46" s="509" t="s">
        <v>858</v>
      </c>
      <c r="F46" s="510" t="s">
        <v>859</v>
      </c>
      <c r="G46" s="509" t="s">
        <v>678</v>
      </c>
      <c r="H46" s="509" t="s">
        <v>679</v>
      </c>
      <c r="I46" s="489">
        <v>1.4</v>
      </c>
      <c r="J46" s="489">
        <v>2500</v>
      </c>
      <c r="K46" s="491">
        <v>3500</v>
      </c>
    </row>
    <row r="47" spans="1:11" ht="14.4" customHeight="1" x14ac:dyDescent="0.3">
      <c r="A47" s="488" t="s">
        <v>442</v>
      </c>
      <c r="B47" s="508" t="s">
        <v>520</v>
      </c>
      <c r="C47" s="509" t="s">
        <v>455</v>
      </c>
      <c r="D47" s="510" t="s">
        <v>522</v>
      </c>
      <c r="E47" s="509" t="s">
        <v>858</v>
      </c>
      <c r="F47" s="510" t="s">
        <v>859</v>
      </c>
      <c r="G47" s="509" t="s">
        <v>680</v>
      </c>
      <c r="H47" s="509" t="s">
        <v>681</v>
      </c>
      <c r="I47" s="489">
        <v>0.41</v>
      </c>
      <c r="J47" s="489">
        <v>9000</v>
      </c>
      <c r="K47" s="491">
        <v>3678.7999999999997</v>
      </c>
    </row>
    <row r="48" spans="1:11" ht="14.4" customHeight="1" x14ac:dyDescent="0.3">
      <c r="A48" s="488" t="s">
        <v>442</v>
      </c>
      <c r="B48" s="508" t="s">
        <v>520</v>
      </c>
      <c r="C48" s="509" t="s">
        <v>455</v>
      </c>
      <c r="D48" s="510" t="s">
        <v>522</v>
      </c>
      <c r="E48" s="509" t="s">
        <v>858</v>
      </c>
      <c r="F48" s="510" t="s">
        <v>859</v>
      </c>
      <c r="G48" s="509" t="s">
        <v>682</v>
      </c>
      <c r="H48" s="509" t="s">
        <v>683</v>
      </c>
      <c r="I48" s="489">
        <v>0.125</v>
      </c>
      <c r="J48" s="489">
        <v>19000</v>
      </c>
      <c r="K48" s="491">
        <v>2380</v>
      </c>
    </row>
    <row r="49" spans="1:11" ht="14.4" customHeight="1" x14ac:dyDescent="0.3">
      <c r="A49" s="488" t="s">
        <v>442</v>
      </c>
      <c r="B49" s="508" t="s">
        <v>520</v>
      </c>
      <c r="C49" s="509" t="s">
        <v>455</v>
      </c>
      <c r="D49" s="510" t="s">
        <v>522</v>
      </c>
      <c r="E49" s="509" t="s">
        <v>858</v>
      </c>
      <c r="F49" s="510" t="s">
        <v>859</v>
      </c>
      <c r="G49" s="509" t="s">
        <v>684</v>
      </c>
      <c r="H49" s="509" t="s">
        <v>685</v>
      </c>
      <c r="I49" s="489">
        <v>1.65</v>
      </c>
      <c r="J49" s="489">
        <v>2000</v>
      </c>
      <c r="K49" s="491">
        <v>3291.2</v>
      </c>
    </row>
    <row r="50" spans="1:11" ht="14.4" customHeight="1" x14ac:dyDescent="0.3">
      <c r="A50" s="488" t="s">
        <v>442</v>
      </c>
      <c r="B50" s="508" t="s">
        <v>520</v>
      </c>
      <c r="C50" s="509" t="s">
        <v>455</v>
      </c>
      <c r="D50" s="510" t="s">
        <v>522</v>
      </c>
      <c r="E50" s="509" t="s">
        <v>858</v>
      </c>
      <c r="F50" s="510" t="s">
        <v>859</v>
      </c>
      <c r="G50" s="509" t="s">
        <v>686</v>
      </c>
      <c r="H50" s="509" t="s">
        <v>687</v>
      </c>
      <c r="I50" s="489">
        <v>33.880000000000003</v>
      </c>
      <c r="J50" s="489">
        <v>10</v>
      </c>
      <c r="K50" s="491">
        <v>338.8</v>
      </c>
    </row>
    <row r="51" spans="1:11" ht="14.4" customHeight="1" x14ac:dyDescent="0.3">
      <c r="A51" s="488" t="s">
        <v>442</v>
      </c>
      <c r="B51" s="508" t="s">
        <v>520</v>
      </c>
      <c r="C51" s="509" t="s">
        <v>455</v>
      </c>
      <c r="D51" s="510" t="s">
        <v>522</v>
      </c>
      <c r="E51" s="509" t="s">
        <v>858</v>
      </c>
      <c r="F51" s="510" t="s">
        <v>859</v>
      </c>
      <c r="G51" s="509" t="s">
        <v>688</v>
      </c>
      <c r="H51" s="509" t="s">
        <v>689</v>
      </c>
      <c r="I51" s="489">
        <v>20.329999999999998</v>
      </c>
      <c r="J51" s="489">
        <v>125</v>
      </c>
      <c r="K51" s="491">
        <v>2541</v>
      </c>
    </row>
    <row r="52" spans="1:11" ht="14.4" customHeight="1" x14ac:dyDescent="0.3">
      <c r="A52" s="488" t="s">
        <v>442</v>
      </c>
      <c r="B52" s="508" t="s">
        <v>520</v>
      </c>
      <c r="C52" s="509" t="s">
        <v>455</v>
      </c>
      <c r="D52" s="510" t="s">
        <v>522</v>
      </c>
      <c r="E52" s="509" t="s">
        <v>858</v>
      </c>
      <c r="F52" s="510" t="s">
        <v>859</v>
      </c>
      <c r="G52" s="509" t="s">
        <v>690</v>
      </c>
      <c r="H52" s="509" t="s">
        <v>691</v>
      </c>
      <c r="I52" s="489">
        <v>0.59</v>
      </c>
      <c r="J52" s="489">
        <v>3000</v>
      </c>
      <c r="K52" s="491">
        <v>1778.7</v>
      </c>
    </row>
    <row r="53" spans="1:11" ht="14.4" customHeight="1" x14ac:dyDescent="0.3">
      <c r="A53" s="488" t="s">
        <v>442</v>
      </c>
      <c r="B53" s="508" t="s">
        <v>520</v>
      </c>
      <c r="C53" s="509" t="s">
        <v>455</v>
      </c>
      <c r="D53" s="510" t="s">
        <v>522</v>
      </c>
      <c r="E53" s="509" t="s">
        <v>858</v>
      </c>
      <c r="F53" s="510" t="s">
        <v>859</v>
      </c>
      <c r="G53" s="509" t="s">
        <v>692</v>
      </c>
      <c r="H53" s="509" t="s">
        <v>693</v>
      </c>
      <c r="I53" s="489">
        <v>0.66</v>
      </c>
      <c r="J53" s="489">
        <v>700</v>
      </c>
      <c r="K53" s="491">
        <v>462</v>
      </c>
    </row>
    <row r="54" spans="1:11" ht="14.4" customHeight="1" x14ac:dyDescent="0.3">
      <c r="A54" s="488" t="s">
        <v>442</v>
      </c>
      <c r="B54" s="508" t="s">
        <v>520</v>
      </c>
      <c r="C54" s="509" t="s">
        <v>455</v>
      </c>
      <c r="D54" s="510" t="s">
        <v>522</v>
      </c>
      <c r="E54" s="509" t="s">
        <v>858</v>
      </c>
      <c r="F54" s="510" t="s">
        <v>859</v>
      </c>
      <c r="G54" s="509" t="s">
        <v>694</v>
      </c>
      <c r="H54" s="509" t="s">
        <v>695</v>
      </c>
      <c r="I54" s="489">
        <v>128.5</v>
      </c>
      <c r="J54" s="489">
        <v>50</v>
      </c>
      <c r="K54" s="491">
        <v>6425.1</v>
      </c>
    </row>
    <row r="55" spans="1:11" ht="14.4" customHeight="1" x14ac:dyDescent="0.3">
      <c r="A55" s="488" t="s">
        <v>442</v>
      </c>
      <c r="B55" s="508" t="s">
        <v>520</v>
      </c>
      <c r="C55" s="509" t="s">
        <v>455</v>
      </c>
      <c r="D55" s="510" t="s">
        <v>522</v>
      </c>
      <c r="E55" s="509" t="s">
        <v>858</v>
      </c>
      <c r="F55" s="510" t="s">
        <v>859</v>
      </c>
      <c r="G55" s="509" t="s">
        <v>696</v>
      </c>
      <c r="H55" s="509" t="s">
        <v>697</v>
      </c>
      <c r="I55" s="489">
        <v>2.68</v>
      </c>
      <c r="J55" s="489">
        <v>1920</v>
      </c>
      <c r="K55" s="491">
        <v>5154.6000000000004</v>
      </c>
    </row>
    <row r="56" spans="1:11" ht="14.4" customHeight="1" x14ac:dyDescent="0.3">
      <c r="A56" s="488" t="s">
        <v>442</v>
      </c>
      <c r="B56" s="508" t="s">
        <v>520</v>
      </c>
      <c r="C56" s="509" t="s">
        <v>455</v>
      </c>
      <c r="D56" s="510" t="s">
        <v>522</v>
      </c>
      <c r="E56" s="509" t="s">
        <v>858</v>
      </c>
      <c r="F56" s="510" t="s">
        <v>859</v>
      </c>
      <c r="G56" s="509" t="s">
        <v>698</v>
      </c>
      <c r="H56" s="509" t="s">
        <v>699</v>
      </c>
      <c r="I56" s="489">
        <v>0.28000000000000003</v>
      </c>
      <c r="J56" s="489">
        <v>1000</v>
      </c>
      <c r="K56" s="491">
        <v>278.3</v>
      </c>
    </row>
    <row r="57" spans="1:11" ht="14.4" customHeight="1" x14ac:dyDescent="0.3">
      <c r="A57" s="488" t="s">
        <v>442</v>
      </c>
      <c r="B57" s="508" t="s">
        <v>520</v>
      </c>
      <c r="C57" s="509" t="s">
        <v>455</v>
      </c>
      <c r="D57" s="510" t="s">
        <v>522</v>
      </c>
      <c r="E57" s="509" t="s">
        <v>858</v>
      </c>
      <c r="F57" s="510" t="s">
        <v>859</v>
      </c>
      <c r="G57" s="509" t="s">
        <v>700</v>
      </c>
      <c r="H57" s="509" t="s">
        <v>701</v>
      </c>
      <c r="I57" s="489">
        <v>2940.3</v>
      </c>
      <c r="J57" s="489">
        <v>1</v>
      </c>
      <c r="K57" s="491">
        <v>2940.3</v>
      </c>
    </row>
    <row r="58" spans="1:11" ht="14.4" customHeight="1" x14ac:dyDescent="0.3">
      <c r="A58" s="488" t="s">
        <v>442</v>
      </c>
      <c r="B58" s="508" t="s">
        <v>520</v>
      </c>
      <c r="C58" s="509" t="s">
        <v>455</v>
      </c>
      <c r="D58" s="510" t="s">
        <v>522</v>
      </c>
      <c r="E58" s="509" t="s">
        <v>858</v>
      </c>
      <c r="F58" s="510" t="s">
        <v>859</v>
      </c>
      <c r="G58" s="509" t="s">
        <v>702</v>
      </c>
      <c r="H58" s="509" t="s">
        <v>703</v>
      </c>
      <c r="I58" s="489">
        <v>0.71</v>
      </c>
      <c r="J58" s="489">
        <v>1000</v>
      </c>
      <c r="K58" s="491">
        <v>713.9</v>
      </c>
    </row>
    <row r="59" spans="1:11" ht="14.4" customHeight="1" x14ac:dyDescent="0.3">
      <c r="A59" s="488" t="s">
        <v>442</v>
      </c>
      <c r="B59" s="508" t="s">
        <v>520</v>
      </c>
      <c r="C59" s="509" t="s">
        <v>455</v>
      </c>
      <c r="D59" s="510" t="s">
        <v>522</v>
      </c>
      <c r="E59" s="509" t="s">
        <v>858</v>
      </c>
      <c r="F59" s="510" t="s">
        <v>859</v>
      </c>
      <c r="G59" s="509" t="s">
        <v>704</v>
      </c>
      <c r="H59" s="509" t="s">
        <v>705</v>
      </c>
      <c r="I59" s="489">
        <v>1246.3</v>
      </c>
      <c r="J59" s="489">
        <v>1</v>
      </c>
      <c r="K59" s="491">
        <v>1246.3</v>
      </c>
    </row>
    <row r="60" spans="1:11" ht="14.4" customHeight="1" x14ac:dyDescent="0.3">
      <c r="A60" s="488" t="s">
        <v>442</v>
      </c>
      <c r="B60" s="508" t="s">
        <v>520</v>
      </c>
      <c r="C60" s="509" t="s">
        <v>455</v>
      </c>
      <c r="D60" s="510" t="s">
        <v>522</v>
      </c>
      <c r="E60" s="509" t="s">
        <v>858</v>
      </c>
      <c r="F60" s="510" t="s">
        <v>859</v>
      </c>
      <c r="G60" s="509" t="s">
        <v>706</v>
      </c>
      <c r="H60" s="509" t="s">
        <v>707</v>
      </c>
      <c r="I60" s="489">
        <v>39.450000000000003</v>
      </c>
      <c r="J60" s="489">
        <v>100</v>
      </c>
      <c r="K60" s="491">
        <v>3944.6</v>
      </c>
    </row>
    <row r="61" spans="1:11" ht="14.4" customHeight="1" x14ac:dyDescent="0.3">
      <c r="A61" s="488" t="s">
        <v>442</v>
      </c>
      <c r="B61" s="508" t="s">
        <v>520</v>
      </c>
      <c r="C61" s="509" t="s">
        <v>455</v>
      </c>
      <c r="D61" s="510" t="s">
        <v>522</v>
      </c>
      <c r="E61" s="509" t="s">
        <v>858</v>
      </c>
      <c r="F61" s="510" t="s">
        <v>859</v>
      </c>
      <c r="G61" s="509" t="s">
        <v>708</v>
      </c>
      <c r="H61" s="509" t="s">
        <v>709</v>
      </c>
      <c r="I61" s="489">
        <v>3.84</v>
      </c>
      <c r="J61" s="489">
        <v>864</v>
      </c>
      <c r="K61" s="491">
        <v>3319.03</v>
      </c>
    </row>
    <row r="62" spans="1:11" ht="14.4" customHeight="1" x14ac:dyDescent="0.3">
      <c r="A62" s="488" t="s">
        <v>442</v>
      </c>
      <c r="B62" s="508" t="s">
        <v>520</v>
      </c>
      <c r="C62" s="509" t="s">
        <v>455</v>
      </c>
      <c r="D62" s="510" t="s">
        <v>522</v>
      </c>
      <c r="E62" s="509" t="s">
        <v>858</v>
      </c>
      <c r="F62" s="510" t="s">
        <v>859</v>
      </c>
      <c r="G62" s="509" t="s">
        <v>710</v>
      </c>
      <c r="H62" s="509" t="s">
        <v>711</v>
      </c>
      <c r="I62" s="489">
        <v>2.5099999999999998</v>
      </c>
      <c r="J62" s="489">
        <v>960</v>
      </c>
      <c r="K62" s="491">
        <v>2407.9</v>
      </c>
    </row>
    <row r="63" spans="1:11" ht="14.4" customHeight="1" x14ac:dyDescent="0.3">
      <c r="A63" s="488" t="s">
        <v>442</v>
      </c>
      <c r="B63" s="508" t="s">
        <v>520</v>
      </c>
      <c r="C63" s="509" t="s">
        <v>455</v>
      </c>
      <c r="D63" s="510" t="s">
        <v>522</v>
      </c>
      <c r="E63" s="509" t="s">
        <v>858</v>
      </c>
      <c r="F63" s="510" t="s">
        <v>859</v>
      </c>
      <c r="G63" s="509" t="s">
        <v>712</v>
      </c>
      <c r="H63" s="509" t="s">
        <v>713</v>
      </c>
      <c r="I63" s="489">
        <v>30.98</v>
      </c>
      <c r="J63" s="489">
        <v>5</v>
      </c>
      <c r="K63" s="491">
        <v>154.88</v>
      </c>
    </row>
    <row r="64" spans="1:11" ht="14.4" customHeight="1" x14ac:dyDescent="0.3">
      <c r="A64" s="488" t="s">
        <v>442</v>
      </c>
      <c r="B64" s="508" t="s">
        <v>520</v>
      </c>
      <c r="C64" s="509" t="s">
        <v>455</v>
      </c>
      <c r="D64" s="510" t="s">
        <v>522</v>
      </c>
      <c r="E64" s="509" t="s">
        <v>858</v>
      </c>
      <c r="F64" s="510" t="s">
        <v>859</v>
      </c>
      <c r="G64" s="509" t="s">
        <v>714</v>
      </c>
      <c r="H64" s="509" t="s">
        <v>715</v>
      </c>
      <c r="I64" s="489">
        <v>2.16</v>
      </c>
      <c r="J64" s="489">
        <v>1024</v>
      </c>
      <c r="K64" s="491">
        <v>2210.67</v>
      </c>
    </row>
    <row r="65" spans="1:11" ht="14.4" customHeight="1" x14ac:dyDescent="0.3">
      <c r="A65" s="488" t="s">
        <v>442</v>
      </c>
      <c r="B65" s="508" t="s">
        <v>520</v>
      </c>
      <c r="C65" s="509" t="s">
        <v>455</v>
      </c>
      <c r="D65" s="510" t="s">
        <v>522</v>
      </c>
      <c r="E65" s="509" t="s">
        <v>854</v>
      </c>
      <c r="F65" s="510" t="s">
        <v>855</v>
      </c>
      <c r="G65" s="509" t="s">
        <v>716</v>
      </c>
      <c r="H65" s="509" t="s">
        <v>717</v>
      </c>
      <c r="I65" s="489">
        <v>0.30249999999999999</v>
      </c>
      <c r="J65" s="489">
        <v>700</v>
      </c>
      <c r="K65" s="491">
        <v>212</v>
      </c>
    </row>
    <row r="66" spans="1:11" ht="14.4" customHeight="1" x14ac:dyDescent="0.3">
      <c r="A66" s="488" t="s">
        <v>442</v>
      </c>
      <c r="B66" s="508" t="s">
        <v>520</v>
      </c>
      <c r="C66" s="509" t="s">
        <v>455</v>
      </c>
      <c r="D66" s="510" t="s">
        <v>522</v>
      </c>
      <c r="E66" s="509" t="s">
        <v>856</v>
      </c>
      <c r="F66" s="510" t="s">
        <v>857</v>
      </c>
      <c r="G66" s="509" t="s">
        <v>718</v>
      </c>
      <c r="H66" s="509" t="s">
        <v>719</v>
      </c>
      <c r="I66" s="489">
        <v>0.73499999999999999</v>
      </c>
      <c r="J66" s="489">
        <v>1200</v>
      </c>
      <c r="K66" s="491">
        <v>880.8</v>
      </c>
    </row>
    <row r="67" spans="1:11" ht="14.4" customHeight="1" x14ac:dyDescent="0.3">
      <c r="A67" s="488" t="s">
        <v>442</v>
      </c>
      <c r="B67" s="508" t="s">
        <v>520</v>
      </c>
      <c r="C67" s="509" t="s">
        <v>455</v>
      </c>
      <c r="D67" s="510" t="s">
        <v>522</v>
      </c>
      <c r="E67" s="509" t="s">
        <v>856</v>
      </c>
      <c r="F67" s="510" t="s">
        <v>857</v>
      </c>
      <c r="G67" s="509" t="s">
        <v>640</v>
      </c>
      <c r="H67" s="509" t="s">
        <v>641</v>
      </c>
      <c r="I67" s="489">
        <v>0.72</v>
      </c>
      <c r="J67" s="489">
        <v>400</v>
      </c>
      <c r="K67" s="491">
        <v>288.04000000000002</v>
      </c>
    </row>
    <row r="68" spans="1:11" ht="14.4" customHeight="1" x14ac:dyDescent="0.3">
      <c r="A68" s="488" t="s">
        <v>442</v>
      </c>
      <c r="B68" s="508" t="s">
        <v>520</v>
      </c>
      <c r="C68" s="509" t="s">
        <v>455</v>
      </c>
      <c r="D68" s="510" t="s">
        <v>522</v>
      </c>
      <c r="E68" s="509" t="s">
        <v>856</v>
      </c>
      <c r="F68" s="510" t="s">
        <v>857</v>
      </c>
      <c r="G68" s="509" t="s">
        <v>720</v>
      </c>
      <c r="H68" s="509" t="s">
        <v>721</v>
      </c>
      <c r="I68" s="489">
        <v>7.5</v>
      </c>
      <c r="J68" s="489">
        <v>80</v>
      </c>
      <c r="K68" s="491">
        <v>600</v>
      </c>
    </row>
    <row r="69" spans="1:11" ht="14.4" customHeight="1" x14ac:dyDescent="0.3">
      <c r="A69" s="488" t="s">
        <v>442</v>
      </c>
      <c r="B69" s="508" t="s">
        <v>520</v>
      </c>
      <c r="C69" s="509" t="s">
        <v>455</v>
      </c>
      <c r="D69" s="510" t="s">
        <v>522</v>
      </c>
      <c r="E69" s="509" t="s">
        <v>856</v>
      </c>
      <c r="F69" s="510" t="s">
        <v>857</v>
      </c>
      <c r="G69" s="509" t="s">
        <v>722</v>
      </c>
      <c r="H69" s="509" t="s">
        <v>723</v>
      </c>
      <c r="I69" s="489">
        <v>0.77</v>
      </c>
      <c r="J69" s="489">
        <v>900</v>
      </c>
      <c r="K69" s="491">
        <v>693</v>
      </c>
    </row>
    <row r="70" spans="1:11" ht="14.4" customHeight="1" x14ac:dyDescent="0.3">
      <c r="A70" s="488" t="s">
        <v>442</v>
      </c>
      <c r="B70" s="508" t="s">
        <v>520</v>
      </c>
      <c r="C70" s="509" t="s">
        <v>455</v>
      </c>
      <c r="D70" s="510" t="s">
        <v>522</v>
      </c>
      <c r="E70" s="509" t="s">
        <v>860</v>
      </c>
      <c r="F70" s="510" t="s">
        <v>861</v>
      </c>
      <c r="G70" s="509" t="s">
        <v>724</v>
      </c>
      <c r="H70" s="509" t="s">
        <v>725</v>
      </c>
      <c r="I70" s="489">
        <v>214.17039967203272</v>
      </c>
      <c r="J70" s="489">
        <v>1</v>
      </c>
      <c r="K70" s="491">
        <v>214.17039967203272</v>
      </c>
    </row>
    <row r="71" spans="1:11" ht="14.4" customHeight="1" x14ac:dyDescent="0.3">
      <c r="A71" s="488" t="s">
        <v>442</v>
      </c>
      <c r="B71" s="508" t="s">
        <v>520</v>
      </c>
      <c r="C71" s="509" t="s">
        <v>455</v>
      </c>
      <c r="D71" s="510" t="s">
        <v>522</v>
      </c>
      <c r="E71" s="509" t="s">
        <v>860</v>
      </c>
      <c r="F71" s="510" t="s">
        <v>861</v>
      </c>
      <c r="G71" s="509" t="s">
        <v>726</v>
      </c>
      <c r="H71" s="509" t="s">
        <v>727</v>
      </c>
      <c r="I71" s="489">
        <v>745.62670164933218</v>
      </c>
      <c r="J71" s="489">
        <v>1</v>
      </c>
      <c r="K71" s="491">
        <v>745.62670164933218</v>
      </c>
    </row>
    <row r="72" spans="1:11" ht="14.4" customHeight="1" x14ac:dyDescent="0.3">
      <c r="A72" s="488" t="s">
        <v>442</v>
      </c>
      <c r="B72" s="508" t="s">
        <v>520</v>
      </c>
      <c r="C72" s="509" t="s">
        <v>455</v>
      </c>
      <c r="D72" s="510" t="s">
        <v>522</v>
      </c>
      <c r="E72" s="509" t="s">
        <v>860</v>
      </c>
      <c r="F72" s="510" t="s">
        <v>861</v>
      </c>
      <c r="G72" s="509" t="s">
        <v>728</v>
      </c>
      <c r="H72" s="509" t="s">
        <v>729</v>
      </c>
      <c r="I72" s="489">
        <v>198.24384427314214</v>
      </c>
      <c r="J72" s="489">
        <v>18</v>
      </c>
      <c r="K72" s="491">
        <v>3568.2768151596579</v>
      </c>
    </row>
    <row r="73" spans="1:11" ht="14.4" customHeight="1" x14ac:dyDescent="0.3">
      <c r="A73" s="488" t="s">
        <v>442</v>
      </c>
      <c r="B73" s="508" t="s">
        <v>520</v>
      </c>
      <c r="C73" s="509" t="s">
        <v>455</v>
      </c>
      <c r="D73" s="510" t="s">
        <v>522</v>
      </c>
      <c r="E73" s="509" t="s">
        <v>860</v>
      </c>
      <c r="F73" s="510" t="s">
        <v>861</v>
      </c>
      <c r="G73" s="509" t="s">
        <v>730</v>
      </c>
      <c r="H73" s="509" t="s">
        <v>731</v>
      </c>
      <c r="I73" s="489">
        <v>392.239642857143</v>
      </c>
      <c r="J73" s="489">
        <v>28</v>
      </c>
      <c r="K73" s="491">
        <v>10982.710000000005</v>
      </c>
    </row>
    <row r="74" spans="1:11" ht="14.4" customHeight="1" x14ac:dyDescent="0.3">
      <c r="A74" s="488" t="s">
        <v>442</v>
      </c>
      <c r="B74" s="508" t="s">
        <v>520</v>
      </c>
      <c r="C74" s="509" t="s">
        <v>455</v>
      </c>
      <c r="D74" s="510" t="s">
        <v>522</v>
      </c>
      <c r="E74" s="509" t="s">
        <v>860</v>
      </c>
      <c r="F74" s="510" t="s">
        <v>861</v>
      </c>
      <c r="G74" s="509" t="s">
        <v>732</v>
      </c>
      <c r="H74" s="509" t="s">
        <v>733</v>
      </c>
      <c r="I74" s="489">
        <v>184.45756029957525</v>
      </c>
      <c r="J74" s="489">
        <v>1</v>
      </c>
      <c r="K74" s="491">
        <v>184.45756029957525</v>
      </c>
    </row>
    <row r="75" spans="1:11" ht="14.4" customHeight="1" x14ac:dyDescent="0.3">
      <c r="A75" s="488" t="s">
        <v>442</v>
      </c>
      <c r="B75" s="508" t="s">
        <v>520</v>
      </c>
      <c r="C75" s="509" t="s">
        <v>455</v>
      </c>
      <c r="D75" s="510" t="s">
        <v>522</v>
      </c>
      <c r="E75" s="509" t="s">
        <v>860</v>
      </c>
      <c r="F75" s="510" t="s">
        <v>861</v>
      </c>
      <c r="G75" s="509" t="s">
        <v>734</v>
      </c>
      <c r="H75" s="509" t="s">
        <v>735</v>
      </c>
      <c r="I75" s="489">
        <v>251.09626690424577</v>
      </c>
      <c r="J75" s="489">
        <v>7</v>
      </c>
      <c r="K75" s="491">
        <v>1757.6738683297203</v>
      </c>
    </row>
    <row r="76" spans="1:11" ht="14.4" customHeight="1" x14ac:dyDescent="0.3">
      <c r="A76" s="488" t="s">
        <v>442</v>
      </c>
      <c r="B76" s="508" t="s">
        <v>520</v>
      </c>
      <c r="C76" s="509" t="s">
        <v>455</v>
      </c>
      <c r="D76" s="510" t="s">
        <v>522</v>
      </c>
      <c r="E76" s="509" t="s">
        <v>860</v>
      </c>
      <c r="F76" s="510" t="s">
        <v>861</v>
      </c>
      <c r="G76" s="509" t="s">
        <v>736</v>
      </c>
      <c r="H76" s="509" t="s">
        <v>737</v>
      </c>
      <c r="I76" s="489">
        <v>266.16117978141119</v>
      </c>
      <c r="J76" s="489">
        <v>4</v>
      </c>
      <c r="K76" s="491">
        <v>1064.6447191256448</v>
      </c>
    </row>
    <row r="77" spans="1:11" ht="14.4" customHeight="1" x14ac:dyDescent="0.3">
      <c r="A77" s="488" t="s">
        <v>442</v>
      </c>
      <c r="B77" s="508" t="s">
        <v>520</v>
      </c>
      <c r="C77" s="509" t="s">
        <v>455</v>
      </c>
      <c r="D77" s="510" t="s">
        <v>522</v>
      </c>
      <c r="E77" s="509" t="s">
        <v>860</v>
      </c>
      <c r="F77" s="510" t="s">
        <v>861</v>
      </c>
      <c r="G77" s="509" t="s">
        <v>738</v>
      </c>
      <c r="H77" s="509" t="s">
        <v>739</v>
      </c>
      <c r="I77" s="489">
        <v>188.74177216389927</v>
      </c>
      <c r="J77" s="489">
        <v>1</v>
      </c>
      <c r="K77" s="491">
        <v>188.74177216389927</v>
      </c>
    </row>
    <row r="78" spans="1:11" ht="14.4" customHeight="1" x14ac:dyDescent="0.3">
      <c r="A78" s="488" t="s">
        <v>442</v>
      </c>
      <c r="B78" s="508" t="s">
        <v>520</v>
      </c>
      <c r="C78" s="509" t="s">
        <v>455</v>
      </c>
      <c r="D78" s="510" t="s">
        <v>522</v>
      </c>
      <c r="E78" s="509" t="s">
        <v>860</v>
      </c>
      <c r="F78" s="510" t="s">
        <v>861</v>
      </c>
      <c r="G78" s="509" t="s">
        <v>740</v>
      </c>
      <c r="H78" s="509" t="s">
        <v>741</v>
      </c>
      <c r="I78" s="489">
        <v>18150</v>
      </c>
      <c r="J78" s="489">
        <v>1</v>
      </c>
      <c r="K78" s="491">
        <v>18150</v>
      </c>
    </row>
    <row r="79" spans="1:11" ht="14.4" customHeight="1" x14ac:dyDescent="0.3">
      <c r="A79" s="488" t="s">
        <v>442</v>
      </c>
      <c r="B79" s="508" t="s">
        <v>520</v>
      </c>
      <c r="C79" s="509" t="s">
        <v>455</v>
      </c>
      <c r="D79" s="510" t="s">
        <v>522</v>
      </c>
      <c r="E79" s="509" t="s">
        <v>860</v>
      </c>
      <c r="F79" s="510" t="s">
        <v>861</v>
      </c>
      <c r="G79" s="509" t="s">
        <v>742</v>
      </c>
      <c r="H79" s="509" t="s">
        <v>743</v>
      </c>
      <c r="I79" s="489">
        <v>93.17</v>
      </c>
      <c r="J79" s="489">
        <v>6</v>
      </c>
      <c r="K79" s="491">
        <v>559.02</v>
      </c>
    </row>
    <row r="80" spans="1:11" ht="14.4" customHeight="1" x14ac:dyDescent="0.3">
      <c r="A80" s="488" t="s">
        <v>442</v>
      </c>
      <c r="B80" s="508" t="s">
        <v>520</v>
      </c>
      <c r="C80" s="509" t="s">
        <v>455</v>
      </c>
      <c r="D80" s="510" t="s">
        <v>522</v>
      </c>
      <c r="E80" s="509" t="s">
        <v>860</v>
      </c>
      <c r="F80" s="510" t="s">
        <v>861</v>
      </c>
      <c r="G80" s="509" t="s">
        <v>744</v>
      </c>
      <c r="H80" s="509" t="s">
        <v>745</v>
      </c>
      <c r="I80" s="489">
        <v>132.58035116389928</v>
      </c>
      <c r="J80" s="489">
        <v>1</v>
      </c>
      <c r="K80" s="491">
        <v>132.58035116389928</v>
      </c>
    </row>
    <row r="81" spans="1:11" ht="14.4" customHeight="1" x14ac:dyDescent="0.3">
      <c r="A81" s="488" t="s">
        <v>442</v>
      </c>
      <c r="B81" s="508" t="s">
        <v>520</v>
      </c>
      <c r="C81" s="509" t="s">
        <v>455</v>
      </c>
      <c r="D81" s="510" t="s">
        <v>522</v>
      </c>
      <c r="E81" s="509" t="s">
        <v>860</v>
      </c>
      <c r="F81" s="510" t="s">
        <v>861</v>
      </c>
      <c r="G81" s="509" t="s">
        <v>746</v>
      </c>
      <c r="H81" s="509" t="s">
        <v>747</v>
      </c>
      <c r="I81" s="489">
        <v>140.36000000000001</v>
      </c>
      <c r="J81" s="489">
        <v>5</v>
      </c>
      <c r="K81" s="491">
        <v>701.8</v>
      </c>
    </row>
    <row r="82" spans="1:11" ht="14.4" customHeight="1" x14ac:dyDescent="0.3">
      <c r="A82" s="488" t="s">
        <v>442</v>
      </c>
      <c r="B82" s="508" t="s">
        <v>520</v>
      </c>
      <c r="C82" s="509" t="s">
        <v>455</v>
      </c>
      <c r="D82" s="510" t="s">
        <v>522</v>
      </c>
      <c r="E82" s="509" t="s">
        <v>860</v>
      </c>
      <c r="F82" s="510" t="s">
        <v>861</v>
      </c>
      <c r="G82" s="509" t="s">
        <v>748</v>
      </c>
      <c r="H82" s="509" t="s">
        <v>749</v>
      </c>
      <c r="I82" s="489">
        <v>580.23500000000001</v>
      </c>
      <c r="J82" s="489">
        <v>4</v>
      </c>
      <c r="K82" s="491">
        <v>2320.94</v>
      </c>
    </row>
    <row r="83" spans="1:11" ht="14.4" customHeight="1" x14ac:dyDescent="0.3">
      <c r="A83" s="488" t="s">
        <v>442</v>
      </c>
      <c r="B83" s="508" t="s">
        <v>520</v>
      </c>
      <c r="C83" s="509" t="s">
        <v>455</v>
      </c>
      <c r="D83" s="510" t="s">
        <v>522</v>
      </c>
      <c r="E83" s="509" t="s">
        <v>860</v>
      </c>
      <c r="F83" s="510" t="s">
        <v>861</v>
      </c>
      <c r="G83" s="509" t="s">
        <v>750</v>
      </c>
      <c r="H83" s="509" t="s">
        <v>751</v>
      </c>
      <c r="I83" s="489">
        <v>139.15</v>
      </c>
      <c r="J83" s="489">
        <v>2</v>
      </c>
      <c r="K83" s="491">
        <v>278.3</v>
      </c>
    </row>
    <row r="84" spans="1:11" ht="14.4" customHeight="1" x14ac:dyDescent="0.3">
      <c r="A84" s="488" t="s">
        <v>442</v>
      </c>
      <c r="B84" s="508" t="s">
        <v>520</v>
      </c>
      <c r="C84" s="509" t="s">
        <v>455</v>
      </c>
      <c r="D84" s="510" t="s">
        <v>522</v>
      </c>
      <c r="E84" s="509" t="s">
        <v>860</v>
      </c>
      <c r="F84" s="510" t="s">
        <v>861</v>
      </c>
      <c r="G84" s="509" t="s">
        <v>752</v>
      </c>
      <c r="H84" s="509" t="s">
        <v>753</v>
      </c>
      <c r="I84" s="489">
        <v>2344.35</v>
      </c>
      <c r="J84" s="489">
        <v>4</v>
      </c>
      <c r="K84" s="491">
        <v>9377.4</v>
      </c>
    </row>
    <row r="85" spans="1:11" ht="14.4" customHeight="1" x14ac:dyDescent="0.3">
      <c r="A85" s="488" t="s">
        <v>442</v>
      </c>
      <c r="B85" s="508" t="s">
        <v>520</v>
      </c>
      <c r="C85" s="509" t="s">
        <v>455</v>
      </c>
      <c r="D85" s="510" t="s">
        <v>522</v>
      </c>
      <c r="E85" s="509" t="s">
        <v>860</v>
      </c>
      <c r="F85" s="510" t="s">
        <v>861</v>
      </c>
      <c r="G85" s="509" t="s">
        <v>754</v>
      </c>
      <c r="H85" s="509" t="s">
        <v>755</v>
      </c>
      <c r="I85" s="489">
        <v>9398.4224999999988</v>
      </c>
      <c r="J85" s="489">
        <v>4</v>
      </c>
      <c r="K85" s="491">
        <v>37593.689999999995</v>
      </c>
    </row>
    <row r="86" spans="1:11" ht="14.4" customHeight="1" x14ac:dyDescent="0.3">
      <c r="A86" s="488" t="s">
        <v>442</v>
      </c>
      <c r="B86" s="508" t="s">
        <v>520</v>
      </c>
      <c r="C86" s="509" t="s">
        <v>455</v>
      </c>
      <c r="D86" s="510" t="s">
        <v>522</v>
      </c>
      <c r="E86" s="509" t="s">
        <v>860</v>
      </c>
      <c r="F86" s="510" t="s">
        <v>861</v>
      </c>
      <c r="G86" s="509" t="s">
        <v>756</v>
      </c>
      <c r="H86" s="509" t="s">
        <v>757</v>
      </c>
      <c r="I86" s="489">
        <v>111.32</v>
      </c>
      <c r="J86" s="489">
        <v>3</v>
      </c>
      <c r="K86" s="491">
        <v>333.96</v>
      </c>
    </row>
    <row r="87" spans="1:11" ht="14.4" customHeight="1" x14ac:dyDescent="0.3">
      <c r="A87" s="488" t="s">
        <v>442</v>
      </c>
      <c r="B87" s="508" t="s">
        <v>520</v>
      </c>
      <c r="C87" s="509" t="s">
        <v>455</v>
      </c>
      <c r="D87" s="510" t="s">
        <v>522</v>
      </c>
      <c r="E87" s="509" t="s">
        <v>860</v>
      </c>
      <c r="F87" s="510" t="s">
        <v>861</v>
      </c>
      <c r="G87" s="509" t="s">
        <v>758</v>
      </c>
      <c r="H87" s="509" t="s">
        <v>759</v>
      </c>
      <c r="I87" s="489">
        <v>7593.6</v>
      </c>
      <c r="J87" s="489">
        <v>1</v>
      </c>
      <c r="K87" s="491">
        <v>7593.6</v>
      </c>
    </row>
    <row r="88" spans="1:11" ht="14.4" customHeight="1" x14ac:dyDescent="0.3">
      <c r="A88" s="488" t="s">
        <v>442</v>
      </c>
      <c r="B88" s="508" t="s">
        <v>520</v>
      </c>
      <c r="C88" s="509" t="s">
        <v>455</v>
      </c>
      <c r="D88" s="510" t="s">
        <v>522</v>
      </c>
      <c r="E88" s="509" t="s">
        <v>860</v>
      </c>
      <c r="F88" s="510" t="s">
        <v>861</v>
      </c>
      <c r="G88" s="509" t="s">
        <v>760</v>
      </c>
      <c r="H88" s="509" t="s">
        <v>761</v>
      </c>
      <c r="I88" s="489">
        <v>4917</v>
      </c>
      <c r="J88" s="489">
        <v>1</v>
      </c>
      <c r="K88" s="491">
        <v>4917</v>
      </c>
    </row>
    <row r="89" spans="1:11" ht="14.4" customHeight="1" x14ac:dyDescent="0.3">
      <c r="A89" s="488" t="s">
        <v>442</v>
      </c>
      <c r="B89" s="508" t="s">
        <v>520</v>
      </c>
      <c r="C89" s="509" t="s">
        <v>455</v>
      </c>
      <c r="D89" s="510" t="s">
        <v>522</v>
      </c>
      <c r="E89" s="509" t="s">
        <v>860</v>
      </c>
      <c r="F89" s="510" t="s">
        <v>861</v>
      </c>
      <c r="G89" s="509" t="s">
        <v>762</v>
      </c>
      <c r="H89" s="509" t="s">
        <v>763</v>
      </c>
      <c r="I89" s="489">
        <v>15187.19</v>
      </c>
      <c r="J89" s="489">
        <v>1</v>
      </c>
      <c r="K89" s="491">
        <v>15187.19</v>
      </c>
    </row>
    <row r="90" spans="1:11" ht="14.4" customHeight="1" x14ac:dyDescent="0.3">
      <c r="A90" s="488" t="s">
        <v>442</v>
      </c>
      <c r="B90" s="508" t="s">
        <v>520</v>
      </c>
      <c r="C90" s="509" t="s">
        <v>455</v>
      </c>
      <c r="D90" s="510" t="s">
        <v>522</v>
      </c>
      <c r="E90" s="509" t="s">
        <v>860</v>
      </c>
      <c r="F90" s="510" t="s">
        <v>861</v>
      </c>
      <c r="G90" s="509" t="s">
        <v>764</v>
      </c>
      <c r="H90" s="509" t="s">
        <v>765</v>
      </c>
      <c r="I90" s="489">
        <v>8349</v>
      </c>
      <c r="J90" s="489">
        <v>2</v>
      </c>
      <c r="K90" s="491">
        <v>16698</v>
      </c>
    </row>
    <row r="91" spans="1:11" ht="14.4" customHeight="1" x14ac:dyDescent="0.3">
      <c r="A91" s="488" t="s">
        <v>442</v>
      </c>
      <c r="B91" s="508" t="s">
        <v>520</v>
      </c>
      <c r="C91" s="509" t="s">
        <v>455</v>
      </c>
      <c r="D91" s="510" t="s">
        <v>522</v>
      </c>
      <c r="E91" s="509" t="s">
        <v>860</v>
      </c>
      <c r="F91" s="510" t="s">
        <v>861</v>
      </c>
      <c r="G91" s="509" t="s">
        <v>766</v>
      </c>
      <c r="H91" s="509" t="s">
        <v>767</v>
      </c>
      <c r="I91" s="489">
        <v>3569.5</v>
      </c>
      <c r="J91" s="489">
        <v>4</v>
      </c>
      <c r="K91" s="491">
        <v>14278</v>
      </c>
    </row>
    <row r="92" spans="1:11" ht="14.4" customHeight="1" x14ac:dyDescent="0.3">
      <c r="A92" s="488" t="s">
        <v>442</v>
      </c>
      <c r="B92" s="508" t="s">
        <v>520</v>
      </c>
      <c r="C92" s="509" t="s">
        <v>455</v>
      </c>
      <c r="D92" s="510" t="s">
        <v>522</v>
      </c>
      <c r="E92" s="509" t="s">
        <v>860</v>
      </c>
      <c r="F92" s="510" t="s">
        <v>861</v>
      </c>
      <c r="G92" s="509" t="s">
        <v>768</v>
      </c>
      <c r="H92" s="509" t="s">
        <v>769</v>
      </c>
      <c r="I92" s="489">
        <v>7572.91</v>
      </c>
      <c r="J92" s="489">
        <v>1</v>
      </c>
      <c r="K92" s="491">
        <v>7572.91</v>
      </c>
    </row>
    <row r="93" spans="1:11" ht="14.4" customHeight="1" x14ac:dyDescent="0.3">
      <c r="A93" s="488" t="s">
        <v>442</v>
      </c>
      <c r="B93" s="508" t="s">
        <v>520</v>
      </c>
      <c r="C93" s="509" t="s">
        <v>455</v>
      </c>
      <c r="D93" s="510" t="s">
        <v>522</v>
      </c>
      <c r="E93" s="509" t="s">
        <v>860</v>
      </c>
      <c r="F93" s="510" t="s">
        <v>861</v>
      </c>
      <c r="G93" s="509" t="s">
        <v>770</v>
      </c>
      <c r="H93" s="509" t="s">
        <v>771</v>
      </c>
      <c r="I93" s="489">
        <v>13915</v>
      </c>
      <c r="J93" s="489">
        <v>1</v>
      </c>
      <c r="K93" s="491">
        <v>13915</v>
      </c>
    </row>
    <row r="94" spans="1:11" ht="14.4" customHeight="1" x14ac:dyDescent="0.3">
      <c r="A94" s="488" t="s">
        <v>442</v>
      </c>
      <c r="B94" s="508" t="s">
        <v>520</v>
      </c>
      <c r="C94" s="509" t="s">
        <v>455</v>
      </c>
      <c r="D94" s="510" t="s">
        <v>522</v>
      </c>
      <c r="E94" s="509" t="s">
        <v>860</v>
      </c>
      <c r="F94" s="510" t="s">
        <v>861</v>
      </c>
      <c r="G94" s="509" t="s">
        <v>772</v>
      </c>
      <c r="H94" s="509" t="s">
        <v>773</v>
      </c>
      <c r="I94" s="489">
        <v>7574.2849999999999</v>
      </c>
      <c r="J94" s="489">
        <v>2</v>
      </c>
      <c r="K94" s="491">
        <v>15148.57</v>
      </c>
    </row>
    <row r="95" spans="1:11" ht="14.4" customHeight="1" x14ac:dyDescent="0.3">
      <c r="A95" s="488" t="s">
        <v>442</v>
      </c>
      <c r="B95" s="508" t="s">
        <v>520</v>
      </c>
      <c r="C95" s="509" t="s">
        <v>455</v>
      </c>
      <c r="D95" s="510" t="s">
        <v>522</v>
      </c>
      <c r="E95" s="509" t="s">
        <v>860</v>
      </c>
      <c r="F95" s="510" t="s">
        <v>861</v>
      </c>
      <c r="G95" s="509" t="s">
        <v>774</v>
      </c>
      <c r="H95" s="509" t="s">
        <v>775</v>
      </c>
      <c r="I95" s="489">
        <v>92.564999999999998</v>
      </c>
      <c r="J95" s="489">
        <v>7</v>
      </c>
      <c r="K95" s="491">
        <v>647.34999999999991</v>
      </c>
    </row>
    <row r="96" spans="1:11" ht="14.4" customHeight="1" x14ac:dyDescent="0.3">
      <c r="A96" s="488" t="s">
        <v>442</v>
      </c>
      <c r="B96" s="508" t="s">
        <v>520</v>
      </c>
      <c r="C96" s="509" t="s">
        <v>455</v>
      </c>
      <c r="D96" s="510" t="s">
        <v>522</v>
      </c>
      <c r="E96" s="509" t="s">
        <v>860</v>
      </c>
      <c r="F96" s="510" t="s">
        <v>861</v>
      </c>
      <c r="G96" s="509" t="s">
        <v>776</v>
      </c>
      <c r="H96" s="509" t="s">
        <v>777</v>
      </c>
      <c r="I96" s="489">
        <v>15187.19</v>
      </c>
      <c r="J96" s="489">
        <v>1</v>
      </c>
      <c r="K96" s="491">
        <v>15187.19</v>
      </c>
    </row>
    <row r="97" spans="1:11" ht="14.4" customHeight="1" x14ac:dyDescent="0.3">
      <c r="A97" s="488" t="s">
        <v>442</v>
      </c>
      <c r="B97" s="508" t="s">
        <v>520</v>
      </c>
      <c r="C97" s="509" t="s">
        <v>455</v>
      </c>
      <c r="D97" s="510" t="s">
        <v>522</v>
      </c>
      <c r="E97" s="509" t="s">
        <v>860</v>
      </c>
      <c r="F97" s="510" t="s">
        <v>861</v>
      </c>
      <c r="G97" s="509" t="s">
        <v>778</v>
      </c>
      <c r="H97" s="509" t="s">
        <v>779</v>
      </c>
      <c r="I97" s="489">
        <v>338.45</v>
      </c>
      <c r="J97" s="489">
        <v>4</v>
      </c>
      <c r="K97" s="491">
        <v>1353.8</v>
      </c>
    </row>
    <row r="98" spans="1:11" ht="14.4" customHeight="1" x14ac:dyDescent="0.3">
      <c r="A98" s="488" t="s">
        <v>442</v>
      </c>
      <c r="B98" s="508" t="s">
        <v>520</v>
      </c>
      <c r="C98" s="509" t="s">
        <v>455</v>
      </c>
      <c r="D98" s="510" t="s">
        <v>522</v>
      </c>
      <c r="E98" s="509" t="s">
        <v>860</v>
      </c>
      <c r="F98" s="510" t="s">
        <v>861</v>
      </c>
      <c r="G98" s="509" t="s">
        <v>780</v>
      </c>
      <c r="H98" s="509" t="s">
        <v>781</v>
      </c>
      <c r="I98" s="489">
        <v>1270.5</v>
      </c>
      <c r="J98" s="489">
        <v>20</v>
      </c>
      <c r="K98" s="491">
        <v>25410</v>
      </c>
    </row>
    <row r="99" spans="1:11" ht="14.4" customHeight="1" x14ac:dyDescent="0.3">
      <c r="A99" s="488" t="s">
        <v>442</v>
      </c>
      <c r="B99" s="508" t="s">
        <v>520</v>
      </c>
      <c r="C99" s="509" t="s">
        <v>455</v>
      </c>
      <c r="D99" s="510" t="s">
        <v>522</v>
      </c>
      <c r="E99" s="509" t="s">
        <v>860</v>
      </c>
      <c r="F99" s="510" t="s">
        <v>861</v>
      </c>
      <c r="G99" s="509" t="s">
        <v>782</v>
      </c>
      <c r="H99" s="509" t="s">
        <v>783</v>
      </c>
      <c r="I99" s="489">
        <v>13188.78</v>
      </c>
      <c r="J99" s="489">
        <v>1</v>
      </c>
      <c r="K99" s="491">
        <v>13188.78</v>
      </c>
    </row>
    <row r="100" spans="1:11" ht="14.4" customHeight="1" x14ac:dyDescent="0.3">
      <c r="A100" s="488" t="s">
        <v>442</v>
      </c>
      <c r="B100" s="508" t="s">
        <v>520</v>
      </c>
      <c r="C100" s="509" t="s">
        <v>455</v>
      </c>
      <c r="D100" s="510" t="s">
        <v>522</v>
      </c>
      <c r="E100" s="509" t="s">
        <v>860</v>
      </c>
      <c r="F100" s="510" t="s">
        <v>861</v>
      </c>
      <c r="G100" s="509" t="s">
        <v>784</v>
      </c>
      <c r="H100" s="509" t="s">
        <v>785</v>
      </c>
      <c r="I100" s="489">
        <v>23170.29</v>
      </c>
      <c r="J100" s="489">
        <v>1</v>
      </c>
      <c r="K100" s="491">
        <v>23170.29</v>
      </c>
    </row>
    <row r="101" spans="1:11" ht="14.4" customHeight="1" x14ac:dyDescent="0.3">
      <c r="A101" s="488" t="s">
        <v>442</v>
      </c>
      <c r="B101" s="508" t="s">
        <v>520</v>
      </c>
      <c r="C101" s="509" t="s">
        <v>455</v>
      </c>
      <c r="D101" s="510" t="s">
        <v>522</v>
      </c>
      <c r="E101" s="509" t="s">
        <v>860</v>
      </c>
      <c r="F101" s="510" t="s">
        <v>861</v>
      </c>
      <c r="G101" s="509" t="s">
        <v>786</v>
      </c>
      <c r="H101" s="509" t="s">
        <v>787</v>
      </c>
      <c r="I101" s="489">
        <v>5747.4</v>
      </c>
      <c r="J101" s="489">
        <v>1</v>
      </c>
      <c r="K101" s="491">
        <v>5747.4</v>
      </c>
    </row>
    <row r="102" spans="1:11" ht="14.4" customHeight="1" x14ac:dyDescent="0.3">
      <c r="A102" s="488" t="s">
        <v>442</v>
      </c>
      <c r="B102" s="508" t="s">
        <v>520</v>
      </c>
      <c r="C102" s="509" t="s">
        <v>455</v>
      </c>
      <c r="D102" s="510" t="s">
        <v>522</v>
      </c>
      <c r="E102" s="509" t="s">
        <v>860</v>
      </c>
      <c r="F102" s="510" t="s">
        <v>861</v>
      </c>
      <c r="G102" s="509" t="s">
        <v>788</v>
      </c>
      <c r="H102" s="509" t="s">
        <v>789</v>
      </c>
      <c r="I102" s="489">
        <v>4948.82</v>
      </c>
      <c r="J102" s="489">
        <v>1</v>
      </c>
      <c r="K102" s="491">
        <v>4948.82</v>
      </c>
    </row>
    <row r="103" spans="1:11" ht="14.4" customHeight="1" x14ac:dyDescent="0.3">
      <c r="A103" s="488" t="s">
        <v>442</v>
      </c>
      <c r="B103" s="508" t="s">
        <v>520</v>
      </c>
      <c r="C103" s="509" t="s">
        <v>455</v>
      </c>
      <c r="D103" s="510" t="s">
        <v>522</v>
      </c>
      <c r="E103" s="509" t="s">
        <v>860</v>
      </c>
      <c r="F103" s="510" t="s">
        <v>861</v>
      </c>
      <c r="G103" s="509" t="s">
        <v>790</v>
      </c>
      <c r="H103" s="509" t="s">
        <v>791</v>
      </c>
      <c r="I103" s="489">
        <v>13733.5</v>
      </c>
      <c r="J103" s="489">
        <v>1</v>
      </c>
      <c r="K103" s="491">
        <v>13733.5</v>
      </c>
    </row>
    <row r="104" spans="1:11" ht="14.4" customHeight="1" x14ac:dyDescent="0.3">
      <c r="A104" s="488" t="s">
        <v>442</v>
      </c>
      <c r="B104" s="508" t="s">
        <v>520</v>
      </c>
      <c r="C104" s="509" t="s">
        <v>455</v>
      </c>
      <c r="D104" s="510" t="s">
        <v>522</v>
      </c>
      <c r="E104" s="509" t="s">
        <v>860</v>
      </c>
      <c r="F104" s="510" t="s">
        <v>861</v>
      </c>
      <c r="G104" s="509" t="s">
        <v>792</v>
      </c>
      <c r="H104" s="509" t="s">
        <v>793</v>
      </c>
      <c r="I104" s="489">
        <v>7840.89</v>
      </c>
      <c r="J104" s="489">
        <v>1</v>
      </c>
      <c r="K104" s="491">
        <v>7840.89</v>
      </c>
    </row>
    <row r="105" spans="1:11" ht="14.4" customHeight="1" x14ac:dyDescent="0.3">
      <c r="A105" s="488" t="s">
        <v>442</v>
      </c>
      <c r="B105" s="508" t="s">
        <v>520</v>
      </c>
      <c r="C105" s="509" t="s">
        <v>455</v>
      </c>
      <c r="D105" s="510" t="s">
        <v>522</v>
      </c>
      <c r="E105" s="509" t="s">
        <v>860</v>
      </c>
      <c r="F105" s="510" t="s">
        <v>861</v>
      </c>
      <c r="G105" s="509" t="s">
        <v>794</v>
      </c>
      <c r="H105" s="509" t="s">
        <v>795</v>
      </c>
      <c r="I105" s="489">
        <v>7840.89</v>
      </c>
      <c r="J105" s="489">
        <v>1</v>
      </c>
      <c r="K105" s="491">
        <v>7840.89</v>
      </c>
    </row>
    <row r="106" spans="1:11" ht="14.4" customHeight="1" x14ac:dyDescent="0.3">
      <c r="A106" s="488" t="s">
        <v>442</v>
      </c>
      <c r="B106" s="508" t="s">
        <v>520</v>
      </c>
      <c r="C106" s="509" t="s">
        <v>455</v>
      </c>
      <c r="D106" s="510" t="s">
        <v>522</v>
      </c>
      <c r="E106" s="509" t="s">
        <v>860</v>
      </c>
      <c r="F106" s="510" t="s">
        <v>861</v>
      </c>
      <c r="G106" s="509" t="s">
        <v>796</v>
      </c>
      <c r="H106" s="509" t="s">
        <v>797</v>
      </c>
      <c r="I106" s="489">
        <v>1853.12</v>
      </c>
      <c r="J106" s="489">
        <v>1</v>
      </c>
      <c r="K106" s="491">
        <v>1853.12</v>
      </c>
    </row>
    <row r="107" spans="1:11" ht="14.4" customHeight="1" x14ac:dyDescent="0.3">
      <c r="A107" s="488" t="s">
        <v>442</v>
      </c>
      <c r="B107" s="508" t="s">
        <v>520</v>
      </c>
      <c r="C107" s="509" t="s">
        <v>455</v>
      </c>
      <c r="D107" s="510" t="s">
        <v>522</v>
      </c>
      <c r="E107" s="509" t="s">
        <v>860</v>
      </c>
      <c r="F107" s="510" t="s">
        <v>861</v>
      </c>
      <c r="G107" s="509" t="s">
        <v>798</v>
      </c>
      <c r="H107" s="509" t="s">
        <v>799</v>
      </c>
      <c r="I107" s="489">
        <v>2204.3200000000002</v>
      </c>
      <c r="J107" s="489">
        <v>2</v>
      </c>
      <c r="K107" s="491">
        <v>4408.63</v>
      </c>
    </row>
    <row r="108" spans="1:11" ht="14.4" customHeight="1" x14ac:dyDescent="0.3">
      <c r="A108" s="488" t="s">
        <v>442</v>
      </c>
      <c r="B108" s="508" t="s">
        <v>520</v>
      </c>
      <c r="C108" s="509" t="s">
        <v>455</v>
      </c>
      <c r="D108" s="510" t="s">
        <v>522</v>
      </c>
      <c r="E108" s="509" t="s">
        <v>860</v>
      </c>
      <c r="F108" s="510" t="s">
        <v>861</v>
      </c>
      <c r="G108" s="509" t="s">
        <v>800</v>
      </c>
      <c r="H108" s="509" t="s">
        <v>801</v>
      </c>
      <c r="I108" s="489">
        <v>8893.61</v>
      </c>
      <c r="J108" s="489">
        <v>1</v>
      </c>
      <c r="K108" s="491">
        <v>8893.61</v>
      </c>
    </row>
    <row r="109" spans="1:11" ht="14.4" customHeight="1" x14ac:dyDescent="0.3">
      <c r="A109" s="488" t="s">
        <v>442</v>
      </c>
      <c r="B109" s="508" t="s">
        <v>520</v>
      </c>
      <c r="C109" s="509" t="s">
        <v>455</v>
      </c>
      <c r="D109" s="510" t="s">
        <v>522</v>
      </c>
      <c r="E109" s="509" t="s">
        <v>860</v>
      </c>
      <c r="F109" s="510" t="s">
        <v>861</v>
      </c>
      <c r="G109" s="509" t="s">
        <v>802</v>
      </c>
      <c r="H109" s="509" t="s">
        <v>803</v>
      </c>
      <c r="I109" s="489">
        <v>8893.61</v>
      </c>
      <c r="J109" s="489">
        <v>1</v>
      </c>
      <c r="K109" s="491">
        <v>8893.61</v>
      </c>
    </row>
    <row r="110" spans="1:11" ht="14.4" customHeight="1" x14ac:dyDescent="0.3">
      <c r="A110" s="488" t="s">
        <v>442</v>
      </c>
      <c r="B110" s="508" t="s">
        <v>520</v>
      </c>
      <c r="C110" s="509" t="s">
        <v>455</v>
      </c>
      <c r="D110" s="510" t="s">
        <v>522</v>
      </c>
      <c r="E110" s="509" t="s">
        <v>860</v>
      </c>
      <c r="F110" s="510" t="s">
        <v>861</v>
      </c>
      <c r="G110" s="509" t="s">
        <v>804</v>
      </c>
      <c r="H110" s="509" t="s">
        <v>805</v>
      </c>
      <c r="I110" s="489">
        <v>242</v>
      </c>
      <c r="J110" s="489">
        <v>1</v>
      </c>
      <c r="K110" s="491">
        <v>242</v>
      </c>
    </row>
    <row r="111" spans="1:11" ht="14.4" customHeight="1" x14ac:dyDescent="0.3">
      <c r="A111" s="488" t="s">
        <v>442</v>
      </c>
      <c r="B111" s="508" t="s">
        <v>520</v>
      </c>
      <c r="C111" s="509" t="s">
        <v>455</v>
      </c>
      <c r="D111" s="510" t="s">
        <v>522</v>
      </c>
      <c r="E111" s="509" t="s">
        <v>860</v>
      </c>
      <c r="F111" s="510" t="s">
        <v>861</v>
      </c>
      <c r="G111" s="509" t="s">
        <v>806</v>
      </c>
      <c r="H111" s="509" t="s">
        <v>807</v>
      </c>
      <c r="I111" s="489">
        <v>2420</v>
      </c>
      <c r="J111" s="489">
        <v>1</v>
      </c>
      <c r="K111" s="491">
        <v>2420</v>
      </c>
    </row>
    <row r="112" spans="1:11" ht="14.4" customHeight="1" x14ac:dyDescent="0.3">
      <c r="A112" s="488" t="s">
        <v>442</v>
      </c>
      <c r="B112" s="508" t="s">
        <v>520</v>
      </c>
      <c r="C112" s="509" t="s">
        <v>455</v>
      </c>
      <c r="D112" s="510" t="s">
        <v>522</v>
      </c>
      <c r="E112" s="509" t="s">
        <v>860</v>
      </c>
      <c r="F112" s="510" t="s">
        <v>861</v>
      </c>
      <c r="G112" s="509" t="s">
        <v>808</v>
      </c>
      <c r="H112" s="509" t="s">
        <v>809</v>
      </c>
      <c r="I112" s="489">
        <v>8552.2999999999993</v>
      </c>
      <c r="J112" s="489">
        <v>1</v>
      </c>
      <c r="K112" s="491">
        <v>8552.2999999999993</v>
      </c>
    </row>
    <row r="113" spans="1:11" ht="14.4" customHeight="1" x14ac:dyDescent="0.3">
      <c r="A113" s="488" t="s">
        <v>442</v>
      </c>
      <c r="B113" s="508" t="s">
        <v>520</v>
      </c>
      <c r="C113" s="509" t="s">
        <v>455</v>
      </c>
      <c r="D113" s="510" t="s">
        <v>522</v>
      </c>
      <c r="E113" s="509" t="s">
        <v>860</v>
      </c>
      <c r="F113" s="510" t="s">
        <v>861</v>
      </c>
      <c r="G113" s="509" t="s">
        <v>810</v>
      </c>
      <c r="H113" s="509" t="s">
        <v>811</v>
      </c>
      <c r="I113" s="489">
        <v>30181.27</v>
      </c>
      <c r="J113" s="489">
        <v>1</v>
      </c>
      <c r="K113" s="491">
        <v>30181.27</v>
      </c>
    </row>
    <row r="114" spans="1:11" ht="14.4" customHeight="1" x14ac:dyDescent="0.3">
      <c r="A114" s="488" t="s">
        <v>442</v>
      </c>
      <c r="B114" s="508" t="s">
        <v>520</v>
      </c>
      <c r="C114" s="509" t="s">
        <v>455</v>
      </c>
      <c r="D114" s="510" t="s">
        <v>522</v>
      </c>
      <c r="E114" s="509" t="s">
        <v>860</v>
      </c>
      <c r="F114" s="510" t="s">
        <v>861</v>
      </c>
      <c r="G114" s="509" t="s">
        <v>812</v>
      </c>
      <c r="H114" s="509" t="s">
        <v>813</v>
      </c>
      <c r="I114" s="489">
        <v>15151.33</v>
      </c>
      <c r="J114" s="489">
        <v>1</v>
      </c>
      <c r="K114" s="491">
        <v>15151.33</v>
      </c>
    </row>
    <row r="115" spans="1:11" ht="14.4" customHeight="1" x14ac:dyDescent="0.3">
      <c r="A115" s="488" t="s">
        <v>442</v>
      </c>
      <c r="B115" s="508" t="s">
        <v>520</v>
      </c>
      <c r="C115" s="509" t="s">
        <v>455</v>
      </c>
      <c r="D115" s="510" t="s">
        <v>522</v>
      </c>
      <c r="E115" s="509" t="s">
        <v>860</v>
      </c>
      <c r="F115" s="510" t="s">
        <v>861</v>
      </c>
      <c r="G115" s="509" t="s">
        <v>814</v>
      </c>
      <c r="H115" s="509" t="s">
        <v>815</v>
      </c>
      <c r="I115" s="489">
        <v>14604.7</v>
      </c>
      <c r="J115" s="489">
        <v>1</v>
      </c>
      <c r="K115" s="491">
        <v>14604.7</v>
      </c>
    </row>
    <row r="116" spans="1:11" ht="14.4" customHeight="1" x14ac:dyDescent="0.3">
      <c r="A116" s="488" t="s">
        <v>442</v>
      </c>
      <c r="B116" s="508" t="s">
        <v>520</v>
      </c>
      <c r="C116" s="509" t="s">
        <v>455</v>
      </c>
      <c r="D116" s="510" t="s">
        <v>522</v>
      </c>
      <c r="E116" s="509" t="s">
        <v>860</v>
      </c>
      <c r="F116" s="510" t="s">
        <v>861</v>
      </c>
      <c r="G116" s="509" t="s">
        <v>816</v>
      </c>
      <c r="H116" s="509" t="s">
        <v>817</v>
      </c>
      <c r="I116" s="489">
        <v>7575.68</v>
      </c>
      <c r="J116" s="489">
        <v>1</v>
      </c>
      <c r="K116" s="491">
        <v>7575.68</v>
      </c>
    </row>
    <row r="117" spans="1:11" ht="14.4" customHeight="1" x14ac:dyDescent="0.3">
      <c r="A117" s="488" t="s">
        <v>442</v>
      </c>
      <c r="B117" s="508" t="s">
        <v>520</v>
      </c>
      <c r="C117" s="509" t="s">
        <v>455</v>
      </c>
      <c r="D117" s="510" t="s">
        <v>522</v>
      </c>
      <c r="E117" s="509" t="s">
        <v>860</v>
      </c>
      <c r="F117" s="510" t="s">
        <v>861</v>
      </c>
      <c r="G117" s="509" t="s">
        <v>818</v>
      </c>
      <c r="H117" s="509" t="s">
        <v>819</v>
      </c>
      <c r="I117" s="489">
        <v>595.67999999999995</v>
      </c>
      <c r="J117" s="489">
        <v>1</v>
      </c>
      <c r="K117" s="491">
        <v>595.67999999999995</v>
      </c>
    </row>
    <row r="118" spans="1:11" ht="14.4" customHeight="1" x14ac:dyDescent="0.3">
      <c r="A118" s="488" t="s">
        <v>442</v>
      </c>
      <c r="B118" s="508" t="s">
        <v>520</v>
      </c>
      <c r="C118" s="509" t="s">
        <v>455</v>
      </c>
      <c r="D118" s="510" t="s">
        <v>522</v>
      </c>
      <c r="E118" s="509" t="s">
        <v>860</v>
      </c>
      <c r="F118" s="510" t="s">
        <v>861</v>
      </c>
      <c r="G118" s="509" t="s">
        <v>820</v>
      </c>
      <c r="H118" s="509" t="s">
        <v>821</v>
      </c>
      <c r="I118" s="489">
        <v>3309.35</v>
      </c>
      <c r="J118" s="489">
        <v>1</v>
      </c>
      <c r="K118" s="491">
        <v>3309.35</v>
      </c>
    </row>
    <row r="119" spans="1:11" ht="14.4" customHeight="1" x14ac:dyDescent="0.3">
      <c r="A119" s="488" t="s">
        <v>442</v>
      </c>
      <c r="B119" s="508" t="s">
        <v>520</v>
      </c>
      <c r="C119" s="509" t="s">
        <v>455</v>
      </c>
      <c r="D119" s="510" t="s">
        <v>522</v>
      </c>
      <c r="E119" s="509" t="s">
        <v>860</v>
      </c>
      <c r="F119" s="510" t="s">
        <v>861</v>
      </c>
      <c r="G119" s="509" t="s">
        <v>822</v>
      </c>
      <c r="H119" s="509" t="s">
        <v>823</v>
      </c>
      <c r="I119" s="489">
        <v>7575.66</v>
      </c>
      <c r="J119" s="489">
        <v>1</v>
      </c>
      <c r="K119" s="491">
        <v>7575.66</v>
      </c>
    </row>
    <row r="120" spans="1:11" ht="14.4" customHeight="1" x14ac:dyDescent="0.3">
      <c r="A120" s="488" t="s">
        <v>442</v>
      </c>
      <c r="B120" s="508" t="s">
        <v>520</v>
      </c>
      <c r="C120" s="509" t="s">
        <v>455</v>
      </c>
      <c r="D120" s="510" t="s">
        <v>522</v>
      </c>
      <c r="E120" s="509" t="s">
        <v>860</v>
      </c>
      <c r="F120" s="510" t="s">
        <v>861</v>
      </c>
      <c r="G120" s="509" t="s">
        <v>824</v>
      </c>
      <c r="H120" s="509" t="s">
        <v>825</v>
      </c>
      <c r="I120" s="489">
        <v>10898.23</v>
      </c>
      <c r="J120" s="489">
        <v>1</v>
      </c>
      <c r="K120" s="491">
        <v>10898.23</v>
      </c>
    </row>
    <row r="121" spans="1:11" ht="14.4" customHeight="1" x14ac:dyDescent="0.3">
      <c r="A121" s="488" t="s">
        <v>442</v>
      </c>
      <c r="B121" s="508" t="s">
        <v>520</v>
      </c>
      <c r="C121" s="509" t="s">
        <v>455</v>
      </c>
      <c r="D121" s="510" t="s">
        <v>522</v>
      </c>
      <c r="E121" s="509" t="s">
        <v>860</v>
      </c>
      <c r="F121" s="510" t="s">
        <v>861</v>
      </c>
      <c r="G121" s="509" t="s">
        <v>826</v>
      </c>
      <c r="H121" s="509" t="s">
        <v>827</v>
      </c>
      <c r="I121" s="489">
        <v>1094.49</v>
      </c>
      <c r="J121" s="489">
        <v>1</v>
      </c>
      <c r="K121" s="491">
        <v>1094.49</v>
      </c>
    </row>
    <row r="122" spans="1:11" ht="14.4" customHeight="1" x14ac:dyDescent="0.3">
      <c r="A122" s="488" t="s">
        <v>442</v>
      </c>
      <c r="B122" s="508" t="s">
        <v>520</v>
      </c>
      <c r="C122" s="509" t="s">
        <v>455</v>
      </c>
      <c r="D122" s="510" t="s">
        <v>522</v>
      </c>
      <c r="E122" s="509" t="s">
        <v>860</v>
      </c>
      <c r="F122" s="510" t="s">
        <v>861</v>
      </c>
      <c r="G122" s="509" t="s">
        <v>828</v>
      </c>
      <c r="H122" s="509" t="s">
        <v>829</v>
      </c>
      <c r="I122" s="489">
        <v>1040.5999999999999</v>
      </c>
      <c r="J122" s="489">
        <v>6</v>
      </c>
      <c r="K122" s="491">
        <v>6243.5999999999995</v>
      </c>
    </row>
    <row r="123" spans="1:11" ht="14.4" customHeight="1" x14ac:dyDescent="0.3">
      <c r="A123" s="488" t="s">
        <v>442</v>
      </c>
      <c r="B123" s="508" t="s">
        <v>520</v>
      </c>
      <c r="C123" s="509" t="s">
        <v>455</v>
      </c>
      <c r="D123" s="510" t="s">
        <v>522</v>
      </c>
      <c r="E123" s="509" t="s">
        <v>860</v>
      </c>
      <c r="F123" s="510" t="s">
        <v>861</v>
      </c>
      <c r="G123" s="509" t="s">
        <v>830</v>
      </c>
      <c r="H123" s="509" t="s">
        <v>831</v>
      </c>
      <c r="I123" s="489">
        <v>963.16</v>
      </c>
      <c r="J123" s="489">
        <v>1</v>
      </c>
      <c r="K123" s="491">
        <v>963.16</v>
      </c>
    </row>
    <row r="124" spans="1:11" ht="14.4" customHeight="1" x14ac:dyDescent="0.3">
      <c r="A124" s="488" t="s">
        <v>442</v>
      </c>
      <c r="B124" s="508" t="s">
        <v>520</v>
      </c>
      <c r="C124" s="509" t="s">
        <v>455</v>
      </c>
      <c r="D124" s="510" t="s">
        <v>522</v>
      </c>
      <c r="E124" s="509" t="s">
        <v>860</v>
      </c>
      <c r="F124" s="510" t="s">
        <v>861</v>
      </c>
      <c r="G124" s="509" t="s">
        <v>832</v>
      </c>
      <c r="H124" s="509" t="s">
        <v>833</v>
      </c>
      <c r="I124" s="489">
        <v>3533.2</v>
      </c>
      <c r="J124" s="489">
        <v>2</v>
      </c>
      <c r="K124" s="491">
        <v>7066.4</v>
      </c>
    </row>
    <row r="125" spans="1:11" ht="14.4" customHeight="1" x14ac:dyDescent="0.3">
      <c r="A125" s="488" t="s">
        <v>442</v>
      </c>
      <c r="B125" s="508" t="s">
        <v>520</v>
      </c>
      <c r="C125" s="509" t="s">
        <v>455</v>
      </c>
      <c r="D125" s="510" t="s">
        <v>522</v>
      </c>
      <c r="E125" s="509" t="s">
        <v>860</v>
      </c>
      <c r="F125" s="510" t="s">
        <v>861</v>
      </c>
      <c r="G125" s="509" t="s">
        <v>834</v>
      </c>
      <c r="H125" s="509" t="s">
        <v>835</v>
      </c>
      <c r="I125" s="489">
        <v>13133.34</v>
      </c>
      <c r="J125" s="489">
        <v>1</v>
      </c>
      <c r="K125" s="491">
        <v>13133.34</v>
      </c>
    </row>
    <row r="126" spans="1:11" ht="14.4" customHeight="1" x14ac:dyDescent="0.3">
      <c r="A126" s="488" t="s">
        <v>442</v>
      </c>
      <c r="B126" s="508" t="s">
        <v>520</v>
      </c>
      <c r="C126" s="509" t="s">
        <v>455</v>
      </c>
      <c r="D126" s="510" t="s">
        <v>522</v>
      </c>
      <c r="E126" s="509" t="s">
        <v>860</v>
      </c>
      <c r="F126" s="510" t="s">
        <v>861</v>
      </c>
      <c r="G126" s="509" t="s">
        <v>836</v>
      </c>
      <c r="H126" s="509" t="s">
        <v>837</v>
      </c>
      <c r="I126" s="489">
        <v>7575.66</v>
      </c>
      <c r="J126" s="489">
        <v>1</v>
      </c>
      <c r="K126" s="491">
        <v>7575.66</v>
      </c>
    </row>
    <row r="127" spans="1:11" ht="14.4" customHeight="1" x14ac:dyDescent="0.3">
      <c r="A127" s="488" t="s">
        <v>442</v>
      </c>
      <c r="B127" s="508" t="s">
        <v>520</v>
      </c>
      <c r="C127" s="509" t="s">
        <v>455</v>
      </c>
      <c r="D127" s="510" t="s">
        <v>522</v>
      </c>
      <c r="E127" s="509" t="s">
        <v>860</v>
      </c>
      <c r="F127" s="510" t="s">
        <v>861</v>
      </c>
      <c r="G127" s="509" t="s">
        <v>838</v>
      </c>
      <c r="H127" s="509" t="s">
        <v>839</v>
      </c>
      <c r="I127" s="489">
        <v>15151.33</v>
      </c>
      <c r="J127" s="489">
        <v>1</v>
      </c>
      <c r="K127" s="491">
        <v>15151.33</v>
      </c>
    </row>
    <row r="128" spans="1:11" ht="14.4" customHeight="1" x14ac:dyDescent="0.3">
      <c r="A128" s="488" t="s">
        <v>442</v>
      </c>
      <c r="B128" s="508" t="s">
        <v>520</v>
      </c>
      <c r="C128" s="509" t="s">
        <v>455</v>
      </c>
      <c r="D128" s="510" t="s">
        <v>522</v>
      </c>
      <c r="E128" s="509" t="s">
        <v>860</v>
      </c>
      <c r="F128" s="510" t="s">
        <v>861</v>
      </c>
      <c r="G128" s="509" t="s">
        <v>840</v>
      </c>
      <c r="H128" s="509" t="s">
        <v>841</v>
      </c>
      <c r="I128" s="489">
        <v>2950.71</v>
      </c>
      <c r="J128" s="489">
        <v>1</v>
      </c>
      <c r="K128" s="491">
        <v>2950.71</v>
      </c>
    </row>
    <row r="129" spans="1:11" ht="14.4" customHeight="1" x14ac:dyDescent="0.3">
      <c r="A129" s="488" t="s">
        <v>442</v>
      </c>
      <c r="B129" s="508" t="s">
        <v>520</v>
      </c>
      <c r="C129" s="509" t="s">
        <v>455</v>
      </c>
      <c r="D129" s="510" t="s">
        <v>522</v>
      </c>
      <c r="E129" s="509" t="s">
        <v>860</v>
      </c>
      <c r="F129" s="510" t="s">
        <v>861</v>
      </c>
      <c r="G129" s="509" t="s">
        <v>842</v>
      </c>
      <c r="H129" s="509" t="s">
        <v>843</v>
      </c>
      <c r="I129" s="489">
        <v>7069</v>
      </c>
      <c r="J129" s="489">
        <v>1</v>
      </c>
      <c r="K129" s="491">
        <v>7069</v>
      </c>
    </row>
    <row r="130" spans="1:11" ht="14.4" customHeight="1" x14ac:dyDescent="0.3">
      <c r="A130" s="488" t="s">
        <v>442</v>
      </c>
      <c r="B130" s="508" t="s">
        <v>520</v>
      </c>
      <c r="C130" s="509" t="s">
        <v>455</v>
      </c>
      <c r="D130" s="510" t="s">
        <v>522</v>
      </c>
      <c r="E130" s="509" t="s">
        <v>860</v>
      </c>
      <c r="F130" s="510" t="s">
        <v>861</v>
      </c>
      <c r="G130" s="509" t="s">
        <v>844</v>
      </c>
      <c r="H130" s="509" t="s">
        <v>845</v>
      </c>
      <c r="I130" s="489">
        <v>7560.49</v>
      </c>
      <c r="J130" s="489">
        <v>1</v>
      </c>
      <c r="K130" s="491">
        <v>7560.49</v>
      </c>
    </row>
    <row r="131" spans="1:11" ht="14.4" customHeight="1" x14ac:dyDescent="0.3">
      <c r="A131" s="488" t="s">
        <v>442</v>
      </c>
      <c r="B131" s="508" t="s">
        <v>520</v>
      </c>
      <c r="C131" s="509" t="s">
        <v>455</v>
      </c>
      <c r="D131" s="510" t="s">
        <v>522</v>
      </c>
      <c r="E131" s="509" t="s">
        <v>860</v>
      </c>
      <c r="F131" s="510" t="s">
        <v>861</v>
      </c>
      <c r="G131" s="509" t="s">
        <v>846</v>
      </c>
      <c r="H131" s="509" t="s">
        <v>847</v>
      </c>
      <c r="I131" s="489">
        <v>12939</v>
      </c>
      <c r="J131" s="489">
        <v>1</v>
      </c>
      <c r="K131" s="491">
        <v>12939</v>
      </c>
    </row>
    <row r="132" spans="1:11" ht="14.4" customHeight="1" thickBot="1" x14ac:dyDescent="0.35">
      <c r="A132" s="476" t="s">
        <v>442</v>
      </c>
      <c r="B132" s="477" t="s">
        <v>520</v>
      </c>
      <c r="C132" s="478" t="s">
        <v>455</v>
      </c>
      <c r="D132" s="511" t="s">
        <v>522</v>
      </c>
      <c r="E132" s="478" t="s">
        <v>860</v>
      </c>
      <c r="F132" s="511" t="s">
        <v>861</v>
      </c>
      <c r="G132" s="478" t="s">
        <v>848</v>
      </c>
      <c r="H132" s="478" t="s">
        <v>849</v>
      </c>
      <c r="I132" s="492">
        <v>885.02857142857135</v>
      </c>
      <c r="J132" s="492">
        <v>14</v>
      </c>
      <c r="K132" s="493">
        <v>12390.4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7" width="13.109375" customWidth="1"/>
    <col min="8" max="8" width="13.109375" hidden="1" customWidth="1"/>
    <col min="9" max="9" width="13.109375" customWidth="1"/>
    <col min="10" max="20" width="13.109375" hidden="1" customWidth="1"/>
    <col min="21" max="21" width="13.109375" customWidth="1"/>
    <col min="22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368" t="s">
        <v>107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</row>
    <row r="2" spans="1:34" ht="15" thickBot="1" x14ac:dyDescent="0.35">
      <c r="A2" s="235" t="s">
        <v>263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</row>
    <row r="3" spans="1:34" x14ac:dyDescent="0.3">
      <c r="A3" s="254" t="s">
        <v>223</v>
      </c>
      <c r="B3" s="369" t="s">
        <v>204</v>
      </c>
      <c r="C3" s="237">
        <v>0</v>
      </c>
      <c r="D3" s="238">
        <v>101</v>
      </c>
      <c r="E3" s="238">
        <v>102</v>
      </c>
      <c r="F3" s="257">
        <v>305</v>
      </c>
      <c r="G3" s="257">
        <v>306</v>
      </c>
      <c r="H3" s="257">
        <v>408</v>
      </c>
      <c r="I3" s="257">
        <v>409</v>
      </c>
      <c r="J3" s="257">
        <v>410</v>
      </c>
      <c r="K3" s="257">
        <v>415</v>
      </c>
      <c r="L3" s="257">
        <v>416</v>
      </c>
      <c r="M3" s="257">
        <v>418</v>
      </c>
      <c r="N3" s="257">
        <v>419</v>
      </c>
      <c r="O3" s="257">
        <v>420</v>
      </c>
      <c r="P3" s="257">
        <v>421</v>
      </c>
      <c r="Q3" s="257">
        <v>522</v>
      </c>
      <c r="R3" s="257">
        <v>523</v>
      </c>
      <c r="S3" s="257">
        <v>524</v>
      </c>
      <c r="T3" s="257">
        <v>525</v>
      </c>
      <c r="U3" s="257">
        <v>526</v>
      </c>
      <c r="V3" s="257">
        <v>527</v>
      </c>
      <c r="W3" s="257">
        <v>528</v>
      </c>
      <c r="X3" s="257">
        <v>629</v>
      </c>
      <c r="Y3" s="257">
        <v>630</v>
      </c>
      <c r="Z3" s="257">
        <v>636</v>
      </c>
      <c r="AA3" s="257">
        <v>637</v>
      </c>
      <c r="AB3" s="257">
        <v>640</v>
      </c>
      <c r="AC3" s="257">
        <v>642</v>
      </c>
      <c r="AD3" s="257">
        <v>743</v>
      </c>
      <c r="AE3" s="238">
        <v>745</v>
      </c>
      <c r="AF3" s="238">
        <v>746</v>
      </c>
      <c r="AG3" s="521">
        <v>930</v>
      </c>
      <c r="AH3" s="536"/>
    </row>
    <row r="4" spans="1:34" ht="36.6" outlineLevel="1" thickBot="1" x14ac:dyDescent="0.35">
      <c r="A4" s="255">
        <v>2014</v>
      </c>
      <c r="B4" s="370"/>
      <c r="C4" s="239" t="s">
        <v>205</v>
      </c>
      <c r="D4" s="240" t="s">
        <v>206</v>
      </c>
      <c r="E4" s="240" t="s">
        <v>207</v>
      </c>
      <c r="F4" s="258" t="s">
        <v>235</v>
      </c>
      <c r="G4" s="258" t="s">
        <v>236</v>
      </c>
      <c r="H4" s="258" t="s">
        <v>237</v>
      </c>
      <c r="I4" s="258" t="s">
        <v>238</v>
      </c>
      <c r="J4" s="258" t="s">
        <v>239</v>
      </c>
      <c r="K4" s="258" t="s">
        <v>240</v>
      </c>
      <c r="L4" s="258" t="s">
        <v>241</v>
      </c>
      <c r="M4" s="258" t="s">
        <v>242</v>
      </c>
      <c r="N4" s="258" t="s">
        <v>243</v>
      </c>
      <c r="O4" s="258" t="s">
        <v>244</v>
      </c>
      <c r="P4" s="258" t="s">
        <v>245</v>
      </c>
      <c r="Q4" s="258" t="s">
        <v>246</v>
      </c>
      <c r="R4" s="258" t="s">
        <v>247</v>
      </c>
      <c r="S4" s="258" t="s">
        <v>248</v>
      </c>
      <c r="T4" s="258" t="s">
        <v>249</v>
      </c>
      <c r="U4" s="258" t="s">
        <v>250</v>
      </c>
      <c r="V4" s="258" t="s">
        <v>251</v>
      </c>
      <c r="W4" s="258" t="s">
        <v>260</v>
      </c>
      <c r="X4" s="258" t="s">
        <v>252</v>
      </c>
      <c r="Y4" s="258" t="s">
        <v>261</v>
      </c>
      <c r="Z4" s="258" t="s">
        <v>253</v>
      </c>
      <c r="AA4" s="258" t="s">
        <v>254</v>
      </c>
      <c r="AB4" s="258" t="s">
        <v>255</v>
      </c>
      <c r="AC4" s="258" t="s">
        <v>256</v>
      </c>
      <c r="AD4" s="258" t="s">
        <v>257</v>
      </c>
      <c r="AE4" s="240" t="s">
        <v>258</v>
      </c>
      <c r="AF4" s="240" t="s">
        <v>259</v>
      </c>
      <c r="AG4" s="522" t="s">
        <v>225</v>
      </c>
      <c r="AH4" s="536"/>
    </row>
    <row r="5" spans="1:34" x14ac:dyDescent="0.3">
      <c r="A5" s="241" t="s">
        <v>208</v>
      </c>
      <c r="B5" s="277"/>
      <c r="C5" s="278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523"/>
      <c r="AH5" s="536"/>
    </row>
    <row r="6" spans="1:34" ht="15" collapsed="1" thickBot="1" x14ac:dyDescent="0.35">
      <c r="A6" s="242" t="s">
        <v>73</v>
      </c>
      <c r="B6" s="280">
        <f xml:space="preserve">
TRUNC(IF($A$4&lt;=12,SUMIFS('ON Data'!F:F,'ON Data'!$D:$D,$A$4,'ON Data'!$E:$E,1),SUMIFS('ON Data'!F:F,'ON Data'!$E:$E,1)/'ON Data'!$D$3),1)</f>
        <v>27.3</v>
      </c>
      <c r="C6" s="281">
        <f xml:space="preserve">
TRUNC(IF($A$4&lt;=12,SUMIFS('ON Data'!G:G,'ON Data'!$D:$D,$A$4,'ON Data'!$E:$E,1),SUMIFS('ON Data'!G:G,'ON Data'!$E:$E,1)/'ON Data'!$D$3),1)</f>
        <v>0</v>
      </c>
      <c r="D6" s="282">
        <f xml:space="preserve">
TRUNC(IF($A$4&lt;=12,SUMIFS('ON Data'!H:H,'ON Data'!$D:$D,$A$4,'ON Data'!$E:$E,1),SUMIFS('ON Data'!H:H,'ON Data'!$E:$E,1)/'ON Data'!$D$3),1)</f>
        <v>5.5</v>
      </c>
      <c r="E6" s="282">
        <f xml:space="preserve">
TRUNC(IF($A$4&lt;=12,SUMIFS('ON Data'!I:I,'ON Data'!$D:$D,$A$4,'ON Data'!$E:$E,1),SUMIFS('ON Data'!I:I,'ON Data'!$E:$E,1)/'ON Data'!$D$3),1)</f>
        <v>0</v>
      </c>
      <c r="F6" s="282">
        <f xml:space="preserve">
TRUNC(IF($A$4&lt;=12,SUMIFS('ON Data'!K:K,'ON Data'!$D:$D,$A$4,'ON Data'!$E:$E,1),SUMIFS('ON Data'!K:K,'ON Data'!$E:$E,1)/'ON Data'!$D$3),1)</f>
        <v>3</v>
      </c>
      <c r="G6" s="282">
        <f xml:space="preserve">
TRUNC(IF($A$4&lt;=12,SUMIFS('ON Data'!L:L,'ON Data'!$D:$D,$A$4,'ON Data'!$E:$E,1),SUMIFS('ON Data'!L:L,'ON Data'!$E:$E,1)/'ON Data'!$D$3),1)</f>
        <v>1</v>
      </c>
      <c r="H6" s="282">
        <f xml:space="preserve">
TRUNC(IF($A$4&lt;=12,SUMIFS('ON Data'!M:M,'ON Data'!$D:$D,$A$4,'ON Data'!$E:$E,1),SUMIFS('ON Data'!M:M,'ON Data'!$E:$E,1)/'ON Data'!$D$3),1)</f>
        <v>0</v>
      </c>
      <c r="I6" s="282">
        <f xml:space="preserve">
TRUNC(IF($A$4&lt;=12,SUMIFS('ON Data'!N:N,'ON Data'!$D:$D,$A$4,'ON Data'!$E:$E,1),SUMIFS('ON Data'!N:N,'ON Data'!$E:$E,1)/'ON Data'!$D$3),1)</f>
        <v>7.2</v>
      </c>
      <c r="J6" s="282">
        <f xml:space="preserve">
TRUNC(IF($A$4&lt;=12,SUMIFS('ON Data'!O:O,'ON Data'!$D:$D,$A$4,'ON Data'!$E:$E,1),SUMIFS('ON Data'!O:O,'ON Data'!$E:$E,1)/'ON Data'!$D$3),1)</f>
        <v>0</v>
      </c>
      <c r="K6" s="282">
        <f xml:space="preserve">
TRUNC(IF($A$4&lt;=12,SUMIFS('ON Data'!P:P,'ON Data'!$D:$D,$A$4,'ON Data'!$E:$E,1),SUMIFS('ON Data'!P:P,'ON Data'!$E:$E,1)/'ON Data'!$D$3),1)</f>
        <v>0</v>
      </c>
      <c r="L6" s="282">
        <f xml:space="preserve">
TRUNC(IF($A$4&lt;=12,SUMIFS('ON Data'!Q:Q,'ON Data'!$D:$D,$A$4,'ON Data'!$E:$E,1),SUMIFS('ON Data'!Q:Q,'ON Data'!$E:$E,1)/'ON Data'!$D$3),1)</f>
        <v>0</v>
      </c>
      <c r="M6" s="282">
        <f xml:space="preserve">
TRUNC(IF($A$4&lt;=12,SUMIFS('ON Data'!R:R,'ON Data'!$D:$D,$A$4,'ON Data'!$E:$E,1),SUMIFS('ON Data'!R:R,'ON Data'!$E:$E,1)/'ON Data'!$D$3),1)</f>
        <v>0</v>
      </c>
      <c r="N6" s="282">
        <f xml:space="preserve">
TRUNC(IF($A$4&lt;=12,SUMIFS('ON Data'!S:S,'ON Data'!$D:$D,$A$4,'ON Data'!$E:$E,1),SUMIFS('ON Data'!S:S,'ON Data'!$E:$E,1)/'ON Data'!$D$3),1)</f>
        <v>0</v>
      </c>
      <c r="O6" s="282">
        <f xml:space="preserve">
TRUNC(IF($A$4&lt;=12,SUMIFS('ON Data'!T:T,'ON Data'!$D:$D,$A$4,'ON Data'!$E:$E,1),SUMIFS('ON Data'!T:T,'ON Data'!$E:$E,1)/'ON Data'!$D$3),1)</f>
        <v>0</v>
      </c>
      <c r="P6" s="282">
        <f xml:space="preserve">
TRUNC(IF($A$4&lt;=12,SUMIFS('ON Data'!U:U,'ON Data'!$D:$D,$A$4,'ON Data'!$E:$E,1),SUMIFS('ON Data'!U:U,'ON Data'!$E:$E,1)/'ON Data'!$D$3),1)</f>
        <v>0</v>
      </c>
      <c r="Q6" s="282">
        <f xml:space="preserve">
TRUNC(IF($A$4&lt;=12,SUMIFS('ON Data'!V:V,'ON Data'!$D:$D,$A$4,'ON Data'!$E:$E,1),SUMIFS('ON Data'!V:V,'ON Data'!$E:$E,1)/'ON Data'!$D$3),1)</f>
        <v>0</v>
      </c>
      <c r="R6" s="282">
        <f xml:space="preserve">
TRUNC(IF($A$4&lt;=12,SUMIFS('ON Data'!W:W,'ON Data'!$D:$D,$A$4,'ON Data'!$E:$E,1),SUMIFS('ON Data'!W:W,'ON Data'!$E:$E,1)/'ON Data'!$D$3),1)</f>
        <v>0</v>
      </c>
      <c r="S6" s="282">
        <f xml:space="preserve">
TRUNC(IF($A$4&lt;=12,SUMIFS('ON Data'!X:X,'ON Data'!$D:$D,$A$4,'ON Data'!$E:$E,1),SUMIFS('ON Data'!X:X,'ON Data'!$E:$E,1)/'ON Data'!$D$3),1)</f>
        <v>0</v>
      </c>
      <c r="T6" s="282">
        <f xml:space="preserve">
TRUNC(IF($A$4&lt;=12,SUMIFS('ON Data'!Y:Y,'ON Data'!$D:$D,$A$4,'ON Data'!$E:$E,1),SUMIFS('ON Data'!Y:Y,'ON Data'!$E:$E,1)/'ON Data'!$D$3),1)</f>
        <v>0</v>
      </c>
      <c r="U6" s="282">
        <f xml:space="preserve">
TRUNC(IF($A$4&lt;=12,SUMIFS('ON Data'!Z:Z,'ON Data'!$D:$D,$A$4,'ON Data'!$E:$E,1),SUMIFS('ON Data'!Z:Z,'ON Data'!$E:$E,1)/'ON Data'!$D$3),1)</f>
        <v>7.8</v>
      </c>
      <c r="V6" s="282">
        <f xml:space="preserve">
TRUNC(IF($A$4&lt;=12,SUMIFS('ON Data'!AA:AA,'ON Data'!$D:$D,$A$4,'ON Data'!$E:$E,1),SUMIFS('ON Data'!AA:AA,'ON Data'!$E:$E,1)/'ON Data'!$D$3),1)</f>
        <v>0</v>
      </c>
      <c r="W6" s="282">
        <f xml:space="preserve">
TRUNC(IF($A$4&lt;=12,SUMIFS('ON Data'!AB:AB,'ON Data'!$D:$D,$A$4,'ON Data'!$E:$E,1),SUMIFS('ON Data'!AB:AB,'ON Data'!$E:$E,1)/'ON Data'!$D$3),1)</f>
        <v>0</v>
      </c>
      <c r="X6" s="282">
        <f xml:space="preserve">
TRUNC(IF($A$4&lt;=12,SUMIFS('ON Data'!AC:AC,'ON Data'!$D:$D,$A$4,'ON Data'!$E:$E,1),SUMIFS('ON Data'!AC:AC,'ON Data'!$E:$E,1)/'ON Data'!$D$3),1)</f>
        <v>0</v>
      </c>
      <c r="Y6" s="282">
        <f xml:space="preserve">
TRUNC(IF($A$4&lt;=12,SUMIFS('ON Data'!AD:AD,'ON Data'!$D:$D,$A$4,'ON Data'!$E:$E,1),SUMIFS('ON Data'!AD:AD,'ON Data'!$E:$E,1)/'ON Data'!$D$3),1)</f>
        <v>0</v>
      </c>
      <c r="Z6" s="282">
        <f xml:space="preserve">
TRUNC(IF($A$4&lt;=12,SUMIFS('ON Data'!AE:AE,'ON Data'!$D:$D,$A$4,'ON Data'!$E:$E,1),SUMIFS('ON Data'!AE:AE,'ON Data'!$E:$E,1)/'ON Data'!$D$3),1)</f>
        <v>0</v>
      </c>
      <c r="AA6" s="282">
        <f xml:space="preserve">
TRUNC(IF($A$4&lt;=12,SUMIFS('ON Data'!AF:AF,'ON Data'!$D:$D,$A$4,'ON Data'!$E:$E,1),SUMIFS('ON Data'!AF:AF,'ON Data'!$E:$E,1)/'ON Data'!$D$3),1)</f>
        <v>0</v>
      </c>
      <c r="AB6" s="282">
        <f xml:space="preserve">
TRUNC(IF($A$4&lt;=12,SUMIFS('ON Data'!AG:AG,'ON Data'!$D:$D,$A$4,'ON Data'!$E:$E,1),SUMIFS('ON Data'!AG:AG,'ON Data'!$E:$E,1)/'ON Data'!$D$3),1)</f>
        <v>0</v>
      </c>
      <c r="AC6" s="282">
        <f xml:space="preserve">
TRUNC(IF($A$4&lt;=12,SUMIFS('ON Data'!AH:AH,'ON Data'!$D:$D,$A$4,'ON Data'!$E:$E,1),SUMIFS('ON Data'!AH:AH,'ON Data'!$E:$E,1)/'ON Data'!$D$3),1)</f>
        <v>1</v>
      </c>
      <c r="AD6" s="282">
        <f xml:space="preserve">
TRUNC(IF($A$4&lt;=12,SUMIFS('ON Data'!AI:AI,'ON Data'!$D:$D,$A$4,'ON Data'!$E:$E,1),SUMIFS('ON Data'!AI:AI,'ON Data'!$E:$E,1)/'ON Data'!$D$3),1)</f>
        <v>0</v>
      </c>
      <c r="AE6" s="282">
        <f xml:space="preserve">
TRUNC(IF($A$4&lt;=12,SUMIFS('ON Data'!AJ:AJ,'ON Data'!$D:$D,$A$4,'ON Data'!$E:$E,1),SUMIFS('ON Data'!AJ:AJ,'ON Data'!$E:$E,1)/'ON Data'!$D$3),1)</f>
        <v>0</v>
      </c>
      <c r="AF6" s="282">
        <f xml:space="preserve">
TRUNC(IF($A$4&lt;=12,SUMIFS('ON Data'!AK:AK,'ON Data'!$D:$D,$A$4,'ON Data'!$E:$E,1),SUMIFS('ON Data'!AK:AK,'ON Data'!$E:$E,1)/'ON Data'!$D$3),1)</f>
        <v>0</v>
      </c>
      <c r="AG6" s="524">
        <f xml:space="preserve">
TRUNC(IF($A$4&lt;=12,SUMIFS('ON Data'!AM:AM,'ON Data'!$D:$D,$A$4,'ON Data'!$E:$E,1),SUMIFS('ON Data'!AM:AM,'ON Data'!$E:$E,1)/'ON Data'!$D$3),1)</f>
        <v>1.8</v>
      </c>
      <c r="AH6" s="536"/>
    </row>
    <row r="7" spans="1:34" ht="15" hidden="1" outlineLevel="1" thickBot="1" x14ac:dyDescent="0.35">
      <c r="A7" s="242" t="s">
        <v>108</v>
      </c>
      <c r="B7" s="280"/>
      <c r="C7" s="283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524"/>
      <c r="AH7" s="536"/>
    </row>
    <row r="8" spans="1:34" ht="15" hidden="1" outlineLevel="1" thickBot="1" x14ac:dyDescent="0.35">
      <c r="A8" s="242" t="s">
        <v>75</v>
      </c>
      <c r="B8" s="280"/>
      <c r="C8" s="283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524"/>
      <c r="AH8" s="536"/>
    </row>
    <row r="9" spans="1:34" ht="15" hidden="1" outlineLevel="1" thickBot="1" x14ac:dyDescent="0.35">
      <c r="A9" s="243" t="s">
        <v>68</v>
      </c>
      <c r="B9" s="284"/>
      <c r="C9" s="285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525"/>
      <c r="AH9" s="536"/>
    </row>
    <row r="10" spans="1:34" x14ac:dyDescent="0.3">
      <c r="A10" s="244" t="s">
        <v>209</v>
      </c>
      <c r="B10" s="259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526"/>
      <c r="AH10" s="536"/>
    </row>
    <row r="11" spans="1:34" x14ac:dyDescent="0.3">
      <c r="A11" s="245" t="s">
        <v>210</v>
      </c>
      <c r="B11" s="262">
        <f xml:space="preserve">
IF($A$4&lt;=12,SUMIFS('ON Data'!F:F,'ON Data'!$D:$D,$A$4,'ON Data'!$E:$E,2),SUMIFS('ON Data'!F:F,'ON Data'!$E:$E,2))</f>
        <v>17134.400000000001</v>
      </c>
      <c r="C11" s="263">
        <f xml:space="preserve">
IF($A$4&lt;=12,SUMIFS('ON Data'!G:G,'ON Data'!$D:$D,$A$4,'ON Data'!$E:$E,2),SUMIFS('ON Data'!G:G,'ON Data'!$E:$E,2))</f>
        <v>0</v>
      </c>
      <c r="D11" s="264">
        <f xml:space="preserve">
IF($A$4&lt;=12,SUMIFS('ON Data'!H:H,'ON Data'!$D:$D,$A$4,'ON Data'!$E:$E,2),SUMIFS('ON Data'!H:H,'ON Data'!$E:$E,2))</f>
        <v>3388</v>
      </c>
      <c r="E11" s="264">
        <f xml:space="preserve">
IF($A$4&lt;=12,SUMIFS('ON Data'!I:I,'ON Data'!$D:$D,$A$4,'ON Data'!$E:$E,2),SUMIFS('ON Data'!I:I,'ON Data'!$E:$E,2))</f>
        <v>0</v>
      </c>
      <c r="F11" s="264">
        <f xml:space="preserve">
IF($A$4&lt;=12,SUMIFS('ON Data'!K:K,'ON Data'!$D:$D,$A$4,'ON Data'!$E:$E,2),SUMIFS('ON Data'!K:K,'ON Data'!$E:$E,2))</f>
        <v>1824</v>
      </c>
      <c r="G11" s="264">
        <f xml:space="preserve">
IF($A$4&lt;=12,SUMIFS('ON Data'!L:L,'ON Data'!$D:$D,$A$4,'ON Data'!$E:$E,2),SUMIFS('ON Data'!L:L,'ON Data'!$E:$E,2))</f>
        <v>648</v>
      </c>
      <c r="H11" s="264">
        <f xml:space="preserve">
IF($A$4&lt;=12,SUMIFS('ON Data'!M:M,'ON Data'!$D:$D,$A$4,'ON Data'!$E:$E,2),SUMIFS('ON Data'!M:M,'ON Data'!$E:$E,2))</f>
        <v>0</v>
      </c>
      <c r="I11" s="264">
        <f xml:space="preserve">
IF($A$4&lt;=12,SUMIFS('ON Data'!N:N,'ON Data'!$D:$D,$A$4,'ON Data'!$E:$E,2),SUMIFS('ON Data'!N:N,'ON Data'!$E:$E,2))</f>
        <v>4500</v>
      </c>
      <c r="J11" s="264">
        <f xml:space="preserve">
IF($A$4&lt;=12,SUMIFS('ON Data'!O:O,'ON Data'!$D:$D,$A$4,'ON Data'!$E:$E,2),SUMIFS('ON Data'!O:O,'ON Data'!$E:$E,2))</f>
        <v>0</v>
      </c>
      <c r="K11" s="264">
        <f xml:space="preserve">
IF($A$4&lt;=12,SUMIFS('ON Data'!P:P,'ON Data'!$D:$D,$A$4,'ON Data'!$E:$E,2),SUMIFS('ON Data'!P:P,'ON Data'!$E:$E,2))</f>
        <v>0</v>
      </c>
      <c r="L11" s="264">
        <f xml:space="preserve">
IF($A$4&lt;=12,SUMIFS('ON Data'!Q:Q,'ON Data'!$D:$D,$A$4,'ON Data'!$E:$E,2),SUMIFS('ON Data'!Q:Q,'ON Data'!$E:$E,2))</f>
        <v>0</v>
      </c>
      <c r="M11" s="264">
        <f xml:space="preserve">
IF($A$4&lt;=12,SUMIFS('ON Data'!R:R,'ON Data'!$D:$D,$A$4,'ON Data'!$E:$E,2),SUMIFS('ON Data'!R:R,'ON Data'!$E:$E,2))</f>
        <v>0</v>
      </c>
      <c r="N11" s="264">
        <f xml:space="preserve">
IF($A$4&lt;=12,SUMIFS('ON Data'!S:S,'ON Data'!$D:$D,$A$4,'ON Data'!$E:$E,2),SUMIFS('ON Data'!S:S,'ON Data'!$E:$E,2))</f>
        <v>0</v>
      </c>
      <c r="O11" s="264">
        <f xml:space="preserve">
IF($A$4&lt;=12,SUMIFS('ON Data'!T:T,'ON Data'!$D:$D,$A$4,'ON Data'!$E:$E,2),SUMIFS('ON Data'!T:T,'ON Data'!$E:$E,2))</f>
        <v>0</v>
      </c>
      <c r="P11" s="264">
        <f xml:space="preserve">
IF($A$4&lt;=12,SUMIFS('ON Data'!U:U,'ON Data'!$D:$D,$A$4,'ON Data'!$E:$E,2),SUMIFS('ON Data'!U:U,'ON Data'!$E:$E,2))</f>
        <v>0</v>
      </c>
      <c r="Q11" s="264">
        <f xml:space="preserve">
IF($A$4&lt;=12,SUMIFS('ON Data'!V:V,'ON Data'!$D:$D,$A$4,'ON Data'!$E:$E,2),SUMIFS('ON Data'!V:V,'ON Data'!$E:$E,2))</f>
        <v>0</v>
      </c>
      <c r="R11" s="264">
        <f xml:space="preserve">
IF($A$4&lt;=12,SUMIFS('ON Data'!W:W,'ON Data'!$D:$D,$A$4,'ON Data'!$E:$E,2),SUMIFS('ON Data'!W:W,'ON Data'!$E:$E,2))</f>
        <v>0</v>
      </c>
      <c r="S11" s="264">
        <f xml:space="preserve">
IF($A$4&lt;=12,SUMIFS('ON Data'!X:X,'ON Data'!$D:$D,$A$4,'ON Data'!$E:$E,2),SUMIFS('ON Data'!X:X,'ON Data'!$E:$E,2))</f>
        <v>0</v>
      </c>
      <c r="T11" s="264">
        <f xml:space="preserve">
IF($A$4&lt;=12,SUMIFS('ON Data'!Y:Y,'ON Data'!$D:$D,$A$4,'ON Data'!$E:$E,2),SUMIFS('ON Data'!Y:Y,'ON Data'!$E:$E,2))</f>
        <v>0</v>
      </c>
      <c r="U11" s="264">
        <f xml:space="preserve">
IF($A$4&lt;=12,SUMIFS('ON Data'!Z:Z,'ON Data'!$D:$D,$A$4,'ON Data'!$E:$E,2),SUMIFS('ON Data'!Z:Z,'ON Data'!$E:$E,2))</f>
        <v>4950.3999999999996</v>
      </c>
      <c r="V11" s="264">
        <f xml:space="preserve">
IF($A$4&lt;=12,SUMIFS('ON Data'!AA:AA,'ON Data'!$D:$D,$A$4,'ON Data'!$E:$E,2),SUMIFS('ON Data'!AA:AA,'ON Data'!$E:$E,2))</f>
        <v>0</v>
      </c>
      <c r="W11" s="264">
        <f xml:space="preserve">
IF($A$4&lt;=12,SUMIFS('ON Data'!AB:AB,'ON Data'!$D:$D,$A$4,'ON Data'!$E:$E,2),SUMIFS('ON Data'!AB:AB,'ON Data'!$E:$E,2))</f>
        <v>0</v>
      </c>
      <c r="X11" s="264">
        <f xml:space="preserve">
IF($A$4&lt;=12,SUMIFS('ON Data'!AC:AC,'ON Data'!$D:$D,$A$4,'ON Data'!$E:$E,2),SUMIFS('ON Data'!AC:AC,'ON Data'!$E:$E,2))</f>
        <v>0</v>
      </c>
      <c r="Y11" s="264">
        <f xml:space="preserve">
IF($A$4&lt;=12,SUMIFS('ON Data'!AD:AD,'ON Data'!$D:$D,$A$4,'ON Data'!$E:$E,2),SUMIFS('ON Data'!AD:AD,'ON Data'!$E:$E,2))</f>
        <v>0</v>
      </c>
      <c r="Z11" s="264">
        <f xml:space="preserve">
IF($A$4&lt;=12,SUMIFS('ON Data'!AE:AE,'ON Data'!$D:$D,$A$4,'ON Data'!$E:$E,2),SUMIFS('ON Data'!AE:AE,'ON Data'!$E:$E,2))</f>
        <v>0</v>
      </c>
      <c r="AA11" s="264">
        <f xml:space="preserve">
IF($A$4&lt;=12,SUMIFS('ON Data'!AF:AF,'ON Data'!$D:$D,$A$4,'ON Data'!$E:$E,2),SUMIFS('ON Data'!AF:AF,'ON Data'!$E:$E,2))</f>
        <v>0</v>
      </c>
      <c r="AB11" s="264">
        <f xml:space="preserve">
IF($A$4&lt;=12,SUMIFS('ON Data'!AG:AG,'ON Data'!$D:$D,$A$4,'ON Data'!$E:$E,2),SUMIFS('ON Data'!AG:AG,'ON Data'!$E:$E,2))</f>
        <v>0</v>
      </c>
      <c r="AC11" s="264">
        <f xml:space="preserve">
IF($A$4&lt;=12,SUMIFS('ON Data'!AH:AH,'ON Data'!$D:$D,$A$4,'ON Data'!$E:$E,2),SUMIFS('ON Data'!AH:AH,'ON Data'!$E:$E,2))</f>
        <v>664</v>
      </c>
      <c r="AD11" s="264">
        <f xml:space="preserve">
IF($A$4&lt;=12,SUMIFS('ON Data'!AI:AI,'ON Data'!$D:$D,$A$4,'ON Data'!$E:$E,2),SUMIFS('ON Data'!AI:AI,'ON Data'!$E:$E,2))</f>
        <v>0</v>
      </c>
      <c r="AE11" s="264">
        <f xml:space="preserve">
IF($A$4&lt;=12,SUMIFS('ON Data'!AJ:AJ,'ON Data'!$D:$D,$A$4,'ON Data'!$E:$E,2),SUMIFS('ON Data'!AJ:AJ,'ON Data'!$E:$E,2))</f>
        <v>0</v>
      </c>
      <c r="AF11" s="264">
        <f xml:space="preserve">
IF($A$4&lt;=12,SUMIFS('ON Data'!AK:AK,'ON Data'!$D:$D,$A$4,'ON Data'!$E:$E,2),SUMIFS('ON Data'!AK:AK,'ON Data'!$E:$E,2))</f>
        <v>0</v>
      </c>
      <c r="AG11" s="527">
        <f xml:space="preserve">
IF($A$4&lt;=12,SUMIFS('ON Data'!AM:AM,'ON Data'!$D:$D,$A$4,'ON Data'!$E:$E,2),SUMIFS('ON Data'!AM:AM,'ON Data'!$E:$E,2))</f>
        <v>1160</v>
      </c>
      <c r="AH11" s="536"/>
    </row>
    <row r="12" spans="1:34" x14ac:dyDescent="0.3">
      <c r="A12" s="245" t="s">
        <v>211</v>
      </c>
      <c r="B12" s="262">
        <f xml:space="preserve">
IF($A$4&lt;=12,SUMIFS('ON Data'!F:F,'ON Data'!$D:$D,$A$4,'ON Data'!$E:$E,3),SUMIFS('ON Data'!F:F,'ON Data'!$E:$E,3))</f>
        <v>0</v>
      </c>
      <c r="C12" s="263">
        <f xml:space="preserve">
IF($A$4&lt;=12,SUMIFS('ON Data'!G:G,'ON Data'!$D:$D,$A$4,'ON Data'!$E:$E,3),SUMIFS('ON Data'!G:G,'ON Data'!$E:$E,3))</f>
        <v>0</v>
      </c>
      <c r="D12" s="264">
        <f xml:space="preserve">
IF($A$4&lt;=12,SUMIFS('ON Data'!H:H,'ON Data'!$D:$D,$A$4,'ON Data'!$E:$E,3),SUMIFS('ON Data'!H:H,'ON Data'!$E:$E,3))</f>
        <v>0</v>
      </c>
      <c r="E12" s="264">
        <f xml:space="preserve">
IF($A$4&lt;=12,SUMIFS('ON Data'!I:I,'ON Data'!$D:$D,$A$4,'ON Data'!$E:$E,3),SUMIFS('ON Data'!I:I,'ON Data'!$E:$E,3))</f>
        <v>0</v>
      </c>
      <c r="F12" s="264">
        <f xml:space="preserve">
IF($A$4&lt;=12,SUMIFS('ON Data'!K:K,'ON Data'!$D:$D,$A$4,'ON Data'!$E:$E,3),SUMIFS('ON Data'!K:K,'ON Data'!$E:$E,3))</f>
        <v>0</v>
      </c>
      <c r="G12" s="264">
        <f xml:space="preserve">
IF($A$4&lt;=12,SUMIFS('ON Data'!L:L,'ON Data'!$D:$D,$A$4,'ON Data'!$E:$E,3),SUMIFS('ON Data'!L:L,'ON Data'!$E:$E,3))</f>
        <v>0</v>
      </c>
      <c r="H12" s="264">
        <f xml:space="preserve">
IF($A$4&lt;=12,SUMIFS('ON Data'!M:M,'ON Data'!$D:$D,$A$4,'ON Data'!$E:$E,3),SUMIFS('ON Data'!M:M,'ON Data'!$E:$E,3))</f>
        <v>0</v>
      </c>
      <c r="I12" s="264">
        <f xml:space="preserve">
IF($A$4&lt;=12,SUMIFS('ON Data'!N:N,'ON Data'!$D:$D,$A$4,'ON Data'!$E:$E,3),SUMIFS('ON Data'!N:N,'ON Data'!$E:$E,3))</f>
        <v>0</v>
      </c>
      <c r="J12" s="264">
        <f xml:space="preserve">
IF($A$4&lt;=12,SUMIFS('ON Data'!O:O,'ON Data'!$D:$D,$A$4,'ON Data'!$E:$E,3),SUMIFS('ON Data'!O:O,'ON Data'!$E:$E,3))</f>
        <v>0</v>
      </c>
      <c r="K12" s="264">
        <f xml:space="preserve">
IF($A$4&lt;=12,SUMIFS('ON Data'!P:P,'ON Data'!$D:$D,$A$4,'ON Data'!$E:$E,3),SUMIFS('ON Data'!P:P,'ON Data'!$E:$E,3))</f>
        <v>0</v>
      </c>
      <c r="L12" s="264">
        <f xml:space="preserve">
IF($A$4&lt;=12,SUMIFS('ON Data'!Q:Q,'ON Data'!$D:$D,$A$4,'ON Data'!$E:$E,3),SUMIFS('ON Data'!Q:Q,'ON Data'!$E:$E,3))</f>
        <v>0</v>
      </c>
      <c r="M12" s="264">
        <f xml:space="preserve">
IF($A$4&lt;=12,SUMIFS('ON Data'!R:R,'ON Data'!$D:$D,$A$4,'ON Data'!$E:$E,3),SUMIFS('ON Data'!R:R,'ON Data'!$E:$E,3))</f>
        <v>0</v>
      </c>
      <c r="N12" s="264">
        <f xml:space="preserve">
IF($A$4&lt;=12,SUMIFS('ON Data'!S:S,'ON Data'!$D:$D,$A$4,'ON Data'!$E:$E,3),SUMIFS('ON Data'!S:S,'ON Data'!$E:$E,3))</f>
        <v>0</v>
      </c>
      <c r="O12" s="264">
        <f xml:space="preserve">
IF($A$4&lt;=12,SUMIFS('ON Data'!T:T,'ON Data'!$D:$D,$A$4,'ON Data'!$E:$E,3),SUMIFS('ON Data'!T:T,'ON Data'!$E:$E,3))</f>
        <v>0</v>
      </c>
      <c r="P12" s="264">
        <f xml:space="preserve">
IF($A$4&lt;=12,SUMIFS('ON Data'!U:U,'ON Data'!$D:$D,$A$4,'ON Data'!$E:$E,3),SUMIFS('ON Data'!U:U,'ON Data'!$E:$E,3))</f>
        <v>0</v>
      </c>
      <c r="Q12" s="264">
        <f xml:space="preserve">
IF($A$4&lt;=12,SUMIFS('ON Data'!V:V,'ON Data'!$D:$D,$A$4,'ON Data'!$E:$E,3),SUMIFS('ON Data'!V:V,'ON Data'!$E:$E,3))</f>
        <v>0</v>
      </c>
      <c r="R12" s="264">
        <f xml:space="preserve">
IF($A$4&lt;=12,SUMIFS('ON Data'!W:W,'ON Data'!$D:$D,$A$4,'ON Data'!$E:$E,3),SUMIFS('ON Data'!W:W,'ON Data'!$E:$E,3))</f>
        <v>0</v>
      </c>
      <c r="S12" s="264">
        <f xml:space="preserve">
IF($A$4&lt;=12,SUMIFS('ON Data'!X:X,'ON Data'!$D:$D,$A$4,'ON Data'!$E:$E,3),SUMIFS('ON Data'!X:X,'ON Data'!$E:$E,3))</f>
        <v>0</v>
      </c>
      <c r="T12" s="264">
        <f xml:space="preserve">
IF($A$4&lt;=12,SUMIFS('ON Data'!Y:Y,'ON Data'!$D:$D,$A$4,'ON Data'!$E:$E,3),SUMIFS('ON Data'!Y:Y,'ON Data'!$E:$E,3))</f>
        <v>0</v>
      </c>
      <c r="U12" s="264">
        <f xml:space="preserve">
IF($A$4&lt;=12,SUMIFS('ON Data'!Z:Z,'ON Data'!$D:$D,$A$4,'ON Data'!$E:$E,3),SUMIFS('ON Data'!Z:Z,'ON Data'!$E:$E,3))</f>
        <v>0</v>
      </c>
      <c r="V12" s="264">
        <f xml:space="preserve">
IF($A$4&lt;=12,SUMIFS('ON Data'!AA:AA,'ON Data'!$D:$D,$A$4,'ON Data'!$E:$E,3),SUMIFS('ON Data'!AA:AA,'ON Data'!$E:$E,3))</f>
        <v>0</v>
      </c>
      <c r="W12" s="264">
        <f xml:space="preserve">
IF($A$4&lt;=12,SUMIFS('ON Data'!AB:AB,'ON Data'!$D:$D,$A$4,'ON Data'!$E:$E,3),SUMIFS('ON Data'!AB:AB,'ON Data'!$E:$E,3))</f>
        <v>0</v>
      </c>
      <c r="X12" s="264">
        <f xml:space="preserve">
IF($A$4&lt;=12,SUMIFS('ON Data'!AC:AC,'ON Data'!$D:$D,$A$4,'ON Data'!$E:$E,3),SUMIFS('ON Data'!AC:AC,'ON Data'!$E:$E,3))</f>
        <v>0</v>
      </c>
      <c r="Y12" s="264">
        <f xml:space="preserve">
IF($A$4&lt;=12,SUMIFS('ON Data'!AD:AD,'ON Data'!$D:$D,$A$4,'ON Data'!$E:$E,3),SUMIFS('ON Data'!AD:AD,'ON Data'!$E:$E,3))</f>
        <v>0</v>
      </c>
      <c r="Z12" s="264">
        <f xml:space="preserve">
IF($A$4&lt;=12,SUMIFS('ON Data'!AE:AE,'ON Data'!$D:$D,$A$4,'ON Data'!$E:$E,3),SUMIFS('ON Data'!AE:AE,'ON Data'!$E:$E,3))</f>
        <v>0</v>
      </c>
      <c r="AA12" s="264">
        <f xml:space="preserve">
IF($A$4&lt;=12,SUMIFS('ON Data'!AF:AF,'ON Data'!$D:$D,$A$4,'ON Data'!$E:$E,3),SUMIFS('ON Data'!AF:AF,'ON Data'!$E:$E,3))</f>
        <v>0</v>
      </c>
      <c r="AB12" s="264">
        <f xml:space="preserve">
IF($A$4&lt;=12,SUMIFS('ON Data'!AG:AG,'ON Data'!$D:$D,$A$4,'ON Data'!$E:$E,3),SUMIFS('ON Data'!AG:AG,'ON Data'!$E:$E,3))</f>
        <v>0</v>
      </c>
      <c r="AC12" s="264">
        <f xml:space="preserve">
IF($A$4&lt;=12,SUMIFS('ON Data'!AH:AH,'ON Data'!$D:$D,$A$4,'ON Data'!$E:$E,3),SUMIFS('ON Data'!AH:AH,'ON Data'!$E:$E,3))</f>
        <v>0</v>
      </c>
      <c r="AD12" s="264">
        <f xml:space="preserve">
IF($A$4&lt;=12,SUMIFS('ON Data'!AI:AI,'ON Data'!$D:$D,$A$4,'ON Data'!$E:$E,3),SUMIFS('ON Data'!AI:AI,'ON Data'!$E:$E,3))</f>
        <v>0</v>
      </c>
      <c r="AE12" s="264">
        <f xml:space="preserve">
IF($A$4&lt;=12,SUMIFS('ON Data'!AJ:AJ,'ON Data'!$D:$D,$A$4,'ON Data'!$E:$E,3),SUMIFS('ON Data'!AJ:AJ,'ON Data'!$E:$E,3))</f>
        <v>0</v>
      </c>
      <c r="AF12" s="264">
        <f xml:space="preserve">
IF($A$4&lt;=12,SUMIFS('ON Data'!AK:AK,'ON Data'!$D:$D,$A$4,'ON Data'!$E:$E,3),SUMIFS('ON Data'!AK:AK,'ON Data'!$E:$E,3))</f>
        <v>0</v>
      </c>
      <c r="AG12" s="527">
        <f xml:space="preserve">
IF($A$4&lt;=12,SUMIFS('ON Data'!AM:AM,'ON Data'!$D:$D,$A$4,'ON Data'!$E:$E,3),SUMIFS('ON Data'!AM:AM,'ON Data'!$E:$E,3))</f>
        <v>0</v>
      </c>
      <c r="AH12" s="536"/>
    </row>
    <row r="13" spans="1:34" x14ac:dyDescent="0.3">
      <c r="A13" s="245" t="s">
        <v>218</v>
      </c>
      <c r="B13" s="262">
        <f xml:space="preserve">
IF($A$4&lt;=12,SUMIFS('ON Data'!F:F,'ON Data'!$D:$D,$A$4,'ON Data'!$E:$E,4),SUMIFS('ON Data'!F:F,'ON Data'!$E:$E,4))</f>
        <v>0</v>
      </c>
      <c r="C13" s="263">
        <f xml:space="preserve">
IF($A$4&lt;=12,SUMIFS('ON Data'!G:G,'ON Data'!$D:$D,$A$4,'ON Data'!$E:$E,4),SUMIFS('ON Data'!G:G,'ON Data'!$E:$E,4))</f>
        <v>0</v>
      </c>
      <c r="D13" s="264">
        <f xml:space="preserve">
IF($A$4&lt;=12,SUMIFS('ON Data'!H:H,'ON Data'!$D:$D,$A$4,'ON Data'!$E:$E,4),SUMIFS('ON Data'!H:H,'ON Data'!$E:$E,4))</f>
        <v>0</v>
      </c>
      <c r="E13" s="264">
        <f xml:space="preserve">
IF($A$4&lt;=12,SUMIFS('ON Data'!I:I,'ON Data'!$D:$D,$A$4,'ON Data'!$E:$E,4),SUMIFS('ON Data'!I:I,'ON Data'!$E:$E,4))</f>
        <v>0</v>
      </c>
      <c r="F13" s="264">
        <f xml:space="preserve">
IF($A$4&lt;=12,SUMIFS('ON Data'!K:K,'ON Data'!$D:$D,$A$4,'ON Data'!$E:$E,4),SUMIFS('ON Data'!K:K,'ON Data'!$E:$E,4))</f>
        <v>0</v>
      </c>
      <c r="G13" s="264">
        <f xml:space="preserve">
IF($A$4&lt;=12,SUMIFS('ON Data'!L:L,'ON Data'!$D:$D,$A$4,'ON Data'!$E:$E,4),SUMIFS('ON Data'!L:L,'ON Data'!$E:$E,4))</f>
        <v>0</v>
      </c>
      <c r="H13" s="264">
        <f xml:space="preserve">
IF($A$4&lt;=12,SUMIFS('ON Data'!M:M,'ON Data'!$D:$D,$A$4,'ON Data'!$E:$E,4),SUMIFS('ON Data'!M:M,'ON Data'!$E:$E,4))</f>
        <v>0</v>
      </c>
      <c r="I13" s="264">
        <f xml:space="preserve">
IF($A$4&lt;=12,SUMIFS('ON Data'!N:N,'ON Data'!$D:$D,$A$4,'ON Data'!$E:$E,4),SUMIFS('ON Data'!N:N,'ON Data'!$E:$E,4))</f>
        <v>0</v>
      </c>
      <c r="J13" s="264">
        <f xml:space="preserve">
IF($A$4&lt;=12,SUMIFS('ON Data'!O:O,'ON Data'!$D:$D,$A$4,'ON Data'!$E:$E,4),SUMIFS('ON Data'!O:O,'ON Data'!$E:$E,4))</f>
        <v>0</v>
      </c>
      <c r="K13" s="264">
        <f xml:space="preserve">
IF($A$4&lt;=12,SUMIFS('ON Data'!P:P,'ON Data'!$D:$D,$A$4,'ON Data'!$E:$E,4),SUMIFS('ON Data'!P:P,'ON Data'!$E:$E,4))</f>
        <v>0</v>
      </c>
      <c r="L13" s="264">
        <f xml:space="preserve">
IF($A$4&lt;=12,SUMIFS('ON Data'!Q:Q,'ON Data'!$D:$D,$A$4,'ON Data'!$E:$E,4),SUMIFS('ON Data'!Q:Q,'ON Data'!$E:$E,4))</f>
        <v>0</v>
      </c>
      <c r="M13" s="264">
        <f xml:space="preserve">
IF($A$4&lt;=12,SUMIFS('ON Data'!R:R,'ON Data'!$D:$D,$A$4,'ON Data'!$E:$E,4),SUMIFS('ON Data'!R:R,'ON Data'!$E:$E,4))</f>
        <v>0</v>
      </c>
      <c r="N13" s="264">
        <f xml:space="preserve">
IF($A$4&lt;=12,SUMIFS('ON Data'!S:S,'ON Data'!$D:$D,$A$4,'ON Data'!$E:$E,4),SUMIFS('ON Data'!S:S,'ON Data'!$E:$E,4))</f>
        <v>0</v>
      </c>
      <c r="O13" s="264">
        <f xml:space="preserve">
IF($A$4&lt;=12,SUMIFS('ON Data'!T:T,'ON Data'!$D:$D,$A$4,'ON Data'!$E:$E,4),SUMIFS('ON Data'!T:T,'ON Data'!$E:$E,4))</f>
        <v>0</v>
      </c>
      <c r="P13" s="264">
        <f xml:space="preserve">
IF($A$4&lt;=12,SUMIFS('ON Data'!U:U,'ON Data'!$D:$D,$A$4,'ON Data'!$E:$E,4),SUMIFS('ON Data'!U:U,'ON Data'!$E:$E,4))</f>
        <v>0</v>
      </c>
      <c r="Q13" s="264">
        <f xml:space="preserve">
IF($A$4&lt;=12,SUMIFS('ON Data'!V:V,'ON Data'!$D:$D,$A$4,'ON Data'!$E:$E,4),SUMIFS('ON Data'!V:V,'ON Data'!$E:$E,4))</f>
        <v>0</v>
      </c>
      <c r="R13" s="264">
        <f xml:space="preserve">
IF($A$4&lt;=12,SUMIFS('ON Data'!W:W,'ON Data'!$D:$D,$A$4,'ON Data'!$E:$E,4),SUMIFS('ON Data'!W:W,'ON Data'!$E:$E,4))</f>
        <v>0</v>
      </c>
      <c r="S13" s="264">
        <f xml:space="preserve">
IF($A$4&lt;=12,SUMIFS('ON Data'!X:X,'ON Data'!$D:$D,$A$4,'ON Data'!$E:$E,4),SUMIFS('ON Data'!X:X,'ON Data'!$E:$E,4))</f>
        <v>0</v>
      </c>
      <c r="T13" s="264">
        <f xml:space="preserve">
IF($A$4&lt;=12,SUMIFS('ON Data'!Y:Y,'ON Data'!$D:$D,$A$4,'ON Data'!$E:$E,4),SUMIFS('ON Data'!Y:Y,'ON Data'!$E:$E,4))</f>
        <v>0</v>
      </c>
      <c r="U13" s="264">
        <f xml:space="preserve">
IF($A$4&lt;=12,SUMIFS('ON Data'!Z:Z,'ON Data'!$D:$D,$A$4,'ON Data'!$E:$E,4),SUMIFS('ON Data'!Z:Z,'ON Data'!$E:$E,4))</f>
        <v>0</v>
      </c>
      <c r="V13" s="264">
        <f xml:space="preserve">
IF($A$4&lt;=12,SUMIFS('ON Data'!AA:AA,'ON Data'!$D:$D,$A$4,'ON Data'!$E:$E,4),SUMIFS('ON Data'!AA:AA,'ON Data'!$E:$E,4))</f>
        <v>0</v>
      </c>
      <c r="W13" s="264">
        <f xml:space="preserve">
IF($A$4&lt;=12,SUMIFS('ON Data'!AB:AB,'ON Data'!$D:$D,$A$4,'ON Data'!$E:$E,4),SUMIFS('ON Data'!AB:AB,'ON Data'!$E:$E,4))</f>
        <v>0</v>
      </c>
      <c r="X13" s="264">
        <f xml:space="preserve">
IF($A$4&lt;=12,SUMIFS('ON Data'!AC:AC,'ON Data'!$D:$D,$A$4,'ON Data'!$E:$E,4),SUMIFS('ON Data'!AC:AC,'ON Data'!$E:$E,4))</f>
        <v>0</v>
      </c>
      <c r="Y13" s="264">
        <f xml:space="preserve">
IF($A$4&lt;=12,SUMIFS('ON Data'!AD:AD,'ON Data'!$D:$D,$A$4,'ON Data'!$E:$E,4),SUMIFS('ON Data'!AD:AD,'ON Data'!$E:$E,4))</f>
        <v>0</v>
      </c>
      <c r="Z13" s="264">
        <f xml:space="preserve">
IF($A$4&lt;=12,SUMIFS('ON Data'!AE:AE,'ON Data'!$D:$D,$A$4,'ON Data'!$E:$E,4),SUMIFS('ON Data'!AE:AE,'ON Data'!$E:$E,4))</f>
        <v>0</v>
      </c>
      <c r="AA13" s="264">
        <f xml:space="preserve">
IF($A$4&lt;=12,SUMIFS('ON Data'!AF:AF,'ON Data'!$D:$D,$A$4,'ON Data'!$E:$E,4),SUMIFS('ON Data'!AF:AF,'ON Data'!$E:$E,4))</f>
        <v>0</v>
      </c>
      <c r="AB13" s="264">
        <f xml:space="preserve">
IF($A$4&lt;=12,SUMIFS('ON Data'!AG:AG,'ON Data'!$D:$D,$A$4,'ON Data'!$E:$E,4),SUMIFS('ON Data'!AG:AG,'ON Data'!$E:$E,4))</f>
        <v>0</v>
      </c>
      <c r="AC13" s="264">
        <f xml:space="preserve">
IF($A$4&lt;=12,SUMIFS('ON Data'!AH:AH,'ON Data'!$D:$D,$A$4,'ON Data'!$E:$E,4),SUMIFS('ON Data'!AH:AH,'ON Data'!$E:$E,4))</f>
        <v>0</v>
      </c>
      <c r="AD13" s="264">
        <f xml:space="preserve">
IF($A$4&lt;=12,SUMIFS('ON Data'!AI:AI,'ON Data'!$D:$D,$A$4,'ON Data'!$E:$E,4),SUMIFS('ON Data'!AI:AI,'ON Data'!$E:$E,4))</f>
        <v>0</v>
      </c>
      <c r="AE13" s="264">
        <f xml:space="preserve">
IF($A$4&lt;=12,SUMIFS('ON Data'!AJ:AJ,'ON Data'!$D:$D,$A$4,'ON Data'!$E:$E,4),SUMIFS('ON Data'!AJ:AJ,'ON Data'!$E:$E,4))</f>
        <v>0</v>
      </c>
      <c r="AF13" s="264">
        <f xml:space="preserve">
IF($A$4&lt;=12,SUMIFS('ON Data'!AK:AK,'ON Data'!$D:$D,$A$4,'ON Data'!$E:$E,4),SUMIFS('ON Data'!AK:AK,'ON Data'!$E:$E,4))</f>
        <v>0</v>
      </c>
      <c r="AG13" s="527">
        <f xml:space="preserve">
IF($A$4&lt;=12,SUMIFS('ON Data'!AM:AM,'ON Data'!$D:$D,$A$4,'ON Data'!$E:$E,4),SUMIFS('ON Data'!AM:AM,'ON Data'!$E:$E,4))</f>
        <v>0</v>
      </c>
      <c r="AH13" s="536"/>
    </row>
    <row r="14" spans="1:34" ht="15" thickBot="1" x14ac:dyDescent="0.35">
      <c r="A14" s="246" t="s">
        <v>212</v>
      </c>
      <c r="B14" s="265">
        <f xml:space="preserve">
IF($A$4&lt;=12,SUMIFS('ON Data'!F:F,'ON Data'!$D:$D,$A$4,'ON Data'!$E:$E,5),SUMIFS('ON Data'!F:F,'ON Data'!$E:$E,5))</f>
        <v>0</v>
      </c>
      <c r="C14" s="266">
        <f xml:space="preserve">
IF($A$4&lt;=12,SUMIFS('ON Data'!G:G,'ON Data'!$D:$D,$A$4,'ON Data'!$E:$E,5),SUMIFS('ON Data'!G:G,'ON Data'!$E:$E,5))</f>
        <v>0</v>
      </c>
      <c r="D14" s="267">
        <f xml:space="preserve">
IF($A$4&lt;=12,SUMIFS('ON Data'!H:H,'ON Data'!$D:$D,$A$4,'ON Data'!$E:$E,5),SUMIFS('ON Data'!H:H,'ON Data'!$E:$E,5))</f>
        <v>0</v>
      </c>
      <c r="E14" s="267">
        <f xml:space="preserve">
IF($A$4&lt;=12,SUMIFS('ON Data'!I:I,'ON Data'!$D:$D,$A$4,'ON Data'!$E:$E,5),SUMIFS('ON Data'!I:I,'ON Data'!$E:$E,5))</f>
        <v>0</v>
      </c>
      <c r="F14" s="267">
        <f xml:space="preserve">
IF($A$4&lt;=12,SUMIFS('ON Data'!K:K,'ON Data'!$D:$D,$A$4,'ON Data'!$E:$E,5),SUMIFS('ON Data'!K:K,'ON Data'!$E:$E,5))</f>
        <v>0</v>
      </c>
      <c r="G14" s="267">
        <f xml:space="preserve">
IF($A$4&lt;=12,SUMIFS('ON Data'!L:L,'ON Data'!$D:$D,$A$4,'ON Data'!$E:$E,5),SUMIFS('ON Data'!L:L,'ON Data'!$E:$E,5))</f>
        <v>0</v>
      </c>
      <c r="H14" s="267">
        <f xml:space="preserve">
IF($A$4&lt;=12,SUMIFS('ON Data'!M:M,'ON Data'!$D:$D,$A$4,'ON Data'!$E:$E,5),SUMIFS('ON Data'!M:M,'ON Data'!$E:$E,5))</f>
        <v>0</v>
      </c>
      <c r="I14" s="267">
        <f xml:space="preserve">
IF($A$4&lt;=12,SUMIFS('ON Data'!N:N,'ON Data'!$D:$D,$A$4,'ON Data'!$E:$E,5),SUMIFS('ON Data'!N:N,'ON Data'!$E:$E,5))</f>
        <v>0</v>
      </c>
      <c r="J14" s="267">
        <f xml:space="preserve">
IF($A$4&lt;=12,SUMIFS('ON Data'!O:O,'ON Data'!$D:$D,$A$4,'ON Data'!$E:$E,5),SUMIFS('ON Data'!O:O,'ON Data'!$E:$E,5))</f>
        <v>0</v>
      </c>
      <c r="K14" s="267">
        <f xml:space="preserve">
IF($A$4&lt;=12,SUMIFS('ON Data'!P:P,'ON Data'!$D:$D,$A$4,'ON Data'!$E:$E,5),SUMIFS('ON Data'!P:P,'ON Data'!$E:$E,5))</f>
        <v>0</v>
      </c>
      <c r="L14" s="267">
        <f xml:space="preserve">
IF($A$4&lt;=12,SUMIFS('ON Data'!Q:Q,'ON Data'!$D:$D,$A$4,'ON Data'!$E:$E,5),SUMIFS('ON Data'!Q:Q,'ON Data'!$E:$E,5))</f>
        <v>0</v>
      </c>
      <c r="M14" s="267">
        <f xml:space="preserve">
IF($A$4&lt;=12,SUMIFS('ON Data'!R:R,'ON Data'!$D:$D,$A$4,'ON Data'!$E:$E,5),SUMIFS('ON Data'!R:R,'ON Data'!$E:$E,5))</f>
        <v>0</v>
      </c>
      <c r="N14" s="267">
        <f xml:space="preserve">
IF($A$4&lt;=12,SUMIFS('ON Data'!S:S,'ON Data'!$D:$D,$A$4,'ON Data'!$E:$E,5),SUMIFS('ON Data'!S:S,'ON Data'!$E:$E,5))</f>
        <v>0</v>
      </c>
      <c r="O14" s="267">
        <f xml:space="preserve">
IF($A$4&lt;=12,SUMIFS('ON Data'!T:T,'ON Data'!$D:$D,$A$4,'ON Data'!$E:$E,5),SUMIFS('ON Data'!T:T,'ON Data'!$E:$E,5))</f>
        <v>0</v>
      </c>
      <c r="P14" s="267">
        <f xml:space="preserve">
IF($A$4&lt;=12,SUMIFS('ON Data'!U:U,'ON Data'!$D:$D,$A$4,'ON Data'!$E:$E,5),SUMIFS('ON Data'!U:U,'ON Data'!$E:$E,5))</f>
        <v>0</v>
      </c>
      <c r="Q14" s="267">
        <f xml:space="preserve">
IF($A$4&lt;=12,SUMIFS('ON Data'!V:V,'ON Data'!$D:$D,$A$4,'ON Data'!$E:$E,5),SUMIFS('ON Data'!V:V,'ON Data'!$E:$E,5))</f>
        <v>0</v>
      </c>
      <c r="R14" s="267">
        <f xml:space="preserve">
IF($A$4&lt;=12,SUMIFS('ON Data'!W:W,'ON Data'!$D:$D,$A$4,'ON Data'!$E:$E,5),SUMIFS('ON Data'!W:W,'ON Data'!$E:$E,5))</f>
        <v>0</v>
      </c>
      <c r="S14" s="267">
        <f xml:space="preserve">
IF($A$4&lt;=12,SUMIFS('ON Data'!X:X,'ON Data'!$D:$D,$A$4,'ON Data'!$E:$E,5),SUMIFS('ON Data'!X:X,'ON Data'!$E:$E,5))</f>
        <v>0</v>
      </c>
      <c r="T14" s="267">
        <f xml:space="preserve">
IF($A$4&lt;=12,SUMIFS('ON Data'!Y:Y,'ON Data'!$D:$D,$A$4,'ON Data'!$E:$E,5),SUMIFS('ON Data'!Y:Y,'ON Data'!$E:$E,5))</f>
        <v>0</v>
      </c>
      <c r="U14" s="267">
        <f xml:space="preserve">
IF($A$4&lt;=12,SUMIFS('ON Data'!Z:Z,'ON Data'!$D:$D,$A$4,'ON Data'!$E:$E,5),SUMIFS('ON Data'!Z:Z,'ON Data'!$E:$E,5))</f>
        <v>0</v>
      </c>
      <c r="V14" s="267">
        <f xml:space="preserve">
IF($A$4&lt;=12,SUMIFS('ON Data'!AA:AA,'ON Data'!$D:$D,$A$4,'ON Data'!$E:$E,5),SUMIFS('ON Data'!AA:AA,'ON Data'!$E:$E,5))</f>
        <v>0</v>
      </c>
      <c r="W14" s="267">
        <f xml:space="preserve">
IF($A$4&lt;=12,SUMIFS('ON Data'!AB:AB,'ON Data'!$D:$D,$A$4,'ON Data'!$E:$E,5),SUMIFS('ON Data'!AB:AB,'ON Data'!$E:$E,5))</f>
        <v>0</v>
      </c>
      <c r="X14" s="267">
        <f xml:space="preserve">
IF($A$4&lt;=12,SUMIFS('ON Data'!AC:AC,'ON Data'!$D:$D,$A$4,'ON Data'!$E:$E,5),SUMIFS('ON Data'!AC:AC,'ON Data'!$E:$E,5))</f>
        <v>0</v>
      </c>
      <c r="Y14" s="267">
        <f xml:space="preserve">
IF($A$4&lt;=12,SUMIFS('ON Data'!AD:AD,'ON Data'!$D:$D,$A$4,'ON Data'!$E:$E,5),SUMIFS('ON Data'!AD:AD,'ON Data'!$E:$E,5))</f>
        <v>0</v>
      </c>
      <c r="Z14" s="267">
        <f xml:space="preserve">
IF($A$4&lt;=12,SUMIFS('ON Data'!AE:AE,'ON Data'!$D:$D,$A$4,'ON Data'!$E:$E,5),SUMIFS('ON Data'!AE:AE,'ON Data'!$E:$E,5))</f>
        <v>0</v>
      </c>
      <c r="AA14" s="267">
        <f xml:space="preserve">
IF($A$4&lt;=12,SUMIFS('ON Data'!AF:AF,'ON Data'!$D:$D,$A$4,'ON Data'!$E:$E,5),SUMIFS('ON Data'!AF:AF,'ON Data'!$E:$E,5))</f>
        <v>0</v>
      </c>
      <c r="AB14" s="267">
        <f xml:space="preserve">
IF($A$4&lt;=12,SUMIFS('ON Data'!AG:AG,'ON Data'!$D:$D,$A$4,'ON Data'!$E:$E,5),SUMIFS('ON Data'!AG:AG,'ON Data'!$E:$E,5))</f>
        <v>0</v>
      </c>
      <c r="AC14" s="267">
        <f xml:space="preserve">
IF($A$4&lt;=12,SUMIFS('ON Data'!AH:AH,'ON Data'!$D:$D,$A$4,'ON Data'!$E:$E,5),SUMIFS('ON Data'!AH:AH,'ON Data'!$E:$E,5))</f>
        <v>0</v>
      </c>
      <c r="AD14" s="267">
        <f xml:space="preserve">
IF($A$4&lt;=12,SUMIFS('ON Data'!AI:AI,'ON Data'!$D:$D,$A$4,'ON Data'!$E:$E,5),SUMIFS('ON Data'!AI:AI,'ON Data'!$E:$E,5))</f>
        <v>0</v>
      </c>
      <c r="AE14" s="267">
        <f xml:space="preserve">
IF($A$4&lt;=12,SUMIFS('ON Data'!AJ:AJ,'ON Data'!$D:$D,$A$4,'ON Data'!$E:$E,5),SUMIFS('ON Data'!AJ:AJ,'ON Data'!$E:$E,5))</f>
        <v>0</v>
      </c>
      <c r="AF14" s="267">
        <f xml:space="preserve">
IF($A$4&lt;=12,SUMIFS('ON Data'!AK:AK,'ON Data'!$D:$D,$A$4,'ON Data'!$E:$E,5),SUMIFS('ON Data'!AK:AK,'ON Data'!$E:$E,5))</f>
        <v>0</v>
      </c>
      <c r="AG14" s="528">
        <f xml:space="preserve">
IF($A$4&lt;=12,SUMIFS('ON Data'!AM:AM,'ON Data'!$D:$D,$A$4,'ON Data'!$E:$E,5),SUMIFS('ON Data'!AM:AM,'ON Data'!$E:$E,5))</f>
        <v>0</v>
      </c>
      <c r="AH14" s="536"/>
    </row>
    <row r="15" spans="1:34" x14ac:dyDescent="0.3">
      <c r="A15" s="163" t="s">
        <v>222</v>
      </c>
      <c r="B15" s="268"/>
      <c r="C15" s="269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529"/>
      <c r="AH15" s="536"/>
    </row>
    <row r="16" spans="1:34" x14ac:dyDescent="0.3">
      <c r="A16" s="247" t="s">
        <v>213</v>
      </c>
      <c r="B16" s="262">
        <f xml:space="preserve">
IF($A$4&lt;=12,SUMIFS('ON Data'!F:F,'ON Data'!$D:$D,$A$4,'ON Data'!$E:$E,7),SUMIFS('ON Data'!F:F,'ON Data'!$E:$E,7))</f>
        <v>0</v>
      </c>
      <c r="C16" s="263">
        <f xml:space="preserve">
IF($A$4&lt;=12,SUMIFS('ON Data'!G:G,'ON Data'!$D:$D,$A$4,'ON Data'!$E:$E,7),SUMIFS('ON Data'!G:G,'ON Data'!$E:$E,7))</f>
        <v>0</v>
      </c>
      <c r="D16" s="264">
        <f xml:space="preserve">
IF($A$4&lt;=12,SUMIFS('ON Data'!H:H,'ON Data'!$D:$D,$A$4,'ON Data'!$E:$E,7),SUMIFS('ON Data'!H:H,'ON Data'!$E:$E,7))</f>
        <v>0</v>
      </c>
      <c r="E16" s="264">
        <f xml:space="preserve">
IF($A$4&lt;=12,SUMIFS('ON Data'!I:I,'ON Data'!$D:$D,$A$4,'ON Data'!$E:$E,7),SUMIFS('ON Data'!I:I,'ON Data'!$E:$E,7))</f>
        <v>0</v>
      </c>
      <c r="F16" s="264">
        <f xml:space="preserve">
IF($A$4&lt;=12,SUMIFS('ON Data'!K:K,'ON Data'!$D:$D,$A$4,'ON Data'!$E:$E,7),SUMIFS('ON Data'!K:K,'ON Data'!$E:$E,7))</f>
        <v>0</v>
      </c>
      <c r="G16" s="264">
        <f xml:space="preserve">
IF($A$4&lt;=12,SUMIFS('ON Data'!L:L,'ON Data'!$D:$D,$A$4,'ON Data'!$E:$E,7),SUMIFS('ON Data'!L:L,'ON Data'!$E:$E,7))</f>
        <v>0</v>
      </c>
      <c r="H16" s="264">
        <f xml:space="preserve">
IF($A$4&lt;=12,SUMIFS('ON Data'!M:M,'ON Data'!$D:$D,$A$4,'ON Data'!$E:$E,7),SUMIFS('ON Data'!M:M,'ON Data'!$E:$E,7))</f>
        <v>0</v>
      </c>
      <c r="I16" s="264">
        <f xml:space="preserve">
IF($A$4&lt;=12,SUMIFS('ON Data'!N:N,'ON Data'!$D:$D,$A$4,'ON Data'!$E:$E,7),SUMIFS('ON Data'!N:N,'ON Data'!$E:$E,7))</f>
        <v>0</v>
      </c>
      <c r="J16" s="264">
        <f xml:space="preserve">
IF($A$4&lt;=12,SUMIFS('ON Data'!O:O,'ON Data'!$D:$D,$A$4,'ON Data'!$E:$E,7),SUMIFS('ON Data'!O:O,'ON Data'!$E:$E,7))</f>
        <v>0</v>
      </c>
      <c r="K16" s="264">
        <f xml:space="preserve">
IF($A$4&lt;=12,SUMIFS('ON Data'!P:P,'ON Data'!$D:$D,$A$4,'ON Data'!$E:$E,7),SUMIFS('ON Data'!P:P,'ON Data'!$E:$E,7))</f>
        <v>0</v>
      </c>
      <c r="L16" s="264">
        <f xml:space="preserve">
IF($A$4&lt;=12,SUMIFS('ON Data'!Q:Q,'ON Data'!$D:$D,$A$4,'ON Data'!$E:$E,7),SUMIFS('ON Data'!Q:Q,'ON Data'!$E:$E,7))</f>
        <v>0</v>
      </c>
      <c r="M16" s="264">
        <f xml:space="preserve">
IF($A$4&lt;=12,SUMIFS('ON Data'!R:R,'ON Data'!$D:$D,$A$4,'ON Data'!$E:$E,7),SUMIFS('ON Data'!R:R,'ON Data'!$E:$E,7))</f>
        <v>0</v>
      </c>
      <c r="N16" s="264">
        <f xml:space="preserve">
IF($A$4&lt;=12,SUMIFS('ON Data'!S:S,'ON Data'!$D:$D,$A$4,'ON Data'!$E:$E,7),SUMIFS('ON Data'!S:S,'ON Data'!$E:$E,7))</f>
        <v>0</v>
      </c>
      <c r="O16" s="264">
        <f xml:space="preserve">
IF($A$4&lt;=12,SUMIFS('ON Data'!T:T,'ON Data'!$D:$D,$A$4,'ON Data'!$E:$E,7),SUMIFS('ON Data'!T:T,'ON Data'!$E:$E,7))</f>
        <v>0</v>
      </c>
      <c r="P16" s="264">
        <f xml:space="preserve">
IF($A$4&lt;=12,SUMIFS('ON Data'!U:U,'ON Data'!$D:$D,$A$4,'ON Data'!$E:$E,7),SUMIFS('ON Data'!U:U,'ON Data'!$E:$E,7))</f>
        <v>0</v>
      </c>
      <c r="Q16" s="264">
        <f xml:space="preserve">
IF($A$4&lt;=12,SUMIFS('ON Data'!V:V,'ON Data'!$D:$D,$A$4,'ON Data'!$E:$E,7),SUMIFS('ON Data'!V:V,'ON Data'!$E:$E,7))</f>
        <v>0</v>
      </c>
      <c r="R16" s="264">
        <f xml:space="preserve">
IF($A$4&lt;=12,SUMIFS('ON Data'!W:W,'ON Data'!$D:$D,$A$4,'ON Data'!$E:$E,7),SUMIFS('ON Data'!W:W,'ON Data'!$E:$E,7))</f>
        <v>0</v>
      </c>
      <c r="S16" s="264">
        <f xml:space="preserve">
IF($A$4&lt;=12,SUMIFS('ON Data'!X:X,'ON Data'!$D:$D,$A$4,'ON Data'!$E:$E,7),SUMIFS('ON Data'!X:X,'ON Data'!$E:$E,7))</f>
        <v>0</v>
      </c>
      <c r="T16" s="264">
        <f xml:space="preserve">
IF($A$4&lt;=12,SUMIFS('ON Data'!Y:Y,'ON Data'!$D:$D,$A$4,'ON Data'!$E:$E,7),SUMIFS('ON Data'!Y:Y,'ON Data'!$E:$E,7))</f>
        <v>0</v>
      </c>
      <c r="U16" s="264">
        <f xml:space="preserve">
IF($A$4&lt;=12,SUMIFS('ON Data'!Z:Z,'ON Data'!$D:$D,$A$4,'ON Data'!$E:$E,7),SUMIFS('ON Data'!Z:Z,'ON Data'!$E:$E,7))</f>
        <v>0</v>
      </c>
      <c r="V16" s="264">
        <f xml:space="preserve">
IF($A$4&lt;=12,SUMIFS('ON Data'!AA:AA,'ON Data'!$D:$D,$A$4,'ON Data'!$E:$E,7),SUMIFS('ON Data'!AA:AA,'ON Data'!$E:$E,7))</f>
        <v>0</v>
      </c>
      <c r="W16" s="264">
        <f xml:space="preserve">
IF($A$4&lt;=12,SUMIFS('ON Data'!AB:AB,'ON Data'!$D:$D,$A$4,'ON Data'!$E:$E,7),SUMIFS('ON Data'!AB:AB,'ON Data'!$E:$E,7))</f>
        <v>0</v>
      </c>
      <c r="X16" s="264">
        <f xml:space="preserve">
IF($A$4&lt;=12,SUMIFS('ON Data'!AC:AC,'ON Data'!$D:$D,$A$4,'ON Data'!$E:$E,7),SUMIFS('ON Data'!AC:AC,'ON Data'!$E:$E,7))</f>
        <v>0</v>
      </c>
      <c r="Y16" s="264">
        <f xml:space="preserve">
IF($A$4&lt;=12,SUMIFS('ON Data'!AD:AD,'ON Data'!$D:$D,$A$4,'ON Data'!$E:$E,7),SUMIFS('ON Data'!AD:AD,'ON Data'!$E:$E,7))</f>
        <v>0</v>
      </c>
      <c r="Z16" s="264">
        <f xml:space="preserve">
IF($A$4&lt;=12,SUMIFS('ON Data'!AE:AE,'ON Data'!$D:$D,$A$4,'ON Data'!$E:$E,7),SUMIFS('ON Data'!AE:AE,'ON Data'!$E:$E,7))</f>
        <v>0</v>
      </c>
      <c r="AA16" s="264">
        <f xml:space="preserve">
IF($A$4&lt;=12,SUMIFS('ON Data'!AF:AF,'ON Data'!$D:$D,$A$4,'ON Data'!$E:$E,7),SUMIFS('ON Data'!AF:AF,'ON Data'!$E:$E,7))</f>
        <v>0</v>
      </c>
      <c r="AB16" s="264">
        <f xml:space="preserve">
IF($A$4&lt;=12,SUMIFS('ON Data'!AG:AG,'ON Data'!$D:$D,$A$4,'ON Data'!$E:$E,7),SUMIFS('ON Data'!AG:AG,'ON Data'!$E:$E,7))</f>
        <v>0</v>
      </c>
      <c r="AC16" s="264">
        <f xml:space="preserve">
IF($A$4&lt;=12,SUMIFS('ON Data'!AH:AH,'ON Data'!$D:$D,$A$4,'ON Data'!$E:$E,7),SUMIFS('ON Data'!AH:AH,'ON Data'!$E:$E,7))</f>
        <v>0</v>
      </c>
      <c r="AD16" s="264">
        <f xml:space="preserve">
IF($A$4&lt;=12,SUMIFS('ON Data'!AI:AI,'ON Data'!$D:$D,$A$4,'ON Data'!$E:$E,7),SUMIFS('ON Data'!AI:AI,'ON Data'!$E:$E,7))</f>
        <v>0</v>
      </c>
      <c r="AE16" s="264">
        <f xml:space="preserve">
IF($A$4&lt;=12,SUMIFS('ON Data'!AJ:AJ,'ON Data'!$D:$D,$A$4,'ON Data'!$E:$E,7),SUMIFS('ON Data'!AJ:AJ,'ON Data'!$E:$E,7))</f>
        <v>0</v>
      </c>
      <c r="AF16" s="264">
        <f xml:space="preserve">
IF($A$4&lt;=12,SUMIFS('ON Data'!AK:AK,'ON Data'!$D:$D,$A$4,'ON Data'!$E:$E,7),SUMIFS('ON Data'!AK:AK,'ON Data'!$E:$E,7))</f>
        <v>0</v>
      </c>
      <c r="AG16" s="527">
        <f xml:space="preserve">
IF($A$4&lt;=12,SUMIFS('ON Data'!AM:AM,'ON Data'!$D:$D,$A$4,'ON Data'!$E:$E,7),SUMIFS('ON Data'!AM:AM,'ON Data'!$E:$E,7))</f>
        <v>0</v>
      </c>
      <c r="AH16" s="536"/>
    </row>
    <row r="17" spans="1:34" x14ac:dyDescent="0.3">
      <c r="A17" s="247" t="s">
        <v>214</v>
      </c>
      <c r="B17" s="262">
        <f xml:space="preserve">
IF($A$4&lt;=12,SUMIFS('ON Data'!F:F,'ON Data'!$D:$D,$A$4,'ON Data'!$E:$E,8),SUMIFS('ON Data'!F:F,'ON Data'!$E:$E,8))</f>
        <v>0</v>
      </c>
      <c r="C17" s="263">
        <f xml:space="preserve">
IF($A$4&lt;=12,SUMIFS('ON Data'!G:G,'ON Data'!$D:$D,$A$4,'ON Data'!$E:$E,8),SUMIFS('ON Data'!G:G,'ON Data'!$E:$E,8))</f>
        <v>0</v>
      </c>
      <c r="D17" s="264">
        <f xml:space="preserve">
IF($A$4&lt;=12,SUMIFS('ON Data'!H:H,'ON Data'!$D:$D,$A$4,'ON Data'!$E:$E,8),SUMIFS('ON Data'!H:H,'ON Data'!$E:$E,8))</f>
        <v>0</v>
      </c>
      <c r="E17" s="264">
        <f xml:space="preserve">
IF($A$4&lt;=12,SUMIFS('ON Data'!I:I,'ON Data'!$D:$D,$A$4,'ON Data'!$E:$E,8),SUMIFS('ON Data'!I:I,'ON Data'!$E:$E,8))</f>
        <v>0</v>
      </c>
      <c r="F17" s="264">
        <f xml:space="preserve">
IF($A$4&lt;=12,SUMIFS('ON Data'!K:K,'ON Data'!$D:$D,$A$4,'ON Data'!$E:$E,8),SUMIFS('ON Data'!K:K,'ON Data'!$E:$E,8))</f>
        <v>0</v>
      </c>
      <c r="G17" s="264">
        <f xml:space="preserve">
IF($A$4&lt;=12,SUMIFS('ON Data'!L:L,'ON Data'!$D:$D,$A$4,'ON Data'!$E:$E,8),SUMIFS('ON Data'!L:L,'ON Data'!$E:$E,8))</f>
        <v>0</v>
      </c>
      <c r="H17" s="264">
        <f xml:space="preserve">
IF($A$4&lt;=12,SUMIFS('ON Data'!M:M,'ON Data'!$D:$D,$A$4,'ON Data'!$E:$E,8),SUMIFS('ON Data'!M:M,'ON Data'!$E:$E,8))</f>
        <v>0</v>
      </c>
      <c r="I17" s="264">
        <f xml:space="preserve">
IF($A$4&lt;=12,SUMIFS('ON Data'!N:N,'ON Data'!$D:$D,$A$4,'ON Data'!$E:$E,8),SUMIFS('ON Data'!N:N,'ON Data'!$E:$E,8))</f>
        <v>0</v>
      </c>
      <c r="J17" s="264">
        <f xml:space="preserve">
IF($A$4&lt;=12,SUMIFS('ON Data'!O:O,'ON Data'!$D:$D,$A$4,'ON Data'!$E:$E,8),SUMIFS('ON Data'!O:O,'ON Data'!$E:$E,8))</f>
        <v>0</v>
      </c>
      <c r="K17" s="264">
        <f xml:space="preserve">
IF($A$4&lt;=12,SUMIFS('ON Data'!P:P,'ON Data'!$D:$D,$A$4,'ON Data'!$E:$E,8),SUMIFS('ON Data'!P:P,'ON Data'!$E:$E,8))</f>
        <v>0</v>
      </c>
      <c r="L17" s="264">
        <f xml:space="preserve">
IF($A$4&lt;=12,SUMIFS('ON Data'!Q:Q,'ON Data'!$D:$D,$A$4,'ON Data'!$E:$E,8),SUMIFS('ON Data'!Q:Q,'ON Data'!$E:$E,8))</f>
        <v>0</v>
      </c>
      <c r="M17" s="264">
        <f xml:space="preserve">
IF($A$4&lt;=12,SUMIFS('ON Data'!R:R,'ON Data'!$D:$D,$A$4,'ON Data'!$E:$E,8),SUMIFS('ON Data'!R:R,'ON Data'!$E:$E,8))</f>
        <v>0</v>
      </c>
      <c r="N17" s="264">
        <f xml:space="preserve">
IF($A$4&lt;=12,SUMIFS('ON Data'!S:S,'ON Data'!$D:$D,$A$4,'ON Data'!$E:$E,8),SUMIFS('ON Data'!S:S,'ON Data'!$E:$E,8))</f>
        <v>0</v>
      </c>
      <c r="O17" s="264">
        <f xml:space="preserve">
IF($A$4&lt;=12,SUMIFS('ON Data'!T:T,'ON Data'!$D:$D,$A$4,'ON Data'!$E:$E,8),SUMIFS('ON Data'!T:T,'ON Data'!$E:$E,8))</f>
        <v>0</v>
      </c>
      <c r="P17" s="264">
        <f xml:space="preserve">
IF($A$4&lt;=12,SUMIFS('ON Data'!U:U,'ON Data'!$D:$D,$A$4,'ON Data'!$E:$E,8),SUMIFS('ON Data'!U:U,'ON Data'!$E:$E,8))</f>
        <v>0</v>
      </c>
      <c r="Q17" s="264">
        <f xml:space="preserve">
IF($A$4&lt;=12,SUMIFS('ON Data'!V:V,'ON Data'!$D:$D,$A$4,'ON Data'!$E:$E,8),SUMIFS('ON Data'!V:V,'ON Data'!$E:$E,8))</f>
        <v>0</v>
      </c>
      <c r="R17" s="264">
        <f xml:space="preserve">
IF($A$4&lt;=12,SUMIFS('ON Data'!W:W,'ON Data'!$D:$D,$A$4,'ON Data'!$E:$E,8),SUMIFS('ON Data'!W:W,'ON Data'!$E:$E,8))</f>
        <v>0</v>
      </c>
      <c r="S17" s="264">
        <f xml:space="preserve">
IF($A$4&lt;=12,SUMIFS('ON Data'!X:X,'ON Data'!$D:$D,$A$4,'ON Data'!$E:$E,8),SUMIFS('ON Data'!X:X,'ON Data'!$E:$E,8))</f>
        <v>0</v>
      </c>
      <c r="T17" s="264">
        <f xml:space="preserve">
IF($A$4&lt;=12,SUMIFS('ON Data'!Y:Y,'ON Data'!$D:$D,$A$4,'ON Data'!$E:$E,8),SUMIFS('ON Data'!Y:Y,'ON Data'!$E:$E,8))</f>
        <v>0</v>
      </c>
      <c r="U17" s="264">
        <f xml:space="preserve">
IF($A$4&lt;=12,SUMIFS('ON Data'!Z:Z,'ON Data'!$D:$D,$A$4,'ON Data'!$E:$E,8),SUMIFS('ON Data'!Z:Z,'ON Data'!$E:$E,8))</f>
        <v>0</v>
      </c>
      <c r="V17" s="264">
        <f xml:space="preserve">
IF($A$4&lt;=12,SUMIFS('ON Data'!AA:AA,'ON Data'!$D:$D,$A$4,'ON Data'!$E:$E,8),SUMIFS('ON Data'!AA:AA,'ON Data'!$E:$E,8))</f>
        <v>0</v>
      </c>
      <c r="W17" s="264">
        <f xml:space="preserve">
IF($A$4&lt;=12,SUMIFS('ON Data'!AB:AB,'ON Data'!$D:$D,$A$4,'ON Data'!$E:$E,8),SUMIFS('ON Data'!AB:AB,'ON Data'!$E:$E,8))</f>
        <v>0</v>
      </c>
      <c r="X17" s="264">
        <f xml:space="preserve">
IF($A$4&lt;=12,SUMIFS('ON Data'!AC:AC,'ON Data'!$D:$D,$A$4,'ON Data'!$E:$E,8),SUMIFS('ON Data'!AC:AC,'ON Data'!$E:$E,8))</f>
        <v>0</v>
      </c>
      <c r="Y17" s="264">
        <f xml:space="preserve">
IF($A$4&lt;=12,SUMIFS('ON Data'!AD:AD,'ON Data'!$D:$D,$A$4,'ON Data'!$E:$E,8),SUMIFS('ON Data'!AD:AD,'ON Data'!$E:$E,8))</f>
        <v>0</v>
      </c>
      <c r="Z17" s="264">
        <f xml:space="preserve">
IF($A$4&lt;=12,SUMIFS('ON Data'!AE:AE,'ON Data'!$D:$D,$A$4,'ON Data'!$E:$E,8),SUMIFS('ON Data'!AE:AE,'ON Data'!$E:$E,8))</f>
        <v>0</v>
      </c>
      <c r="AA17" s="264">
        <f xml:space="preserve">
IF($A$4&lt;=12,SUMIFS('ON Data'!AF:AF,'ON Data'!$D:$D,$A$4,'ON Data'!$E:$E,8),SUMIFS('ON Data'!AF:AF,'ON Data'!$E:$E,8))</f>
        <v>0</v>
      </c>
      <c r="AB17" s="264">
        <f xml:space="preserve">
IF($A$4&lt;=12,SUMIFS('ON Data'!AG:AG,'ON Data'!$D:$D,$A$4,'ON Data'!$E:$E,8),SUMIFS('ON Data'!AG:AG,'ON Data'!$E:$E,8))</f>
        <v>0</v>
      </c>
      <c r="AC17" s="264">
        <f xml:space="preserve">
IF($A$4&lt;=12,SUMIFS('ON Data'!AH:AH,'ON Data'!$D:$D,$A$4,'ON Data'!$E:$E,8),SUMIFS('ON Data'!AH:AH,'ON Data'!$E:$E,8))</f>
        <v>0</v>
      </c>
      <c r="AD17" s="264">
        <f xml:space="preserve">
IF($A$4&lt;=12,SUMIFS('ON Data'!AI:AI,'ON Data'!$D:$D,$A$4,'ON Data'!$E:$E,8),SUMIFS('ON Data'!AI:AI,'ON Data'!$E:$E,8))</f>
        <v>0</v>
      </c>
      <c r="AE17" s="264">
        <f xml:space="preserve">
IF($A$4&lt;=12,SUMIFS('ON Data'!AJ:AJ,'ON Data'!$D:$D,$A$4,'ON Data'!$E:$E,8),SUMIFS('ON Data'!AJ:AJ,'ON Data'!$E:$E,8))</f>
        <v>0</v>
      </c>
      <c r="AF17" s="264">
        <f xml:space="preserve">
IF($A$4&lt;=12,SUMIFS('ON Data'!AK:AK,'ON Data'!$D:$D,$A$4,'ON Data'!$E:$E,8),SUMIFS('ON Data'!AK:AK,'ON Data'!$E:$E,8))</f>
        <v>0</v>
      </c>
      <c r="AG17" s="527">
        <f xml:space="preserve">
IF($A$4&lt;=12,SUMIFS('ON Data'!AM:AM,'ON Data'!$D:$D,$A$4,'ON Data'!$E:$E,8),SUMIFS('ON Data'!AM:AM,'ON Data'!$E:$E,8))</f>
        <v>0</v>
      </c>
      <c r="AH17" s="536"/>
    </row>
    <row r="18" spans="1:34" x14ac:dyDescent="0.3">
      <c r="A18" s="247" t="s">
        <v>215</v>
      </c>
      <c r="B18" s="262">
        <f xml:space="preserve">
B19-B16-B17</f>
        <v>13947</v>
      </c>
      <c r="C18" s="263">
        <f t="shared" ref="C18" si="0" xml:space="preserve">
C19-C16-C17</f>
        <v>0</v>
      </c>
      <c r="D18" s="264">
        <f t="shared" ref="D18:AG18" si="1" xml:space="preserve">
D19-D16-D17</f>
        <v>13947</v>
      </c>
      <c r="E18" s="264">
        <f t="shared" si="1"/>
        <v>0</v>
      </c>
      <c r="F18" s="264">
        <f t="shared" si="1"/>
        <v>0</v>
      </c>
      <c r="G18" s="264">
        <f t="shared" si="1"/>
        <v>0</v>
      </c>
      <c r="H18" s="264">
        <f t="shared" si="1"/>
        <v>0</v>
      </c>
      <c r="I18" s="264">
        <f t="shared" si="1"/>
        <v>0</v>
      </c>
      <c r="J18" s="264">
        <f t="shared" si="1"/>
        <v>0</v>
      </c>
      <c r="K18" s="264">
        <f t="shared" si="1"/>
        <v>0</v>
      </c>
      <c r="L18" s="264">
        <f t="shared" si="1"/>
        <v>0</v>
      </c>
      <c r="M18" s="264">
        <f t="shared" si="1"/>
        <v>0</v>
      </c>
      <c r="N18" s="264">
        <f t="shared" si="1"/>
        <v>0</v>
      </c>
      <c r="O18" s="264">
        <f t="shared" si="1"/>
        <v>0</v>
      </c>
      <c r="P18" s="264">
        <f t="shared" si="1"/>
        <v>0</v>
      </c>
      <c r="Q18" s="264">
        <f t="shared" si="1"/>
        <v>0</v>
      </c>
      <c r="R18" s="264">
        <f t="shared" si="1"/>
        <v>0</v>
      </c>
      <c r="S18" s="264">
        <f t="shared" si="1"/>
        <v>0</v>
      </c>
      <c r="T18" s="264">
        <f t="shared" si="1"/>
        <v>0</v>
      </c>
      <c r="U18" s="264">
        <f t="shared" si="1"/>
        <v>0</v>
      </c>
      <c r="V18" s="264">
        <f t="shared" si="1"/>
        <v>0</v>
      </c>
      <c r="W18" s="264">
        <f t="shared" si="1"/>
        <v>0</v>
      </c>
      <c r="X18" s="264">
        <f t="shared" si="1"/>
        <v>0</v>
      </c>
      <c r="Y18" s="264">
        <f t="shared" si="1"/>
        <v>0</v>
      </c>
      <c r="Z18" s="264">
        <f t="shared" si="1"/>
        <v>0</v>
      </c>
      <c r="AA18" s="264">
        <f t="shared" si="1"/>
        <v>0</v>
      </c>
      <c r="AB18" s="264">
        <f t="shared" si="1"/>
        <v>0</v>
      </c>
      <c r="AC18" s="264">
        <f t="shared" si="1"/>
        <v>0</v>
      </c>
      <c r="AD18" s="264">
        <f t="shared" si="1"/>
        <v>0</v>
      </c>
      <c r="AE18" s="264">
        <f t="shared" si="1"/>
        <v>0</v>
      </c>
      <c r="AF18" s="264">
        <f t="shared" si="1"/>
        <v>0</v>
      </c>
      <c r="AG18" s="527">
        <f t="shared" si="1"/>
        <v>0</v>
      </c>
      <c r="AH18" s="536"/>
    </row>
    <row r="19" spans="1:34" ht="15" thickBot="1" x14ac:dyDescent="0.35">
      <c r="A19" s="248" t="s">
        <v>216</v>
      </c>
      <c r="B19" s="271">
        <f xml:space="preserve">
IF($A$4&lt;=12,SUMIFS('ON Data'!F:F,'ON Data'!$D:$D,$A$4,'ON Data'!$E:$E,9),SUMIFS('ON Data'!F:F,'ON Data'!$E:$E,9))</f>
        <v>13947</v>
      </c>
      <c r="C19" s="272">
        <f xml:space="preserve">
IF($A$4&lt;=12,SUMIFS('ON Data'!G:G,'ON Data'!$D:$D,$A$4,'ON Data'!$E:$E,9),SUMIFS('ON Data'!G:G,'ON Data'!$E:$E,9))</f>
        <v>0</v>
      </c>
      <c r="D19" s="273">
        <f xml:space="preserve">
IF($A$4&lt;=12,SUMIFS('ON Data'!H:H,'ON Data'!$D:$D,$A$4,'ON Data'!$E:$E,9),SUMIFS('ON Data'!H:H,'ON Data'!$E:$E,9))</f>
        <v>13947</v>
      </c>
      <c r="E19" s="273">
        <f xml:space="preserve">
IF($A$4&lt;=12,SUMIFS('ON Data'!I:I,'ON Data'!$D:$D,$A$4,'ON Data'!$E:$E,9),SUMIFS('ON Data'!I:I,'ON Data'!$E:$E,9))</f>
        <v>0</v>
      </c>
      <c r="F19" s="273">
        <f xml:space="preserve">
IF($A$4&lt;=12,SUMIFS('ON Data'!K:K,'ON Data'!$D:$D,$A$4,'ON Data'!$E:$E,9),SUMIFS('ON Data'!K:K,'ON Data'!$E:$E,9))</f>
        <v>0</v>
      </c>
      <c r="G19" s="273">
        <f xml:space="preserve">
IF($A$4&lt;=12,SUMIFS('ON Data'!L:L,'ON Data'!$D:$D,$A$4,'ON Data'!$E:$E,9),SUMIFS('ON Data'!L:L,'ON Data'!$E:$E,9))</f>
        <v>0</v>
      </c>
      <c r="H19" s="273">
        <f xml:space="preserve">
IF($A$4&lt;=12,SUMIFS('ON Data'!M:M,'ON Data'!$D:$D,$A$4,'ON Data'!$E:$E,9),SUMIFS('ON Data'!M:M,'ON Data'!$E:$E,9))</f>
        <v>0</v>
      </c>
      <c r="I19" s="273">
        <f xml:space="preserve">
IF($A$4&lt;=12,SUMIFS('ON Data'!N:N,'ON Data'!$D:$D,$A$4,'ON Data'!$E:$E,9),SUMIFS('ON Data'!N:N,'ON Data'!$E:$E,9))</f>
        <v>0</v>
      </c>
      <c r="J19" s="273">
        <f xml:space="preserve">
IF($A$4&lt;=12,SUMIFS('ON Data'!O:O,'ON Data'!$D:$D,$A$4,'ON Data'!$E:$E,9),SUMIFS('ON Data'!O:O,'ON Data'!$E:$E,9))</f>
        <v>0</v>
      </c>
      <c r="K19" s="273">
        <f xml:space="preserve">
IF($A$4&lt;=12,SUMIFS('ON Data'!P:P,'ON Data'!$D:$D,$A$4,'ON Data'!$E:$E,9),SUMIFS('ON Data'!P:P,'ON Data'!$E:$E,9))</f>
        <v>0</v>
      </c>
      <c r="L19" s="273">
        <f xml:space="preserve">
IF($A$4&lt;=12,SUMIFS('ON Data'!Q:Q,'ON Data'!$D:$D,$A$4,'ON Data'!$E:$E,9),SUMIFS('ON Data'!Q:Q,'ON Data'!$E:$E,9))</f>
        <v>0</v>
      </c>
      <c r="M19" s="273">
        <f xml:space="preserve">
IF($A$4&lt;=12,SUMIFS('ON Data'!R:R,'ON Data'!$D:$D,$A$4,'ON Data'!$E:$E,9),SUMIFS('ON Data'!R:R,'ON Data'!$E:$E,9))</f>
        <v>0</v>
      </c>
      <c r="N19" s="273">
        <f xml:space="preserve">
IF($A$4&lt;=12,SUMIFS('ON Data'!S:S,'ON Data'!$D:$D,$A$4,'ON Data'!$E:$E,9),SUMIFS('ON Data'!S:S,'ON Data'!$E:$E,9))</f>
        <v>0</v>
      </c>
      <c r="O19" s="273">
        <f xml:space="preserve">
IF($A$4&lt;=12,SUMIFS('ON Data'!T:T,'ON Data'!$D:$D,$A$4,'ON Data'!$E:$E,9),SUMIFS('ON Data'!T:T,'ON Data'!$E:$E,9))</f>
        <v>0</v>
      </c>
      <c r="P19" s="273">
        <f xml:space="preserve">
IF($A$4&lt;=12,SUMIFS('ON Data'!U:U,'ON Data'!$D:$D,$A$4,'ON Data'!$E:$E,9),SUMIFS('ON Data'!U:U,'ON Data'!$E:$E,9))</f>
        <v>0</v>
      </c>
      <c r="Q19" s="273">
        <f xml:space="preserve">
IF($A$4&lt;=12,SUMIFS('ON Data'!V:V,'ON Data'!$D:$D,$A$4,'ON Data'!$E:$E,9),SUMIFS('ON Data'!V:V,'ON Data'!$E:$E,9))</f>
        <v>0</v>
      </c>
      <c r="R19" s="273">
        <f xml:space="preserve">
IF($A$4&lt;=12,SUMIFS('ON Data'!W:W,'ON Data'!$D:$D,$A$4,'ON Data'!$E:$E,9),SUMIFS('ON Data'!W:W,'ON Data'!$E:$E,9))</f>
        <v>0</v>
      </c>
      <c r="S19" s="273">
        <f xml:space="preserve">
IF($A$4&lt;=12,SUMIFS('ON Data'!X:X,'ON Data'!$D:$D,$A$4,'ON Data'!$E:$E,9),SUMIFS('ON Data'!X:X,'ON Data'!$E:$E,9))</f>
        <v>0</v>
      </c>
      <c r="T19" s="273">
        <f xml:space="preserve">
IF($A$4&lt;=12,SUMIFS('ON Data'!Y:Y,'ON Data'!$D:$D,$A$4,'ON Data'!$E:$E,9),SUMIFS('ON Data'!Y:Y,'ON Data'!$E:$E,9))</f>
        <v>0</v>
      </c>
      <c r="U19" s="273">
        <f xml:space="preserve">
IF($A$4&lt;=12,SUMIFS('ON Data'!Z:Z,'ON Data'!$D:$D,$A$4,'ON Data'!$E:$E,9),SUMIFS('ON Data'!Z:Z,'ON Data'!$E:$E,9))</f>
        <v>0</v>
      </c>
      <c r="V19" s="273">
        <f xml:space="preserve">
IF($A$4&lt;=12,SUMIFS('ON Data'!AA:AA,'ON Data'!$D:$D,$A$4,'ON Data'!$E:$E,9),SUMIFS('ON Data'!AA:AA,'ON Data'!$E:$E,9))</f>
        <v>0</v>
      </c>
      <c r="W19" s="273">
        <f xml:space="preserve">
IF($A$4&lt;=12,SUMIFS('ON Data'!AB:AB,'ON Data'!$D:$D,$A$4,'ON Data'!$E:$E,9),SUMIFS('ON Data'!AB:AB,'ON Data'!$E:$E,9))</f>
        <v>0</v>
      </c>
      <c r="X19" s="273">
        <f xml:space="preserve">
IF($A$4&lt;=12,SUMIFS('ON Data'!AC:AC,'ON Data'!$D:$D,$A$4,'ON Data'!$E:$E,9),SUMIFS('ON Data'!AC:AC,'ON Data'!$E:$E,9))</f>
        <v>0</v>
      </c>
      <c r="Y19" s="273">
        <f xml:space="preserve">
IF($A$4&lt;=12,SUMIFS('ON Data'!AD:AD,'ON Data'!$D:$D,$A$4,'ON Data'!$E:$E,9),SUMIFS('ON Data'!AD:AD,'ON Data'!$E:$E,9))</f>
        <v>0</v>
      </c>
      <c r="Z19" s="273">
        <f xml:space="preserve">
IF($A$4&lt;=12,SUMIFS('ON Data'!AE:AE,'ON Data'!$D:$D,$A$4,'ON Data'!$E:$E,9),SUMIFS('ON Data'!AE:AE,'ON Data'!$E:$E,9))</f>
        <v>0</v>
      </c>
      <c r="AA19" s="273">
        <f xml:space="preserve">
IF($A$4&lt;=12,SUMIFS('ON Data'!AF:AF,'ON Data'!$D:$D,$A$4,'ON Data'!$E:$E,9),SUMIFS('ON Data'!AF:AF,'ON Data'!$E:$E,9))</f>
        <v>0</v>
      </c>
      <c r="AB19" s="273">
        <f xml:space="preserve">
IF($A$4&lt;=12,SUMIFS('ON Data'!AG:AG,'ON Data'!$D:$D,$A$4,'ON Data'!$E:$E,9),SUMIFS('ON Data'!AG:AG,'ON Data'!$E:$E,9))</f>
        <v>0</v>
      </c>
      <c r="AC19" s="273">
        <f xml:space="preserve">
IF($A$4&lt;=12,SUMIFS('ON Data'!AH:AH,'ON Data'!$D:$D,$A$4,'ON Data'!$E:$E,9),SUMIFS('ON Data'!AH:AH,'ON Data'!$E:$E,9))</f>
        <v>0</v>
      </c>
      <c r="AD19" s="273">
        <f xml:space="preserve">
IF($A$4&lt;=12,SUMIFS('ON Data'!AI:AI,'ON Data'!$D:$D,$A$4,'ON Data'!$E:$E,9),SUMIFS('ON Data'!AI:AI,'ON Data'!$E:$E,9))</f>
        <v>0</v>
      </c>
      <c r="AE19" s="273">
        <f xml:space="preserve">
IF($A$4&lt;=12,SUMIFS('ON Data'!AJ:AJ,'ON Data'!$D:$D,$A$4,'ON Data'!$E:$E,9),SUMIFS('ON Data'!AJ:AJ,'ON Data'!$E:$E,9))</f>
        <v>0</v>
      </c>
      <c r="AF19" s="273">
        <f xml:space="preserve">
IF($A$4&lt;=12,SUMIFS('ON Data'!AK:AK,'ON Data'!$D:$D,$A$4,'ON Data'!$E:$E,9),SUMIFS('ON Data'!AK:AK,'ON Data'!$E:$E,9))</f>
        <v>0</v>
      </c>
      <c r="AG19" s="530">
        <f xml:space="preserve">
IF($A$4&lt;=12,SUMIFS('ON Data'!AM:AM,'ON Data'!$D:$D,$A$4,'ON Data'!$E:$E,9),SUMIFS('ON Data'!AM:AM,'ON Data'!$E:$E,9))</f>
        <v>0</v>
      </c>
      <c r="AH19" s="536"/>
    </row>
    <row r="20" spans="1:34" ht="15" collapsed="1" thickBot="1" x14ac:dyDescent="0.35">
      <c r="A20" s="249" t="s">
        <v>73</v>
      </c>
      <c r="B20" s="274">
        <f xml:space="preserve">
IF($A$4&lt;=12,SUMIFS('ON Data'!F:F,'ON Data'!$D:$D,$A$4,'ON Data'!$E:$E,6),SUMIFS('ON Data'!F:F,'ON Data'!$E:$E,6))</f>
        <v>3437565</v>
      </c>
      <c r="C20" s="275">
        <f xml:space="preserve">
IF($A$4&lt;=12,SUMIFS('ON Data'!G:G,'ON Data'!$D:$D,$A$4,'ON Data'!$E:$E,6),SUMIFS('ON Data'!G:G,'ON Data'!$E:$E,6))</f>
        <v>12400</v>
      </c>
      <c r="D20" s="276">
        <f xml:space="preserve">
IF($A$4&lt;=12,SUMIFS('ON Data'!H:H,'ON Data'!$D:$D,$A$4,'ON Data'!$E:$E,6),SUMIFS('ON Data'!H:H,'ON Data'!$E:$E,6))</f>
        <v>1200454</v>
      </c>
      <c r="E20" s="276">
        <f xml:space="preserve">
IF($A$4&lt;=12,SUMIFS('ON Data'!I:I,'ON Data'!$D:$D,$A$4,'ON Data'!$E:$E,6),SUMIFS('ON Data'!I:I,'ON Data'!$E:$E,6))</f>
        <v>0</v>
      </c>
      <c r="F20" s="276">
        <f xml:space="preserve">
IF($A$4&lt;=12,SUMIFS('ON Data'!K:K,'ON Data'!$D:$D,$A$4,'ON Data'!$E:$E,6),SUMIFS('ON Data'!K:K,'ON Data'!$E:$E,6))</f>
        <v>371402</v>
      </c>
      <c r="G20" s="276">
        <f xml:space="preserve">
IF($A$4&lt;=12,SUMIFS('ON Data'!L:L,'ON Data'!$D:$D,$A$4,'ON Data'!$E:$E,6),SUMIFS('ON Data'!L:L,'ON Data'!$E:$E,6))</f>
        <v>90558</v>
      </c>
      <c r="H20" s="276">
        <f xml:space="preserve">
IF($A$4&lt;=12,SUMIFS('ON Data'!M:M,'ON Data'!$D:$D,$A$4,'ON Data'!$E:$E,6),SUMIFS('ON Data'!M:M,'ON Data'!$E:$E,6))</f>
        <v>0</v>
      </c>
      <c r="I20" s="276">
        <f xml:space="preserve">
IF($A$4&lt;=12,SUMIFS('ON Data'!N:N,'ON Data'!$D:$D,$A$4,'ON Data'!$E:$E,6),SUMIFS('ON Data'!N:N,'ON Data'!$E:$E,6))</f>
        <v>619180</v>
      </c>
      <c r="J20" s="276">
        <f xml:space="preserve">
IF($A$4&lt;=12,SUMIFS('ON Data'!O:O,'ON Data'!$D:$D,$A$4,'ON Data'!$E:$E,6),SUMIFS('ON Data'!O:O,'ON Data'!$E:$E,6))</f>
        <v>0</v>
      </c>
      <c r="K20" s="276">
        <f xml:space="preserve">
IF($A$4&lt;=12,SUMIFS('ON Data'!P:P,'ON Data'!$D:$D,$A$4,'ON Data'!$E:$E,6),SUMIFS('ON Data'!P:P,'ON Data'!$E:$E,6))</f>
        <v>0</v>
      </c>
      <c r="L20" s="276">
        <f xml:space="preserve">
IF($A$4&lt;=12,SUMIFS('ON Data'!Q:Q,'ON Data'!$D:$D,$A$4,'ON Data'!$E:$E,6),SUMIFS('ON Data'!Q:Q,'ON Data'!$E:$E,6))</f>
        <v>0</v>
      </c>
      <c r="M20" s="276">
        <f xml:space="preserve">
IF($A$4&lt;=12,SUMIFS('ON Data'!R:R,'ON Data'!$D:$D,$A$4,'ON Data'!$E:$E,6),SUMIFS('ON Data'!R:R,'ON Data'!$E:$E,6))</f>
        <v>0</v>
      </c>
      <c r="N20" s="276">
        <f xml:space="preserve">
IF($A$4&lt;=12,SUMIFS('ON Data'!S:S,'ON Data'!$D:$D,$A$4,'ON Data'!$E:$E,6),SUMIFS('ON Data'!S:S,'ON Data'!$E:$E,6))</f>
        <v>0</v>
      </c>
      <c r="O20" s="276">
        <f xml:space="preserve">
IF($A$4&lt;=12,SUMIFS('ON Data'!T:T,'ON Data'!$D:$D,$A$4,'ON Data'!$E:$E,6),SUMIFS('ON Data'!T:T,'ON Data'!$E:$E,6))</f>
        <v>0</v>
      </c>
      <c r="P20" s="276">
        <f xml:space="preserve">
IF($A$4&lt;=12,SUMIFS('ON Data'!U:U,'ON Data'!$D:$D,$A$4,'ON Data'!$E:$E,6),SUMIFS('ON Data'!U:U,'ON Data'!$E:$E,6))</f>
        <v>0</v>
      </c>
      <c r="Q20" s="276">
        <f xml:space="preserve">
IF($A$4&lt;=12,SUMIFS('ON Data'!V:V,'ON Data'!$D:$D,$A$4,'ON Data'!$E:$E,6),SUMIFS('ON Data'!V:V,'ON Data'!$E:$E,6))</f>
        <v>0</v>
      </c>
      <c r="R20" s="276">
        <f xml:space="preserve">
IF($A$4&lt;=12,SUMIFS('ON Data'!W:W,'ON Data'!$D:$D,$A$4,'ON Data'!$E:$E,6),SUMIFS('ON Data'!W:W,'ON Data'!$E:$E,6))</f>
        <v>0</v>
      </c>
      <c r="S20" s="276">
        <f xml:space="preserve">
IF($A$4&lt;=12,SUMIFS('ON Data'!X:X,'ON Data'!$D:$D,$A$4,'ON Data'!$E:$E,6),SUMIFS('ON Data'!X:X,'ON Data'!$E:$E,6))</f>
        <v>0</v>
      </c>
      <c r="T20" s="276">
        <f xml:space="preserve">
IF($A$4&lt;=12,SUMIFS('ON Data'!Y:Y,'ON Data'!$D:$D,$A$4,'ON Data'!$E:$E,6),SUMIFS('ON Data'!Y:Y,'ON Data'!$E:$E,6))</f>
        <v>0</v>
      </c>
      <c r="U20" s="276">
        <f xml:space="preserve">
IF($A$4&lt;=12,SUMIFS('ON Data'!Z:Z,'ON Data'!$D:$D,$A$4,'ON Data'!$E:$E,6),SUMIFS('ON Data'!Z:Z,'ON Data'!$E:$E,6))</f>
        <v>934942</v>
      </c>
      <c r="V20" s="276">
        <f xml:space="preserve">
IF($A$4&lt;=12,SUMIFS('ON Data'!AA:AA,'ON Data'!$D:$D,$A$4,'ON Data'!$E:$E,6),SUMIFS('ON Data'!AA:AA,'ON Data'!$E:$E,6))</f>
        <v>0</v>
      </c>
      <c r="W20" s="276">
        <f xml:space="preserve">
IF($A$4&lt;=12,SUMIFS('ON Data'!AB:AB,'ON Data'!$D:$D,$A$4,'ON Data'!$E:$E,6),SUMIFS('ON Data'!AB:AB,'ON Data'!$E:$E,6))</f>
        <v>0</v>
      </c>
      <c r="X20" s="276">
        <f xml:space="preserve">
IF($A$4&lt;=12,SUMIFS('ON Data'!AC:AC,'ON Data'!$D:$D,$A$4,'ON Data'!$E:$E,6),SUMIFS('ON Data'!AC:AC,'ON Data'!$E:$E,6))</f>
        <v>0</v>
      </c>
      <c r="Y20" s="276">
        <f xml:space="preserve">
IF($A$4&lt;=12,SUMIFS('ON Data'!AD:AD,'ON Data'!$D:$D,$A$4,'ON Data'!$E:$E,6),SUMIFS('ON Data'!AD:AD,'ON Data'!$E:$E,6))</f>
        <v>0</v>
      </c>
      <c r="Z20" s="276">
        <f xml:space="preserve">
IF($A$4&lt;=12,SUMIFS('ON Data'!AE:AE,'ON Data'!$D:$D,$A$4,'ON Data'!$E:$E,6),SUMIFS('ON Data'!AE:AE,'ON Data'!$E:$E,6))</f>
        <v>0</v>
      </c>
      <c r="AA20" s="276">
        <f xml:space="preserve">
IF($A$4&lt;=12,SUMIFS('ON Data'!AF:AF,'ON Data'!$D:$D,$A$4,'ON Data'!$E:$E,6),SUMIFS('ON Data'!AF:AF,'ON Data'!$E:$E,6))</f>
        <v>0</v>
      </c>
      <c r="AB20" s="276">
        <f xml:space="preserve">
IF($A$4&lt;=12,SUMIFS('ON Data'!AG:AG,'ON Data'!$D:$D,$A$4,'ON Data'!$E:$E,6),SUMIFS('ON Data'!AG:AG,'ON Data'!$E:$E,6))</f>
        <v>0</v>
      </c>
      <c r="AC20" s="276">
        <f xml:space="preserve">
IF($A$4&lt;=12,SUMIFS('ON Data'!AH:AH,'ON Data'!$D:$D,$A$4,'ON Data'!$E:$E,6),SUMIFS('ON Data'!AH:AH,'ON Data'!$E:$E,6))</f>
        <v>59554</v>
      </c>
      <c r="AD20" s="276">
        <f xml:space="preserve">
IF($A$4&lt;=12,SUMIFS('ON Data'!AI:AI,'ON Data'!$D:$D,$A$4,'ON Data'!$E:$E,6),SUMIFS('ON Data'!AI:AI,'ON Data'!$E:$E,6))</f>
        <v>0</v>
      </c>
      <c r="AE20" s="276">
        <f xml:space="preserve">
IF($A$4&lt;=12,SUMIFS('ON Data'!AJ:AJ,'ON Data'!$D:$D,$A$4,'ON Data'!$E:$E,6),SUMIFS('ON Data'!AJ:AJ,'ON Data'!$E:$E,6))</f>
        <v>0</v>
      </c>
      <c r="AF20" s="276">
        <f xml:space="preserve">
IF($A$4&lt;=12,SUMIFS('ON Data'!AK:AK,'ON Data'!$D:$D,$A$4,'ON Data'!$E:$E,6),SUMIFS('ON Data'!AK:AK,'ON Data'!$E:$E,6))</f>
        <v>0</v>
      </c>
      <c r="AG20" s="531">
        <f xml:space="preserve">
IF($A$4&lt;=12,SUMIFS('ON Data'!AM:AM,'ON Data'!$D:$D,$A$4,'ON Data'!$E:$E,6),SUMIFS('ON Data'!AM:AM,'ON Data'!$E:$E,6))</f>
        <v>149075</v>
      </c>
      <c r="AH20" s="536"/>
    </row>
    <row r="21" spans="1:34" ht="15" hidden="1" outlineLevel="1" thickBot="1" x14ac:dyDescent="0.35">
      <c r="A21" s="242" t="s">
        <v>108</v>
      </c>
      <c r="B21" s="262"/>
      <c r="C21" s="263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527"/>
      <c r="AH21" s="536"/>
    </row>
    <row r="22" spans="1:34" ht="15" hidden="1" outlineLevel="1" thickBot="1" x14ac:dyDescent="0.35">
      <c r="A22" s="242" t="s">
        <v>75</v>
      </c>
      <c r="B22" s="262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527"/>
      <c r="AH22" s="536"/>
    </row>
    <row r="23" spans="1:34" ht="15" hidden="1" outlineLevel="1" thickBot="1" x14ac:dyDescent="0.35">
      <c r="A23" s="250" t="s">
        <v>68</v>
      </c>
      <c r="B23" s="265"/>
      <c r="C23" s="266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528"/>
      <c r="AH23" s="536"/>
    </row>
    <row r="24" spans="1:34" x14ac:dyDescent="0.3">
      <c r="A24" s="244" t="s">
        <v>217</v>
      </c>
      <c r="B24" s="291" t="s">
        <v>3</v>
      </c>
      <c r="C24" s="537" t="s">
        <v>228</v>
      </c>
      <c r="D24" s="512"/>
      <c r="E24" s="513"/>
      <c r="F24" s="513" t="s">
        <v>229</v>
      </c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3"/>
      <c r="Z24" s="513"/>
      <c r="AA24" s="513"/>
      <c r="AB24" s="513"/>
      <c r="AC24" s="513"/>
      <c r="AD24" s="513"/>
      <c r="AE24" s="513"/>
      <c r="AF24" s="513"/>
      <c r="AG24" s="532" t="s">
        <v>230</v>
      </c>
      <c r="AH24" s="536"/>
    </row>
    <row r="25" spans="1:34" x14ac:dyDescent="0.3">
      <c r="A25" s="245" t="s">
        <v>73</v>
      </c>
      <c r="B25" s="262">
        <f xml:space="preserve">
SUM(C25:AG25)</f>
        <v>22070</v>
      </c>
      <c r="C25" s="538">
        <f xml:space="preserve">
IF($A$4&lt;=12,SUMIFS('ON Data'!H:H,'ON Data'!$D:$D,$A$4,'ON Data'!$E:$E,10),SUMIFS('ON Data'!H:H,'ON Data'!$E:$E,10))</f>
        <v>4100</v>
      </c>
      <c r="D25" s="514"/>
      <c r="E25" s="515"/>
      <c r="F25" s="515">
        <f xml:space="preserve">
IF($A$4&lt;=12,SUMIFS('ON Data'!K:K,'ON Data'!$D:$D,$A$4,'ON Data'!$E:$E,10),SUMIFS('ON Data'!K:K,'ON Data'!$E:$E,10))</f>
        <v>17970</v>
      </c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33">
        <f xml:space="preserve">
IF($A$4&lt;=12,SUMIFS('ON Data'!AM:AM,'ON Data'!$D:$D,$A$4,'ON Data'!$E:$E,10),SUMIFS('ON Data'!AM:AM,'ON Data'!$E:$E,10))</f>
        <v>0</v>
      </c>
      <c r="AH25" s="536"/>
    </row>
    <row r="26" spans="1:34" x14ac:dyDescent="0.3">
      <c r="A26" s="251" t="s">
        <v>227</v>
      </c>
      <c r="B26" s="271">
        <f xml:space="preserve">
SUM(C26:AG26)</f>
        <v>23533</v>
      </c>
      <c r="C26" s="538">
        <f xml:space="preserve">
IF($A$4&lt;=12,SUMIFS('ON Data'!H:H,'ON Data'!$D:$D,$A$4,'ON Data'!$E:$E,11),SUMIFS('ON Data'!H:H,'ON Data'!$E:$E,11))</f>
        <v>7199.666666666667</v>
      </c>
      <c r="D26" s="514"/>
      <c r="E26" s="515"/>
      <c r="F26" s="516">
        <f xml:space="preserve">
IF($A$4&lt;=12,SUMIFS('ON Data'!K:K,'ON Data'!$D:$D,$A$4,'ON Data'!$E:$E,11),SUMIFS('ON Data'!K:K,'ON Data'!$E:$E,11))</f>
        <v>16333.333333333334</v>
      </c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33">
        <f xml:space="preserve">
IF($A$4&lt;=12,SUMIFS('ON Data'!AM:AM,'ON Data'!$D:$D,$A$4,'ON Data'!$E:$E,11),SUMIFS('ON Data'!AM:AM,'ON Data'!$E:$E,11))</f>
        <v>0</v>
      </c>
      <c r="AH26" s="536"/>
    </row>
    <row r="27" spans="1:34" x14ac:dyDescent="0.3">
      <c r="A27" s="251" t="s">
        <v>75</v>
      </c>
      <c r="B27" s="292">
        <f xml:space="preserve">
IF(B26=0,0,B25/B26)</f>
        <v>0.93783198062295503</v>
      </c>
      <c r="C27" s="539">
        <f xml:space="preserve">
IF(C26=0,0,C25/C26)</f>
        <v>0.56947080883374224</v>
      </c>
      <c r="D27" s="517"/>
      <c r="E27" s="518"/>
      <c r="F27" s="518">
        <f xml:space="preserve">
IF(F26=0,0,F25/F26)</f>
        <v>1.100204081632653</v>
      </c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34">
        <f xml:space="preserve">
IF(AG26=0,0,AG25/AG26)</f>
        <v>0</v>
      </c>
      <c r="AH27" s="536"/>
    </row>
    <row r="28" spans="1:34" ht="15" thickBot="1" x14ac:dyDescent="0.35">
      <c r="A28" s="251" t="s">
        <v>226</v>
      </c>
      <c r="B28" s="271">
        <f xml:space="preserve">
SUM(C28:AG28)</f>
        <v>1463.0000000000009</v>
      </c>
      <c r="C28" s="540">
        <f xml:space="preserve">
C26-C25</f>
        <v>3099.666666666667</v>
      </c>
      <c r="D28" s="519"/>
      <c r="E28" s="520"/>
      <c r="F28" s="520">
        <f xml:space="preserve">
F26-F25</f>
        <v>-1636.6666666666661</v>
      </c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35">
        <f xml:space="preserve">
AG26-AG25</f>
        <v>0</v>
      </c>
      <c r="AH28" s="536"/>
    </row>
    <row r="29" spans="1:34" x14ac:dyDescent="0.3">
      <c r="A29" s="252"/>
      <c r="B29" s="252"/>
      <c r="C29" s="253"/>
      <c r="D29" s="252"/>
      <c r="E29" s="252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2"/>
      <c r="AF29" s="252"/>
      <c r="AG29" s="252"/>
    </row>
    <row r="30" spans="1:34" x14ac:dyDescent="0.3">
      <c r="A30" s="113" t="s">
        <v>158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51"/>
    </row>
    <row r="31" spans="1:34" x14ac:dyDescent="0.3">
      <c r="A31" s="114" t="s">
        <v>224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51"/>
    </row>
    <row r="32" spans="1:34" ht="14.4" customHeight="1" x14ac:dyDescent="0.3">
      <c r="A32" s="288" t="s">
        <v>221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</row>
    <row r="33" spans="1:1" x14ac:dyDescent="0.3">
      <c r="A33" s="290" t="s">
        <v>231</v>
      </c>
    </row>
    <row r="34" spans="1:1" x14ac:dyDescent="0.3">
      <c r="A34" s="290" t="s">
        <v>232</v>
      </c>
    </row>
    <row r="35" spans="1:1" x14ac:dyDescent="0.3">
      <c r="A35" s="290" t="s">
        <v>233</v>
      </c>
    </row>
    <row r="36" spans="1:1" x14ac:dyDescent="0.3">
      <c r="A36" s="290" t="s">
        <v>234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7"/>
  <sheetViews>
    <sheetView showGridLines="0" showRowColHeaders="0" workbookViewId="0"/>
  </sheetViews>
  <sheetFormatPr defaultRowHeight="14.4" x14ac:dyDescent="0.3"/>
  <cols>
    <col min="1" max="16384" width="8.88671875" style="231"/>
  </cols>
  <sheetData>
    <row r="1" spans="1:40" x14ac:dyDescent="0.3">
      <c r="A1" s="231" t="s">
        <v>863</v>
      </c>
    </row>
    <row r="2" spans="1:40" x14ac:dyDescent="0.3">
      <c r="A2" s="235" t="s">
        <v>263</v>
      </c>
    </row>
    <row r="3" spans="1:40" x14ac:dyDescent="0.3">
      <c r="A3" s="231" t="s">
        <v>191</v>
      </c>
      <c r="B3" s="256">
        <v>2014</v>
      </c>
      <c r="D3" s="232">
        <f>MAX(D5:D1048576)</f>
        <v>4</v>
      </c>
      <c r="F3" s="232">
        <f>SUMIF($E5:$E1048576,"&lt;10",F5:F1048576)</f>
        <v>3468755.8</v>
      </c>
      <c r="G3" s="232">
        <f t="shared" ref="G3:AN3" si="0">SUMIF($E5:$E1048576,"&lt;10",G5:G1048576)</f>
        <v>12400</v>
      </c>
      <c r="H3" s="232">
        <f t="shared" si="0"/>
        <v>1217811</v>
      </c>
      <c r="I3" s="232">
        <f t="shared" si="0"/>
        <v>0</v>
      </c>
      <c r="J3" s="232">
        <f t="shared" si="0"/>
        <v>0</v>
      </c>
      <c r="K3" s="232">
        <f t="shared" si="0"/>
        <v>373238</v>
      </c>
      <c r="L3" s="232">
        <f t="shared" si="0"/>
        <v>91210</v>
      </c>
      <c r="M3" s="232">
        <f t="shared" si="0"/>
        <v>0</v>
      </c>
      <c r="N3" s="232">
        <f t="shared" si="0"/>
        <v>623709</v>
      </c>
      <c r="O3" s="232">
        <f t="shared" si="0"/>
        <v>0</v>
      </c>
      <c r="P3" s="232">
        <f t="shared" si="0"/>
        <v>0</v>
      </c>
      <c r="Q3" s="232">
        <f t="shared" si="0"/>
        <v>0</v>
      </c>
      <c r="R3" s="232">
        <f t="shared" si="0"/>
        <v>0</v>
      </c>
      <c r="S3" s="232">
        <f t="shared" si="0"/>
        <v>0</v>
      </c>
      <c r="T3" s="232">
        <f t="shared" si="0"/>
        <v>0</v>
      </c>
      <c r="U3" s="232">
        <f t="shared" si="0"/>
        <v>0</v>
      </c>
      <c r="V3" s="232">
        <f t="shared" si="0"/>
        <v>0</v>
      </c>
      <c r="W3" s="232">
        <f t="shared" si="0"/>
        <v>0</v>
      </c>
      <c r="X3" s="232">
        <f t="shared" si="0"/>
        <v>0</v>
      </c>
      <c r="Y3" s="232">
        <f t="shared" si="0"/>
        <v>0</v>
      </c>
      <c r="Z3" s="232">
        <f t="shared" si="0"/>
        <v>939923.59999999986</v>
      </c>
      <c r="AA3" s="232">
        <f t="shared" si="0"/>
        <v>0</v>
      </c>
      <c r="AB3" s="232">
        <f t="shared" si="0"/>
        <v>0</v>
      </c>
      <c r="AC3" s="232">
        <f t="shared" si="0"/>
        <v>0</v>
      </c>
      <c r="AD3" s="232">
        <f t="shared" si="0"/>
        <v>0</v>
      </c>
      <c r="AE3" s="232">
        <f t="shared" si="0"/>
        <v>0</v>
      </c>
      <c r="AF3" s="232">
        <f t="shared" si="0"/>
        <v>0</v>
      </c>
      <c r="AG3" s="232">
        <f t="shared" si="0"/>
        <v>0</v>
      </c>
      <c r="AH3" s="232">
        <f t="shared" si="0"/>
        <v>60222</v>
      </c>
      <c r="AI3" s="232">
        <f t="shared" si="0"/>
        <v>0</v>
      </c>
      <c r="AJ3" s="232">
        <f t="shared" si="0"/>
        <v>0</v>
      </c>
      <c r="AK3" s="232">
        <f t="shared" si="0"/>
        <v>0</v>
      </c>
      <c r="AL3" s="232">
        <f t="shared" si="0"/>
        <v>0</v>
      </c>
      <c r="AM3" s="232">
        <f t="shared" si="0"/>
        <v>150242.20000000001</v>
      </c>
      <c r="AN3" s="232">
        <f t="shared" si="0"/>
        <v>0</v>
      </c>
    </row>
    <row r="4" spans="1:40" x14ac:dyDescent="0.3">
      <c r="A4" s="231" t="s">
        <v>192</v>
      </c>
      <c r="B4" s="256">
        <v>1</v>
      </c>
      <c r="C4" s="233" t="s">
        <v>5</v>
      </c>
      <c r="D4" s="234" t="s">
        <v>67</v>
      </c>
      <c r="E4" s="234" t="s">
        <v>186</v>
      </c>
      <c r="F4" s="234" t="s">
        <v>3</v>
      </c>
      <c r="G4" s="234" t="s">
        <v>187</v>
      </c>
      <c r="H4" s="234" t="s">
        <v>188</v>
      </c>
      <c r="I4" s="234" t="s">
        <v>189</v>
      </c>
      <c r="J4" s="234" t="s">
        <v>190</v>
      </c>
      <c r="K4" s="234">
        <v>305</v>
      </c>
      <c r="L4" s="234">
        <v>306</v>
      </c>
      <c r="M4" s="234">
        <v>408</v>
      </c>
      <c r="N4" s="234">
        <v>409</v>
      </c>
      <c r="O4" s="234">
        <v>410</v>
      </c>
      <c r="P4" s="234">
        <v>415</v>
      </c>
      <c r="Q4" s="234">
        <v>416</v>
      </c>
      <c r="R4" s="234">
        <v>418</v>
      </c>
      <c r="S4" s="234">
        <v>419</v>
      </c>
      <c r="T4" s="234">
        <v>420</v>
      </c>
      <c r="U4" s="234">
        <v>421</v>
      </c>
      <c r="V4" s="234">
        <v>522</v>
      </c>
      <c r="W4" s="234">
        <v>523</v>
      </c>
      <c r="X4" s="234">
        <v>524</v>
      </c>
      <c r="Y4" s="234">
        <v>525</v>
      </c>
      <c r="Z4" s="234">
        <v>526</v>
      </c>
      <c r="AA4" s="234">
        <v>527</v>
      </c>
      <c r="AB4" s="234">
        <v>528</v>
      </c>
      <c r="AC4" s="234">
        <v>629</v>
      </c>
      <c r="AD4" s="234">
        <v>630</v>
      </c>
      <c r="AE4" s="234">
        <v>636</v>
      </c>
      <c r="AF4" s="234">
        <v>637</v>
      </c>
      <c r="AG4" s="234">
        <v>640</v>
      </c>
      <c r="AH4" s="234">
        <v>642</v>
      </c>
      <c r="AI4" s="234">
        <v>743</v>
      </c>
      <c r="AJ4" s="234">
        <v>745</v>
      </c>
      <c r="AK4" s="234">
        <v>746</v>
      </c>
      <c r="AL4" s="234">
        <v>747</v>
      </c>
      <c r="AM4" s="234">
        <v>930</v>
      </c>
      <c r="AN4" s="234">
        <v>940</v>
      </c>
    </row>
    <row r="5" spans="1:40" x14ac:dyDescent="0.3">
      <c r="A5" s="231" t="s">
        <v>193</v>
      </c>
      <c r="B5" s="256">
        <v>2</v>
      </c>
      <c r="C5" s="231">
        <v>28</v>
      </c>
      <c r="D5" s="231">
        <v>1</v>
      </c>
      <c r="E5" s="231">
        <v>1</v>
      </c>
      <c r="F5" s="231">
        <v>27.2</v>
      </c>
      <c r="G5" s="231">
        <v>0</v>
      </c>
      <c r="H5" s="231">
        <v>5.5</v>
      </c>
      <c r="I5" s="231">
        <v>0</v>
      </c>
      <c r="J5" s="231">
        <v>0</v>
      </c>
      <c r="K5" s="231">
        <v>3</v>
      </c>
      <c r="L5" s="231">
        <v>1</v>
      </c>
      <c r="M5" s="231">
        <v>0</v>
      </c>
      <c r="N5" s="231">
        <v>7.5</v>
      </c>
      <c r="O5" s="231">
        <v>0</v>
      </c>
      <c r="P5" s="231">
        <v>0</v>
      </c>
      <c r="Q5" s="231">
        <v>0</v>
      </c>
      <c r="R5" s="231">
        <v>0</v>
      </c>
      <c r="S5" s="231">
        <v>0</v>
      </c>
      <c r="T5" s="231">
        <v>0</v>
      </c>
      <c r="U5" s="231">
        <v>0</v>
      </c>
      <c r="V5" s="231">
        <v>0</v>
      </c>
      <c r="W5" s="231">
        <v>0</v>
      </c>
      <c r="X5" s="231">
        <v>0</v>
      </c>
      <c r="Y5" s="231">
        <v>0</v>
      </c>
      <c r="Z5" s="231">
        <v>7.4</v>
      </c>
      <c r="AA5" s="231">
        <v>0</v>
      </c>
      <c r="AB5" s="231">
        <v>0</v>
      </c>
      <c r="AC5" s="231">
        <v>0</v>
      </c>
      <c r="AD5" s="231">
        <v>0</v>
      </c>
      <c r="AE5" s="231">
        <v>0</v>
      </c>
      <c r="AF5" s="231">
        <v>0</v>
      </c>
      <c r="AG5" s="231">
        <v>0</v>
      </c>
      <c r="AH5" s="231">
        <v>1</v>
      </c>
      <c r="AI5" s="231">
        <v>0</v>
      </c>
      <c r="AJ5" s="231">
        <v>0</v>
      </c>
      <c r="AK5" s="231">
        <v>0</v>
      </c>
      <c r="AL5" s="231">
        <v>0</v>
      </c>
      <c r="AM5" s="231">
        <v>1.8</v>
      </c>
      <c r="AN5" s="231">
        <v>0</v>
      </c>
    </row>
    <row r="6" spans="1:40" x14ac:dyDescent="0.3">
      <c r="A6" s="231" t="s">
        <v>194</v>
      </c>
      <c r="B6" s="256">
        <v>3</v>
      </c>
      <c r="C6" s="231">
        <v>28</v>
      </c>
      <c r="D6" s="231">
        <v>1</v>
      </c>
      <c r="E6" s="231">
        <v>2</v>
      </c>
      <c r="F6" s="231">
        <v>4499.2</v>
      </c>
      <c r="G6" s="231">
        <v>0</v>
      </c>
      <c r="H6" s="231">
        <v>892</v>
      </c>
      <c r="I6" s="231">
        <v>0</v>
      </c>
      <c r="J6" s="231">
        <v>0</v>
      </c>
      <c r="K6" s="231">
        <v>496</v>
      </c>
      <c r="L6" s="231">
        <v>184</v>
      </c>
      <c r="M6" s="231">
        <v>0</v>
      </c>
      <c r="N6" s="231">
        <v>1260</v>
      </c>
      <c r="O6" s="231">
        <v>0</v>
      </c>
      <c r="P6" s="231">
        <v>0</v>
      </c>
      <c r="Q6" s="231">
        <v>0</v>
      </c>
      <c r="R6" s="231">
        <v>0</v>
      </c>
      <c r="S6" s="231">
        <v>0</v>
      </c>
      <c r="T6" s="231">
        <v>0</v>
      </c>
      <c r="U6" s="231">
        <v>0</v>
      </c>
      <c r="V6" s="231">
        <v>0</v>
      </c>
      <c r="W6" s="231">
        <v>0</v>
      </c>
      <c r="X6" s="231">
        <v>0</v>
      </c>
      <c r="Y6" s="231">
        <v>0</v>
      </c>
      <c r="Z6" s="231">
        <v>1192</v>
      </c>
      <c r="AA6" s="231">
        <v>0</v>
      </c>
      <c r="AB6" s="231">
        <v>0</v>
      </c>
      <c r="AC6" s="231">
        <v>0</v>
      </c>
      <c r="AD6" s="231">
        <v>0</v>
      </c>
      <c r="AE6" s="231">
        <v>0</v>
      </c>
      <c r="AF6" s="231">
        <v>0</v>
      </c>
      <c r="AG6" s="231">
        <v>0</v>
      </c>
      <c r="AH6" s="231">
        <v>184</v>
      </c>
      <c r="AI6" s="231">
        <v>0</v>
      </c>
      <c r="AJ6" s="231">
        <v>0</v>
      </c>
      <c r="AK6" s="231">
        <v>0</v>
      </c>
      <c r="AL6" s="231">
        <v>0</v>
      </c>
      <c r="AM6" s="231">
        <v>291.2</v>
      </c>
      <c r="AN6" s="231">
        <v>0</v>
      </c>
    </row>
    <row r="7" spans="1:40" x14ac:dyDescent="0.3">
      <c r="A7" s="231" t="s">
        <v>195</v>
      </c>
      <c r="B7" s="256">
        <v>4</v>
      </c>
      <c r="C7" s="231">
        <v>28</v>
      </c>
      <c r="D7" s="231">
        <v>1</v>
      </c>
      <c r="E7" s="231">
        <v>6</v>
      </c>
      <c r="F7" s="231">
        <v>873079</v>
      </c>
      <c r="G7" s="231">
        <v>0</v>
      </c>
      <c r="H7" s="231">
        <v>297231</v>
      </c>
      <c r="I7" s="231">
        <v>0</v>
      </c>
      <c r="J7" s="231">
        <v>0</v>
      </c>
      <c r="K7" s="231">
        <v>93752</v>
      </c>
      <c r="L7" s="231">
        <v>22480</v>
      </c>
      <c r="M7" s="231">
        <v>0</v>
      </c>
      <c r="N7" s="231">
        <v>167725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231">
        <v>0</v>
      </c>
      <c r="U7" s="231">
        <v>0</v>
      </c>
      <c r="V7" s="231">
        <v>0</v>
      </c>
      <c r="W7" s="231">
        <v>0</v>
      </c>
      <c r="X7" s="231">
        <v>0</v>
      </c>
      <c r="Y7" s="231">
        <v>0</v>
      </c>
      <c r="Z7" s="231">
        <v>238742</v>
      </c>
      <c r="AA7" s="231">
        <v>0</v>
      </c>
      <c r="AB7" s="231">
        <v>0</v>
      </c>
      <c r="AC7" s="231">
        <v>0</v>
      </c>
      <c r="AD7" s="231">
        <v>0</v>
      </c>
      <c r="AE7" s="231">
        <v>0</v>
      </c>
      <c r="AF7" s="231">
        <v>0</v>
      </c>
      <c r="AG7" s="231">
        <v>0</v>
      </c>
      <c r="AH7" s="231">
        <v>14850</v>
      </c>
      <c r="AI7" s="231">
        <v>0</v>
      </c>
      <c r="AJ7" s="231">
        <v>0</v>
      </c>
      <c r="AK7" s="231">
        <v>0</v>
      </c>
      <c r="AL7" s="231">
        <v>0</v>
      </c>
      <c r="AM7" s="231">
        <v>38299</v>
      </c>
      <c r="AN7" s="231">
        <v>0</v>
      </c>
    </row>
    <row r="8" spans="1:40" x14ac:dyDescent="0.3">
      <c r="A8" s="231" t="s">
        <v>196</v>
      </c>
      <c r="B8" s="256">
        <v>5</v>
      </c>
      <c r="C8" s="231">
        <v>28</v>
      </c>
      <c r="D8" s="231">
        <v>1</v>
      </c>
      <c r="E8" s="231">
        <v>9</v>
      </c>
      <c r="F8" s="231">
        <v>4400</v>
      </c>
      <c r="G8" s="231">
        <v>0</v>
      </c>
      <c r="H8" s="231">
        <v>4400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231">
        <v>0</v>
      </c>
      <c r="U8" s="231">
        <v>0</v>
      </c>
      <c r="V8" s="231">
        <v>0</v>
      </c>
      <c r="W8" s="231">
        <v>0</v>
      </c>
      <c r="X8" s="231">
        <v>0</v>
      </c>
      <c r="Y8" s="231">
        <v>0</v>
      </c>
      <c r="Z8" s="231">
        <v>0</v>
      </c>
      <c r="AA8" s="231">
        <v>0</v>
      </c>
      <c r="AB8" s="231">
        <v>0</v>
      </c>
      <c r="AC8" s="231">
        <v>0</v>
      </c>
      <c r="AD8" s="231">
        <v>0</v>
      </c>
      <c r="AE8" s="231">
        <v>0</v>
      </c>
      <c r="AF8" s="231">
        <v>0</v>
      </c>
      <c r="AG8" s="231">
        <v>0</v>
      </c>
      <c r="AH8" s="231">
        <v>0</v>
      </c>
      <c r="AI8" s="231">
        <v>0</v>
      </c>
      <c r="AJ8" s="231">
        <v>0</v>
      </c>
      <c r="AK8" s="231">
        <v>0</v>
      </c>
      <c r="AL8" s="231">
        <v>0</v>
      </c>
      <c r="AM8" s="231">
        <v>0</v>
      </c>
      <c r="AN8" s="231">
        <v>0</v>
      </c>
    </row>
    <row r="9" spans="1:40" x14ac:dyDescent="0.3">
      <c r="A9" s="231" t="s">
        <v>197</v>
      </c>
      <c r="B9" s="256">
        <v>6</v>
      </c>
      <c r="C9" s="231">
        <v>28</v>
      </c>
      <c r="D9" s="231">
        <v>1</v>
      </c>
      <c r="E9" s="231">
        <v>10</v>
      </c>
      <c r="F9" s="231">
        <v>6800</v>
      </c>
      <c r="G9" s="231">
        <v>0</v>
      </c>
      <c r="H9" s="231">
        <v>800</v>
      </c>
      <c r="I9" s="231">
        <v>0</v>
      </c>
      <c r="J9" s="231">
        <v>0</v>
      </c>
      <c r="K9" s="231">
        <v>6000</v>
      </c>
      <c r="L9" s="231">
        <v>0</v>
      </c>
      <c r="M9" s="231">
        <v>0</v>
      </c>
      <c r="N9" s="231">
        <v>0</v>
      </c>
      <c r="O9" s="231">
        <v>0</v>
      </c>
      <c r="P9" s="231">
        <v>0</v>
      </c>
      <c r="Q9" s="231">
        <v>0</v>
      </c>
      <c r="R9" s="231">
        <v>0</v>
      </c>
      <c r="S9" s="231">
        <v>0</v>
      </c>
      <c r="T9" s="231">
        <v>0</v>
      </c>
      <c r="U9" s="231">
        <v>0</v>
      </c>
      <c r="V9" s="231">
        <v>0</v>
      </c>
      <c r="W9" s="231">
        <v>0</v>
      </c>
      <c r="X9" s="231">
        <v>0</v>
      </c>
      <c r="Y9" s="231">
        <v>0</v>
      </c>
      <c r="Z9" s="231">
        <v>0</v>
      </c>
      <c r="AA9" s="231">
        <v>0</v>
      </c>
      <c r="AB9" s="231">
        <v>0</v>
      </c>
      <c r="AC9" s="231">
        <v>0</v>
      </c>
      <c r="AD9" s="231">
        <v>0</v>
      </c>
      <c r="AE9" s="231">
        <v>0</v>
      </c>
      <c r="AF9" s="231">
        <v>0</v>
      </c>
      <c r="AG9" s="231">
        <v>0</v>
      </c>
      <c r="AH9" s="231">
        <v>0</v>
      </c>
      <c r="AI9" s="231">
        <v>0</v>
      </c>
      <c r="AJ9" s="231">
        <v>0</v>
      </c>
      <c r="AK9" s="231">
        <v>0</v>
      </c>
      <c r="AL9" s="231">
        <v>0</v>
      </c>
      <c r="AM9" s="231">
        <v>0</v>
      </c>
      <c r="AN9" s="231">
        <v>0</v>
      </c>
    </row>
    <row r="10" spans="1:40" x14ac:dyDescent="0.3">
      <c r="A10" s="231" t="s">
        <v>198</v>
      </c>
      <c r="B10" s="256">
        <v>7</v>
      </c>
      <c r="C10" s="231">
        <v>28</v>
      </c>
      <c r="D10" s="231">
        <v>1</v>
      </c>
      <c r="E10" s="231">
        <v>11</v>
      </c>
      <c r="F10" s="231">
        <v>5883.25</v>
      </c>
      <c r="G10" s="231">
        <v>0</v>
      </c>
      <c r="H10" s="231">
        <v>1799.9166666666667</v>
      </c>
      <c r="I10" s="231">
        <v>0</v>
      </c>
      <c r="J10" s="231">
        <v>0</v>
      </c>
      <c r="K10" s="231">
        <v>4083.3333333333335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  <c r="AC10" s="231">
        <v>0</v>
      </c>
      <c r="AD10" s="231">
        <v>0</v>
      </c>
      <c r="AE10" s="231">
        <v>0</v>
      </c>
      <c r="AF10" s="231">
        <v>0</v>
      </c>
      <c r="AG10" s="231">
        <v>0</v>
      </c>
      <c r="AH10" s="231">
        <v>0</v>
      </c>
      <c r="AI10" s="231">
        <v>0</v>
      </c>
      <c r="AJ10" s="231">
        <v>0</v>
      </c>
      <c r="AK10" s="231">
        <v>0</v>
      </c>
      <c r="AL10" s="231">
        <v>0</v>
      </c>
      <c r="AM10" s="231">
        <v>0</v>
      </c>
      <c r="AN10" s="231">
        <v>0</v>
      </c>
    </row>
    <row r="11" spans="1:40" x14ac:dyDescent="0.3">
      <c r="A11" s="231" t="s">
        <v>199</v>
      </c>
      <c r="B11" s="256">
        <v>8</v>
      </c>
      <c r="C11" s="231">
        <v>28</v>
      </c>
      <c r="D11" s="231">
        <v>2</v>
      </c>
      <c r="E11" s="231">
        <v>1</v>
      </c>
      <c r="F11" s="231">
        <v>27.4</v>
      </c>
      <c r="G11" s="231">
        <v>0</v>
      </c>
      <c r="H11" s="231">
        <v>5.5</v>
      </c>
      <c r="I11" s="231">
        <v>0</v>
      </c>
      <c r="J11" s="231">
        <v>0</v>
      </c>
      <c r="K11" s="231">
        <v>3</v>
      </c>
      <c r="L11" s="231">
        <v>1</v>
      </c>
      <c r="M11" s="231">
        <v>0</v>
      </c>
      <c r="N11" s="231">
        <v>7.5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7.6</v>
      </c>
      <c r="AA11" s="231">
        <v>0</v>
      </c>
      <c r="AB11" s="231">
        <v>0</v>
      </c>
      <c r="AC11" s="231">
        <v>0</v>
      </c>
      <c r="AD11" s="231">
        <v>0</v>
      </c>
      <c r="AE11" s="231">
        <v>0</v>
      </c>
      <c r="AF11" s="231">
        <v>0</v>
      </c>
      <c r="AG11" s="231">
        <v>0</v>
      </c>
      <c r="AH11" s="231">
        <v>1</v>
      </c>
      <c r="AI11" s="231">
        <v>0</v>
      </c>
      <c r="AJ11" s="231">
        <v>0</v>
      </c>
      <c r="AK11" s="231">
        <v>0</v>
      </c>
      <c r="AL11" s="231">
        <v>0</v>
      </c>
      <c r="AM11" s="231">
        <v>1.8</v>
      </c>
      <c r="AN11" s="231">
        <v>0</v>
      </c>
    </row>
    <row r="12" spans="1:40" x14ac:dyDescent="0.3">
      <c r="A12" s="231" t="s">
        <v>200</v>
      </c>
      <c r="B12" s="256">
        <v>9</v>
      </c>
      <c r="C12" s="231">
        <v>28</v>
      </c>
      <c r="D12" s="231">
        <v>2</v>
      </c>
      <c r="E12" s="231">
        <v>2</v>
      </c>
      <c r="F12" s="231">
        <v>3856</v>
      </c>
      <c r="G12" s="231">
        <v>0</v>
      </c>
      <c r="H12" s="231">
        <v>760</v>
      </c>
      <c r="I12" s="231">
        <v>0</v>
      </c>
      <c r="J12" s="231">
        <v>0</v>
      </c>
      <c r="K12" s="231">
        <v>392</v>
      </c>
      <c r="L12" s="231">
        <v>160</v>
      </c>
      <c r="M12" s="231">
        <v>0</v>
      </c>
      <c r="N12" s="231">
        <v>1040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1072</v>
      </c>
      <c r="AA12" s="231">
        <v>0</v>
      </c>
      <c r="AB12" s="231">
        <v>0</v>
      </c>
      <c r="AC12" s="231">
        <v>0</v>
      </c>
      <c r="AD12" s="231">
        <v>0</v>
      </c>
      <c r="AE12" s="231">
        <v>0</v>
      </c>
      <c r="AF12" s="231">
        <v>0</v>
      </c>
      <c r="AG12" s="231">
        <v>0</v>
      </c>
      <c r="AH12" s="231">
        <v>152</v>
      </c>
      <c r="AI12" s="231">
        <v>0</v>
      </c>
      <c r="AJ12" s="231">
        <v>0</v>
      </c>
      <c r="AK12" s="231">
        <v>0</v>
      </c>
      <c r="AL12" s="231">
        <v>0</v>
      </c>
      <c r="AM12" s="231">
        <v>280</v>
      </c>
      <c r="AN12" s="231">
        <v>0</v>
      </c>
    </row>
    <row r="13" spans="1:40" x14ac:dyDescent="0.3">
      <c r="A13" s="231" t="s">
        <v>201</v>
      </c>
      <c r="B13" s="256">
        <v>10</v>
      </c>
      <c r="C13" s="231">
        <v>28</v>
      </c>
      <c r="D13" s="231">
        <v>2</v>
      </c>
      <c r="E13" s="231">
        <v>6</v>
      </c>
      <c r="F13" s="231">
        <v>851607</v>
      </c>
      <c r="G13" s="231">
        <v>0</v>
      </c>
      <c r="H13" s="231">
        <v>303084</v>
      </c>
      <c r="I13" s="231">
        <v>0</v>
      </c>
      <c r="J13" s="231">
        <v>0</v>
      </c>
      <c r="K13" s="231">
        <v>92548</v>
      </c>
      <c r="L13" s="231">
        <v>22480</v>
      </c>
      <c r="M13" s="231">
        <v>0</v>
      </c>
      <c r="N13" s="231">
        <v>152872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228922</v>
      </c>
      <c r="AA13" s="231">
        <v>0</v>
      </c>
      <c r="AB13" s="231">
        <v>0</v>
      </c>
      <c r="AC13" s="231">
        <v>0</v>
      </c>
      <c r="AD13" s="231">
        <v>0</v>
      </c>
      <c r="AE13" s="231">
        <v>0</v>
      </c>
      <c r="AF13" s="231">
        <v>0</v>
      </c>
      <c r="AG13" s="231">
        <v>0</v>
      </c>
      <c r="AH13" s="231">
        <v>14878</v>
      </c>
      <c r="AI13" s="231">
        <v>0</v>
      </c>
      <c r="AJ13" s="231">
        <v>0</v>
      </c>
      <c r="AK13" s="231">
        <v>0</v>
      </c>
      <c r="AL13" s="231">
        <v>0</v>
      </c>
      <c r="AM13" s="231">
        <v>36823</v>
      </c>
      <c r="AN13" s="231">
        <v>0</v>
      </c>
    </row>
    <row r="14" spans="1:40" x14ac:dyDescent="0.3">
      <c r="A14" s="231" t="s">
        <v>202</v>
      </c>
      <c r="B14" s="256">
        <v>11</v>
      </c>
      <c r="C14" s="231">
        <v>28</v>
      </c>
      <c r="D14" s="231">
        <v>2</v>
      </c>
      <c r="E14" s="231">
        <v>9</v>
      </c>
      <c r="F14" s="231">
        <v>5200</v>
      </c>
      <c r="G14" s="231">
        <v>0</v>
      </c>
      <c r="H14" s="231">
        <v>5200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  <c r="AC14" s="231">
        <v>0</v>
      </c>
      <c r="AD14" s="231">
        <v>0</v>
      </c>
      <c r="AE14" s="231">
        <v>0</v>
      </c>
      <c r="AF14" s="231">
        <v>0</v>
      </c>
      <c r="AG14" s="231">
        <v>0</v>
      </c>
      <c r="AH14" s="231">
        <v>0</v>
      </c>
      <c r="AI14" s="231">
        <v>0</v>
      </c>
      <c r="AJ14" s="231">
        <v>0</v>
      </c>
      <c r="AK14" s="231">
        <v>0</v>
      </c>
      <c r="AL14" s="231">
        <v>0</v>
      </c>
      <c r="AM14" s="231">
        <v>0</v>
      </c>
      <c r="AN14" s="231">
        <v>0</v>
      </c>
    </row>
    <row r="15" spans="1:40" x14ac:dyDescent="0.3">
      <c r="A15" s="231" t="s">
        <v>203</v>
      </c>
      <c r="B15" s="256">
        <v>12</v>
      </c>
      <c r="C15" s="231">
        <v>28</v>
      </c>
      <c r="D15" s="231">
        <v>2</v>
      </c>
      <c r="E15" s="231">
        <v>10</v>
      </c>
      <c r="F15" s="231">
        <v>2105</v>
      </c>
      <c r="G15" s="231">
        <v>0</v>
      </c>
      <c r="H15" s="231">
        <v>1500</v>
      </c>
      <c r="I15" s="231">
        <v>0</v>
      </c>
      <c r="J15" s="231">
        <v>0</v>
      </c>
      <c r="K15" s="231">
        <v>605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  <c r="AC15" s="231">
        <v>0</v>
      </c>
      <c r="AD15" s="231">
        <v>0</v>
      </c>
      <c r="AE15" s="231">
        <v>0</v>
      </c>
      <c r="AF15" s="231">
        <v>0</v>
      </c>
      <c r="AG15" s="231">
        <v>0</v>
      </c>
      <c r="AH15" s="231">
        <v>0</v>
      </c>
      <c r="AI15" s="231">
        <v>0</v>
      </c>
      <c r="AJ15" s="231">
        <v>0</v>
      </c>
      <c r="AK15" s="231">
        <v>0</v>
      </c>
      <c r="AL15" s="231">
        <v>0</v>
      </c>
      <c r="AM15" s="231">
        <v>0</v>
      </c>
      <c r="AN15" s="231">
        <v>0</v>
      </c>
    </row>
    <row r="16" spans="1:40" x14ac:dyDescent="0.3">
      <c r="A16" s="231" t="s">
        <v>191</v>
      </c>
      <c r="B16" s="256">
        <v>2014</v>
      </c>
      <c r="C16" s="231">
        <v>28</v>
      </c>
      <c r="D16" s="231">
        <v>2</v>
      </c>
      <c r="E16" s="231">
        <v>11</v>
      </c>
      <c r="F16" s="231">
        <v>5883.25</v>
      </c>
      <c r="G16" s="231">
        <v>0</v>
      </c>
      <c r="H16" s="231">
        <v>1799.9166666666667</v>
      </c>
      <c r="I16" s="231">
        <v>0</v>
      </c>
      <c r="J16" s="231">
        <v>0</v>
      </c>
      <c r="K16" s="231">
        <v>4083.3333333333335</v>
      </c>
      <c r="L16" s="231">
        <v>0</v>
      </c>
      <c r="M16" s="231">
        <v>0</v>
      </c>
      <c r="N16" s="231">
        <v>0</v>
      </c>
      <c r="O16" s="231">
        <v>0</v>
      </c>
      <c r="P16" s="231">
        <v>0</v>
      </c>
      <c r="Q16" s="231">
        <v>0</v>
      </c>
      <c r="R16" s="231">
        <v>0</v>
      </c>
      <c r="S16" s="231">
        <v>0</v>
      </c>
      <c r="T16" s="231">
        <v>0</v>
      </c>
      <c r="U16" s="231">
        <v>0</v>
      </c>
      <c r="V16" s="231">
        <v>0</v>
      </c>
      <c r="W16" s="231">
        <v>0</v>
      </c>
      <c r="X16" s="231">
        <v>0</v>
      </c>
      <c r="Y16" s="231">
        <v>0</v>
      </c>
      <c r="Z16" s="231">
        <v>0</v>
      </c>
      <c r="AA16" s="231">
        <v>0</v>
      </c>
      <c r="AB16" s="231">
        <v>0</v>
      </c>
      <c r="AC16" s="231">
        <v>0</v>
      </c>
      <c r="AD16" s="231">
        <v>0</v>
      </c>
      <c r="AE16" s="231">
        <v>0</v>
      </c>
      <c r="AF16" s="231">
        <v>0</v>
      </c>
      <c r="AG16" s="231">
        <v>0</v>
      </c>
      <c r="AH16" s="231">
        <v>0</v>
      </c>
      <c r="AI16" s="231">
        <v>0</v>
      </c>
      <c r="AJ16" s="231">
        <v>0</v>
      </c>
      <c r="AK16" s="231">
        <v>0</v>
      </c>
      <c r="AL16" s="231">
        <v>0</v>
      </c>
      <c r="AM16" s="231">
        <v>0</v>
      </c>
      <c r="AN16" s="231">
        <v>0</v>
      </c>
    </row>
    <row r="17" spans="3:40" x14ac:dyDescent="0.3">
      <c r="C17" s="231">
        <v>28</v>
      </c>
      <c r="D17" s="231">
        <v>3</v>
      </c>
      <c r="E17" s="231">
        <v>1</v>
      </c>
      <c r="F17" s="231">
        <v>27.4</v>
      </c>
      <c r="G17" s="231">
        <v>0</v>
      </c>
      <c r="H17" s="231">
        <v>5.5</v>
      </c>
      <c r="I17" s="231">
        <v>0</v>
      </c>
      <c r="J17" s="231">
        <v>0</v>
      </c>
      <c r="K17" s="231">
        <v>3</v>
      </c>
      <c r="L17" s="231">
        <v>1</v>
      </c>
      <c r="M17" s="231">
        <v>0</v>
      </c>
      <c r="N17" s="231">
        <v>7.5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7.6</v>
      </c>
      <c r="AA17" s="231">
        <v>0</v>
      </c>
      <c r="AB17" s="231">
        <v>0</v>
      </c>
      <c r="AC17" s="231">
        <v>0</v>
      </c>
      <c r="AD17" s="231">
        <v>0</v>
      </c>
      <c r="AE17" s="231">
        <v>0</v>
      </c>
      <c r="AF17" s="231">
        <v>0</v>
      </c>
      <c r="AG17" s="231">
        <v>0</v>
      </c>
      <c r="AH17" s="231">
        <v>1</v>
      </c>
      <c r="AI17" s="231">
        <v>0</v>
      </c>
      <c r="AJ17" s="231">
        <v>0</v>
      </c>
      <c r="AK17" s="231">
        <v>0</v>
      </c>
      <c r="AL17" s="231">
        <v>0</v>
      </c>
      <c r="AM17" s="231">
        <v>1.8</v>
      </c>
      <c r="AN17" s="231">
        <v>0</v>
      </c>
    </row>
    <row r="18" spans="3:40" x14ac:dyDescent="0.3">
      <c r="C18" s="231">
        <v>28</v>
      </c>
      <c r="D18" s="231">
        <v>3</v>
      </c>
      <c r="E18" s="231">
        <v>2</v>
      </c>
      <c r="F18" s="231">
        <v>4295.2</v>
      </c>
      <c r="G18" s="231">
        <v>0</v>
      </c>
      <c r="H18" s="231">
        <v>816</v>
      </c>
      <c r="I18" s="231">
        <v>0</v>
      </c>
      <c r="J18" s="231">
        <v>0</v>
      </c>
      <c r="K18" s="231">
        <v>456</v>
      </c>
      <c r="L18" s="231">
        <v>128</v>
      </c>
      <c r="M18" s="231">
        <v>0</v>
      </c>
      <c r="N18" s="231">
        <v>1180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1276.8</v>
      </c>
      <c r="AA18" s="231">
        <v>0</v>
      </c>
      <c r="AB18" s="231">
        <v>0</v>
      </c>
      <c r="AC18" s="231">
        <v>0</v>
      </c>
      <c r="AD18" s="231">
        <v>0</v>
      </c>
      <c r="AE18" s="231">
        <v>0</v>
      </c>
      <c r="AF18" s="231">
        <v>0</v>
      </c>
      <c r="AG18" s="231">
        <v>0</v>
      </c>
      <c r="AH18" s="231">
        <v>152</v>
      </c>
      <c r="AI18" s="231">
        <v>0</v>
      </c>
      <c r="AJ18" s="231">
        <v>0</v>
      </c>
      <c r="AK18" s="231">
        <v>0</v>
      </c>
      <c r="AL18" s="231">
        <v>0</v>
      </c>
      <c r="AM18" s="231">
        <v>286.39999999999998</v>
      </c>
      <c r="AN18" s="231">
        <v>0</v>
      </c>
    </row>
    <row r="19" spans="3:40" x14ac:dyDescent="0.3">
      <c r="C19" s="231">
        <v>28</v>
      </c>
      <c r="D19" s="231">
        <v>3</v>
      </c>
      <c r="E19" s="231">
        <v>6</v>
      </c>
      <c r="F19" s="231">
        <v>860326</v>
      </c>
      <c r="G19" s="231">
        <v>12400</v>
      </c>
      <c r="H19" s="231">
        <v>301224</v>
      </c>
      <c r="I19" s="231">
        <v>0</v>
      </c>
      <c r="J19" s="231">
        <v>0</v>
      </c>
      <c r="K19" s="231">
        <v>92411</v>
      </c>
      <c r="L19" s="231">
        <v>23118</v>
      </c>
      <c r="M19" s="231">
        <v>0</v>
      </c>
      <c r="N19" s="231">
        <v>156725</v>
      </c>
      <c r="O19" s="231">
        <v>0</v>
      </c>
      <c r="P19" s="231">
        <v>0</v>
      </c>
      <c r="Q19" s="231">
        <v>0</v>
      </c>
      <c r="R19" s="231">
        <v>0</v>
      </c>
      <c r="S19" s="231">
        <v>0</v>
      </c>
      <c r="T19" s="231">
        <v>0</v>
      </c>
      <c r="U19" s="231">
        <v>0</v>
      </c>
      <c r="V19" s="231">
        <v>0</v>
      </c>
      <c r="W19" s="231">
        <v>0</v>
      </c>
      <c r="X19" s="231">
        <v>0</v>
      </c>
      <c r="Y19" s="231">
        <v>0</v>
      </c>
      <c r="Z19" s="231">
        <v>222511</v>
      </c>
      <c r="AA19" s="231">
        <v>0</v>
      </c>
      <c r="AB19" s="231">
        <v>0</v>
      </c>
      <c r="AC19" s="231">
        <v>0</v>
      </c>
      <c r="AD19" s="231">
        <v>0</v>
      </c>
      <c r="AE19" s="231">
        <v>0</v>
      </c>
      <c r="AF19" s="231">
        <v>0</v>
      </c>
      <c r="AG19" s="231">
        <v>0</v>
      </c>
      <c r="AH19" s="231">
        <v>14976</v>
      </c>
      <c r="AI19" s="231">
        <v>0</v>
      </c>
      <c r="AJ19" s="231">
        <v>0</v>
      </c>
      <c r="AK19" s="231">
        <v>0</v>
      </c>
      <c r="AL19" s="231">
        <v>0</v>
      </c>
      <c r="AM19" s="231">
        <v>36961</v>
      </c>
      <c r="AN19" s="231">
        <v>0</v>
      </c>
    </row>
    <row r="20" spans="3:40" x14ac:dyDescent="0.3">
      <c r="C20" s="231">
        <v>28</v>
      </c>
      <c r="D20" s="231">
        <v>3</v>
      </c>
      <c r="E20" s="231">
        <v>9</v>
      </c>
      <c r="F20" s="231">
        <v>4347</v>
      </c>
      <c r="G20" s="231">
        <v>0</v>
      </c>
      <c r="H20" s="231">
        <v>4347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0</v>
      </c>
      <c r="O20" s="231">
        <v>0</v>
      </c>
      <c r="P20" s="231">
        <v>0</v>
      </c>
      <c r="Q20" s="231">
        <v>0</v>
      </c>
      <c r="R20" s="231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1">
        <v>0</v>
      </c>
      <c r="Y20" s="231">
        <v>0</v>
      </c>
      <c r="Z20" s="231">
        <v>0</v>
      </c>
      <c r="AA20" s="231">
        <v>0</v>
      </c>
      <c r="AB20" s="231">
        <v>0</v>
      </c>
      <c r="AC20" s="231">
        <v>0</v>
      </c>
      <c r="AD20" s="231">
        <v>0</v>
      </c>
      <c r="AE20" s="231">
        <v>0</v>
      </c>
      <c r="AF20" s="231">
        <v>0</v>
      </c>
      <c r="AG20" s="231">
        <v>0</v>
      </c>
      <c r="AH20" s="231">
        <v>0</v>
      </c>
      <c r="AI20" s="231">
        <v>0</v>
      </c>
      <c r="AJ20" s="231">
        <v>0</v>
      </c>
      <c r="AK20" s="231">
        <v>0</v>
      </c>
      <c r="AL20" s="231">
        <v>0</v>
      </c>
      <c r="AM20" s="231">
        <v>0</v>
      </c>
      <c r="AN20" s="231">
        <v>0</v>
      </c>
    </row>
    <row r="21" spans="3:40" x14ac:dyDescent="0.3">
      <c r="C21" s="231">
        <v>28</v>
      </c>
      <c r="D21" s="231">
        <v>3</v>
      </c>
      <c r="E21" s="231">
        <v>10</v>
      </c>
      <c r="F21" s="231">
        <v>11365</v>
      </c>
      <c r="G21" s="231">
        <v>0</v>
      </c>
      <c r="H21" s="231">
        <v>0</v>
      </c>
      <c r="I21" s="231">
        <v>0</v>
      </c>
      <c r="J21" s="231">
        <v>0</v>
      </c>
      <c r="K21" s="231">
        <v>11365</v>
      </c>
      <c r="L21" s="231">
        <v>0</v>
      </c>
      <c r="M21" s="231">
        <v>0</v>
      </c>
      <c r="N21" s="231">
        <v>0</v>
      </c>
      <c r="O21" s="231">
        <v>0</v>
      </c>
      <c r="P21" s="231">
        <v>0</v>
      </c>
      <c r="Q21" s="231">
        <v>0</v>
      </c>
      <c r="R21" s="231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1">
        <v>0</v>
      </c>
      <c r="Y21" s="231">
        <v>0</v>
      </c>
      <c r="Z21" s="231">
        <v>0</v>
      </c>
      <c r="AA21" s="231">
        <v>0</v>
      </c>
      <c r="AB21" s="231">
        <v>0</v>
      </c>
      <c r="AC21" s="231">
        <v>0</v>
      </c>
      <c r="AD21" s="231">
        <v>0</v>
      </c>
      <c r="AE21" s="231">
        <v>0</v>
      </c>
      <c r="AF21" s="231">
        <v>0</v>
      </c>
      <c r="AG21" s="231">
        <v>0</v>
      </c>
      <c r="AH21" s="231">
        <v>0</v>
      </c>
      <c r="AI21" s="231">
        <v>0</v>
      </c>
      <c r="AJ21" s="231">
        <v>0</v>
      </c>
      <c r="AK21" s="231">
        <v>0</v>
      </c>
      <c r="AL21" s="231">
        <v>0</v>
      </c>
      <c r="AM21" s="231">
        <v>0</v>
      </c>
      <c r="AN21" s="231">
        <v>0</v>
      </c>
    </row>
    <row r="22" spans="3:40" x14ac:dyDescent="0.3">
      <c r="C22" s="231">
        <v>28</v>
      </c>
      <c r="D22" s="231">
        <v>3</v>
      </c>
      <c r="E22" s="231">
        <v>11</v>
      </c>
      <c r="F22" s="231">
        <v>5883.25</v>
      </c>
      <c r="G22" s="231">
        <v>0</v>
      </c>
      <c r="H22" s="231">
        <v>1799.9166666666667</v>
      </c>
      <c r="I22" s="231">
        <v>0</v>
      </c>
      <c r="J22" s="231">
        <v>0</v>
      </c>
      <c r="K22" s="231">
        <v>4083.3333333333335</v>
      </c>
      <c r="L22" s="231">
        <v>0</v>
      </c>
      <c r="M22" s="231">
        <v>0</v>
      </c>
      <c r="N22" s="231">
        <v>0</v>
      </c>
      <c r="O22" s="231">
        <v>0</v>
      </c>
      <c r="P22" s="231">
        <v>0</v>
      </c>
      <c r="Q22" s="231">
        <v>0</v>
      </c>
      <c r="R22" s="231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1">
        <v>0</v>
      </c>
      <c r="Y22" s="231">
        <v>0</v>
      </c>
      <c r="Z22" s="231">
        <v>0</v>
      </c>
      <c r="AA22" s="231">
        <v>0</v>
      </c>
      <c r="AB22" s="231">
        <v>0</v>
      </c>
      <c r="AC22" s="231">
        <v>0</v>
      </c>
      <c r="AD22" s="231">
        <v>0</v>
      </c>
      <c r="AE22" s="231">
        <v>0</v>
      </c>
      <c r="AF22" s="231">
        <v>0</v>
      </c>
      <c r="AG22" s="231">
        <v>0</v>
      </c>
      <c r="AH22" s="231">
        <v>0</v>
      </c>
      <c r="AI22" s="231">
        <v>0</v>
      </c>
      <c r="AJ22" s="231">
        <v>0</v>
      </c>
      <c r="AK22" s="231">
        <v>0</v>
      </c>
      <c r="AL22" s="231">
        <v>0</v>
      </c>
      <c r="AM22" s="231">
        <v>0</v>
      </c>
      <c r="AN22" s="231">
        <v>0</v>
      </c>
    </row>
    <row r="23" spans="3:40" x14ac:dyDescent="0.3">
      <c r="C23" s="231">
        <v>28</v>
      </c>
      <c r="D23" s="231">
        <v>4</v>
      </c>
      <c r="E23" s="231">
        <v>1</v>
      </c>
      <c r="F23" s="231">
        <v>27.4</v>
      </c>
      <c r="G23" s="231">
        <v>0</v>
      </c>
      <c r="H23" s="231">
        <v>5.5</v>
      </c>
      <c r="I23" s="231">
        <v>0</v>
      </c>
      <c r="J23" s="231">
        <v>0</v>
      </c>
      <c r="K23" s="231">
        <v>3</v>
      </c>
      <c r="L23" s="231">
        <v>1</v>
      </c>
      <c r="M23" s="231">
        <v>0</v>
      </c>
      <c r="N23" s="231">
        <v>6.5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8.6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1</v>
      </c>
      <c r="AI23" s="231">
        <v>0</v>
      </c>
      <c r="AJ23" s="231">
        <v>0</v>
      </c>
      <c r="AK23" s="231">
        <v>0</v>
      </c>
      <c r="AL23" s="231">
        <v>0</v>
      </c>
      <c r="AM23" s="231">
        <v>1.8</v>
      </c>
      <c r="AN23" s="231">
        <v>0</v>
      </c>
    </row>
    <row r="24" spans="3:40" x14ac:dyDescent="0.3">
      <c r="C24" s="231">
        <v>28</v>
      </c>
      <c r="D24" s="231">
        <v>4</v>
      </c>
      <c r="E24" s="231">
        <v>2</v>
      </c>
      <c r="F24" s="231">
        <v>4484</v>
      </c>
      <c r="G24" s="231">
        <v>0</v>
      </c>
      <c r="H24" s="231">
        <v>920</v>
      </c>
      <c r="I24" s="231">
        <v>0</v>
      </c>
      <c r="J24" s="231">
        <v>0</v>
      </c>
      <c r="K24" s="231">
        <v>480</v>
      </c>
      <c r="L24" s="231">
        <v>176</v>
      </c>
      <c r="M24" s="231">
        <v>0</v>
      </c>
      <c r="N24" s="231">
        <v>1020</v>
      </c>
      <c r="O24" s="231">
        <v>0</v>
      </c>
      <c r="P24" s="231">
        <v>0</v>
      </c>
      <c r="Q24" s="231">
        <v>0</v>
      </c>
      <c r="R24" s="231">
        <v>0</v>
      </c>
      <c r="S24" s="231">
        <v>0</v>
      </c>
      <c r="T24" s="231">
        <v>0</v>
      </c>
      <c r="U24" s="231">
        <v>0</v>
      </c>
      <c r="V24" s="231">
        <v>0</v>
      </c>
      <c r="W24" s="231">
        <v>0</v>
      </c>
      <c r="X24" s="231">
        <v>0</v>
      </c>
      <c r="Y24" s="231">
        <v>0</v>
      </c>
      <c r="Z24" s="231">
        <v>1409.6</v>
      </c>
      <c r="AA24" s="231">
        <v>0</v>
      </c>
      <c r="AB24" s="231">
        <v>0</v>
      </c>
      <c r="AC24" s="231">
        <v>0</v>
      </c>
      <c r="AD24" s="231">
        <v>0</v>
      </c>
      <c r="AE24" s="231">
        <v>0</v>
      </c>
      <c r="AF24" s="231">
        <v>0</v>
      </c>
      <c r="AG24" s="231">
        <v>0</v>
      </c>
      <c r="AH24" s="231">
        <v>176</v>
      </c>
      <c r="AI24" s="231">
        <v>0</v>
      </c>
      <c r="AJ24" s="231">
        <v>0</v>
      </c>
      <c r="AK24" s="231">
        <v>0</v>
      </c>
      <c r="AL24" s="231">
        <v>0</v>
      </c>
      <c r="AM24" s="231">
        <v>302.39999999999998</v>
      </c>
      <c r="AN24" s="231">
        <v>0</v>
      </c>
    </row>
    <row r="25" spans="3:40" x14ac:dyDescent="0.3">
      <c r="C25" s="231">
        <v>28</v>
      </c>
      <c r="D25" s="231">
        <v>4</v>
      </c>
      <c r="E25" s="231">
        <v>6</v>
      </c>
      <c r="F25" s="231">
        <v>852553</v>
      </c>
      <c r="G25" s="231">
        <v>0</v>
      </c>
      <c r="H25" s="231">
        <v>298915</v>
      </c>
      <c r="I25" s="231">
        <v>0</v>
      </c>
      <c r="J25" s="231">
        <v>0</v>
      </c>
      <c r="K25" s="231">
        <v>92691</v>
      </c>
      <c r="L25" s="231">
        <v>22480</v>
      </c>
      <c r="M25" s="231">
        <v>0</v>
      </c>
      <c r="N25" s="231">
        <v>141858</v>
      </c>
      <c r="O25" s="231">
        <v>0</v>
      </c>
      <c r="P25" s="231">
        <v>0</v>
      </c>
      <c r="Q25" s="231">
        <v>0</v>
      </c>
      <c r="R25" s="231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1">
        <v>0</v>
      </c>
      <c r="Y25" s="231">
        <v>0</v>
      </c>
      <c r="Z25" s="231">
        <v>244767</v>
      </c>
      <c r="AA25" s="231">
        <v>0</v>
      </c>
      <c r="AB25" s="231">
        <v>0</v>
      </c>
      <c r="AC25" s="231">
        <v>0</v>
      </c>
      <c r="AD25" s="231">
        <v>0</v>
      </c>
      <c r="AE25" s="231">
        <v>0</v>
      </c>
      <c r="AF25" s="231">
        <v>0</v>
      </c>
      <c r="AG25" s="231">
        <v>0</v>
      </c>
      <c r="AH25" s="231">
        <v>14850</v>
      </c>
      <c r="AI25" s="231">
        <v>0</v>
      </c>
      <c r="AJ25" s="231">
        <v>0</v>
      </c>
      <c r="AK25" s="231">
        <v>0</v>
      </c>
      <c r="AL25" s="231">
        <v>0</v>
      </c>
      <c r="AM25" s="231">
        <v>36992</v>
      </c>
      <c r="AN25" s="231">
        <v>0</v>
      </c>
    </row>
    <row r="26" spans="3:40" x14ac:dyDescent="0.3">
      <c r="C26" s="231">
        <v>28</v>
      </c>
      <c r="D26" s="231">
        <v>4</v>
      </c>
      <c r="E26" s="231">
        <v>10</v>
      </c>
      <c r="F26" s="231">
        <v>1800</v>
      </c>
      <c r="G26" s="231">
        <v>0</v>
      </c>
      <c r="H26" s="231">
        <v>1800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</row>
    <row r="27" spans="3:40" x14ac:dyDescent="0.3">
      <c r="C27" s="231">
        <v>28</v>
      </c>
      <c r="D27" s="231">
        <v>4</v>
      </c>
      <c r="E27" s="231">
        <v>11</v>
      </c>
      <c r="F27" s="231">
        <v>5883.25</v>
      </c>
      <c r="G27" s="231">
        <v>0</v>
      </c>
      <c r="H27" s="231">
        <v>1799.9166666666667</v>
      </c>
      <c r="I27" s="231">
        <v>0</v>
      </c>
      <c r="J27" s="231">
        <v>0</v>
      </c>
      <c r="K27" s="231">
        <v>4083.3333333333335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71" t="s">
        <v>871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1" t="s">
        <v>129</v>
      </c>
      <c r="B3" s="222">
        <f>SUBTOTAL(9,B6:B1048576)</f>
        <v>18154010</v>
      </c>
      <c r="C3" s="223">
        <f t="shared" ref="C3:R3" si="0">SUBTOTAL(9,C6:C1048576)</f>
        <v>4</v>
      </c>
      <c r="D3" s="223">
        <f t="shared" si="0"/>
        <v>18636216</v>
      </c>
      <c r="E3" s="223">
        <f t="shared" si="0"/>
        <v>3.772850915053966</v>
      </c>
      <c r="F3" s="223">
        <f t="shared" si="0"/>
        <v>19381664</v>
      </c>
      <c r="G3" s="224">
        <f>IF(B3&lt;&gt;0,F3/B3,"")</f>
        <v>1.0676243981357287</v>
      </c>
      <c r="H3" s="225">
        <f t="shared" si="0"/>
        <v>10685.34</v>
      </c>
      <c r="I3" s="223">
        <f t="shared" si="0"/>
        <v>2</v>
      </c>
      <c r="J3" s="223">
        <f t="shared" si="0"/>
        <v>18311.349999999999</v>
      </c>
      <c r="K3" s="223">
        <f t="shared" si="0"/>
        <v>5.1076622817349362</v>
      </c>
      <c r="L3" s="223">
        <f t="shared" si="0"/>
        <v>20640.75</v>
      </c>
      <c r="M3" s="226">
        <f>IF(H3&lt;&gt;0,L3/H3,"")</f>
        <v>1.9316886500569939</v>
      </c>
      <c r="N3" s="222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99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41"/>
      <c r="B5" s="542">
        <v>2012</v>
      </c>
      <c r="C5" s="543"/>
      <c r="D5" s="543">
        <v>2013</v>
      </c>
      <c r="E5" s="543"/>
      <c r="F5" s="543">
        <v>2014</v>
      </c>
      <c r="G5" s="544" t="s">
        <v>2</v>
      </c>
      <c r="H5" s="542">
        <v>2012</v>
      </c>
      <c r="I5" s="543"/>
      <c r="J5" s="543">
        <v>2013</v>
      </c>
      <c r="K5" s="543"/>
      <c r="L5" s="543">
        <v>2014</v>
      </c>
      <c r="M5" s="544" t="s">
        <v>2</v>
      </c>
      <c r="N5" s="542">
        <v>2012</v>
      </c>
      <c r="O5" s="543"/>
      <c r="P5" s="543">
        <v>2013</v>
      </c>
      <c r="Q5" s="543"/>
      <c r="R5" s="543">
        <v>2014</v>
      </c>
      <c r="S5" s="544" t="s">
        <v>2</v>
      </c>
    </row>
    <row r="6" spans="1:19" ht="14.4" customHeight="1" x14ac:dyDescent="0.3">
      <c r="A6" s="501" t="s">
        <v>864</v>
      </c>
      <c r="B6" s="545">
        <v>3230784</v>
      </c>
      <c r="C6" s="426">
        <v>1</v>
      </c>
      <c r="D6" s="545">
        <v>3240766</v>
      </c>
      <c r="E6" s="426">
        <v>1.0030896525425408</v>
      </c>
      <c r="F6" s="545">
        <v>2927668</v>
      </c>
      <c r="G6" s="455">
        <v>0.90617880984925026</v>
      </c>
      <c r="H6" s="545">
        <v>1136.74</v>
      </c>
      <c r="I6" s="426">
        <v>1</v>
      </c>
      <c r="J6" s="545">
        <v>4116.18</v>
      </c>
      <c r="K6" s="426">
        <v>3.6210391118461569</v>
      </c>
      <c r="L6" s="545">
        <v>12384.449999999999</v>
      </c>
      <c r="M6" s="455">
        <v>10.894707672818761</v>
      </c>
      <c r="N6" s="545"/>
      <c r="O6" s="426"/>
      <c r="P6" s="545"/>
      <c r="Q6" s="426"/>
      <c r="R6" s="545"/>
      <c r="S6" s="456"/>
    </row>
    <row r="7" spans="1:19" ht="14.4" customHeight="1" x14ac:dyDescent="0.3">
      <c r="A7" s="504" t="s">
        <v>865</v>
      </c>
      <c r="B7" s="546">
        <v>4970</v>
      </c>
      <c r="C7" s="508">
        <v>1</v>
      </c>
      <c r="D7" s="546">
        <v>3596</v>
      </c>
      <c r="E7" s="508">
        <v>0.72354124748490944</v>
      </c>
      <c r="F7" s="546">
        <v>3588</v>
      </c>
      <c r="G7" s="490">
        <v>0.72193158953722336</v>
      </c>
      <c r="H7" s="546"/>
      <c r="I7" s="508"/>
      <c r="J7" s="546"/>
      <c r="K7" s="508"/>
      <c r="L7" s="546"/>
      <c r="M7" s="490"/>
      <c r="N7" s="546"/>
      <c r="O7" s="508"/>
      <c r="P7" s="546"/>
      <c r="Q7" s="508"/>
      <c r="R7" s="546"/>
      <c r="S7" s="547"/>
    </row>
    <row r="8" spans="1:19" ht="14.4" customHeight="1" x14ac:dyDescent="0.3">
      <c r="A8" s="504" t="s">
        <v>866</v>
      </c>
      <c r="B8" s="546">
        <v>2064206</v>
      </c>
      <c r="C8" s="508">
        <v>1</v>
      </c>
      <c r="D8" s="546">
        <v>2087262</v>
      </c>
      <c r="E8" s="508">
        <v>1.011169427857491</v>
      </c>
      <c r="F8" s="546">
        <v>2067256</v>
      </c>
      <c r="G8" s="490">
        <v>1.0014775657080737</v>
      </c>
      <c r="H8" s="546">
        <v>9548.6</v>
      </c>
      <c r="I8" s="508">
        <v>1</v>
      </c>
      <c r="J8" s="546">
        <v>14195.169999999998</v>
      </c>
      <c r="K8" s="508">
        <v>1.4866231698887793</v>
      </c>
      <c r="L8" s="546">
        <v>8256.2999999999993</v>
      </c>
      <c r="M8" s="490">
        <v>0.86466078796891677</v>
      </c>
      <c r="N8" s="546"/>
      <c r="O8" s="508"/>
      <c r="P8" s="546"/>
      <c r="Q8" s="508"/>
      <c r="R8" s="546"/>
      <c r="S8" s="547"/>
    </row>
    <row r="9" spans="1:19" ht="14.4" customHeight="1" thickBot="1" x14ac:dyDescent="0.35">
      <c r="A9" s="549" t="s">
        <v>867</v>
      </c>
      <c r="B9" s="548">
        <v>12854050</v>
      </c>
      <c r="C9" s="477">
        <v>1</v>
      </c>
      <c r="D9" s="548">
        <v>13304592</v>
      </c>
      <c r="E9" s="477">
        <v>1.0350505871690245</v>
      </c>
      <c r="F9" s="548">
        <v>14383152</v>
      </c>
      <c r="G9" s="479">
        <v>1.1189587717489817</v>
      </c>
      <c r="H9" s="548"/>
      <c r="I9" s="477"/>
      <c r="J9" s="548"/>
      <c r="K9" s="477"/>
      <c r="L9" s="548"/>
      <c r="M9" s="479"/>
      <c r="N9" s="548"/>
      <c r="O9" s="477"/>
      <c r="P9" s="548"/>
      <c r="Q9" s="477"/>
      <c r="R9" s="548"/>
      <c r="S9" s="480"/>
    </row>
    <row r="10" spans="1:19" ht="14.4" customHeight="1" x14ac:dyDescent="0.3">
      <c r="A10" s="550" t="s">
        <v>868</v>
      </c>
    </row>
    <row r="11" spans="1:19" ht="14.4" customHeight="1" x14ac:dyDescent="0.3">
      <c r="A11" s="551" t="s">
        <v>869</v>
      </c>
    </row>
    <row r="12" spans="1:19" ht="14.4" customHeight="1" x14ac:dyDescent="0.3">
      <c r="A12" s="550" t="s">
        <v>870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9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0" bestFit="1" customWidth="1"/>
    <col min="2" max="2" width="2.109375" style="130" bestFit="1" customWidth="1"/>
    <col min="3" max="3" width="8" style="130" bestFit="1" customWidth="1"/>
    <col min="4" max="4" width="50.88671875" style="130" bestFit="1" customWidth="1"/>
    <col min="5" max="6" width="11.109375" style="208" customWidth="1"/>
    <col min="7" max="8" width="9.33203125" style="130" hidden="1" customWidth="1"/>
    <col min="9" max="10" width="11.109375" style="208" customWidth="1"/>
    <col min="11" max="12" width="9.33203125" style="130" hidden="1" customWidth="1"/>
    <col min="13" max="14" width="11.109375" style="208" customWidth="1"/>
    <col min="15" max="15" width="11.109375" style="211" customWidth="1"/>
    <col min="16" max="16" width="11.109375" style="208" customWidth="1"/>
    <col min="17" max="16384" width="8.88671875" style="130"/>
  </cols>
  <sheetData>
    <row r="1" spans="1:16" ht="18.600000000000001" customHeight="1" thickBot="1" x14ac:dyDescent="0.4">
      <c r="A1" s="305" t="s">
        <v>974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ht="14.4" customHeight="1" thickBot="1" x14ac:dyDescent="0.35">
      <c r="A2" s="235" t="s">
        <v>263</v>
      </c>
      <c r="B2" s="131"/>
      <c r="C2" s="131"/>
      <c r="D2" s="131"/>
      <c r="E2" s="229"/>
      <c r="F2" s="229"/>
      <c r="G2" s="131"/>
      <c r="H2" s="131"/>
      <c r="I2" s="229"/>
      <c r="J2" s="229"/>
      <c r="K2" s="131"/>
      <c r="L2" s="131"/>
      <c r="M2" s="229"/>
      <c r="N2" s="229"/>
      <c r="O2" s="230"/>
      <c r="P2" s="229"/>
    </row>
    <row r="3" spans="1:16" ht="14.4" customHeight="1" thickBot="1" x14ac:dyDescent="0.35">
      <c r="D3" s="87" t="s">
        <v>129</v>
      </c>
      <c r="E3" s="102">
        <f t="shared" ref="E3:N3" si="0">SUBTOTAL(9,E6:E1048576)</f>
        <v>16659</v>
      </c>
      <c r="F3" s="103">
        <f t="shared" si="0"/>
        <v>18164695.34</v>
      </c>
      <c r="G3" s="74"/>
      <c r="H3" s="74"/>
      <c r="I3" s="103">
        <f t="shared" si="0"/>
        <v>18315</v>
      </c>
      <c r="J3" s="103">
        <f t="shared" si="0"/>
        <v>18654527.350000001</v>
      </c>
      <c r="K3" s="74"/>
      <c r="L3" s="74"/>
      <c r="M3" s="103">
        <f t="shared" si="0"/>
        <v>18606</v>
      </c>
      <c r="N3" s="103">
        <f t="shared" si="0"/>
        <v>19402304.75</v>
      </c>
      <c r="O3" s="75">
        <f>IF(F3=0,0,N3/F3)</f>
        <v>1.0681326819324457</v>
      </c>
      <c r="P3" s="104">
        <f>IF(M3=0,0,N3/M3)</f>
        <v>1042.7982774373859</v>
      </c>
    </row>
    <row r="4" spans="1:16" ht="14.4" customHeight="1" x14ac:dyDescent="0.3">
      <c r="A4" s="377" t="s">
        <v>95</v>
      </c>
      <c r="B4" s="378" t="s">
        <v>96</v>
      </c>
      <c r="C4" s="379" t="s">
        <v>97</v>
      </c>
      <c r="D4" s="380" t="s">
        <v>70</v>
      </c>
      <c r="E4" s="381">
        <v>2012</v>
      </c>
      <c r="F4" s="382"/>
      <c r="G4" s="101"/>
      <c r="H4" s="101"/>
      <c r="I4" s="381">
        <v>2013</v>
      </c>
      <c r="J4" s="382"/>
      <c r="K4" s="101"/>
      <c r="L4" s="101"/>
      <c r="M4" s="381">
        <v>2014</v>
      </c>
      <c r="N4" s="382"/>
      <c r="O4" s="383" t="s">
        <v>2</v>
      </c>
      <c r="P4" s="376" t="s">
        <v>98</v>
      </c>
    </row>
    <row r="5" spans="1:16" ht="14.4" customHeight="1" thickBot="1" x14ac:dyDescent="0.35">
      <c r="A5" s="552"/>
      <c r="B5" s="553"/>
      <c r="C5" s="554"/>
      <c r="D5" s="555"/>
      <c r="E5" s="556" t="s">
        <v>72</v>
      </c>
      <c r="F5" s="557" t="s">
        <v>14</v>
      </c>
      <c r="G5" s="558"/>
      <c r="H5" s="558"/>
      <c r="I5" s="556" t="s">
        <v>72</v>
      </c>
      <c r="J5" s="557" t="s">
        <v>14</v>
      </c>
      <c r="K5" s="558"/>
      <c r="L5" s="558"/>
      <c r="M5" s="556" t="s">
        <v>72</v>
      </c>
      <c r="N5" s="557" t="s">
        <v>14</v>
      </c>
      <c r="O5" s="559"/>
      <c r="P5" s="560"/>
    </row>
    <row r="6" spans="1:16" ht="14.4" customHeight="1" x14ac:dyDescent="0.3">
      <c r="A6" s="425" t="s">
        <v>872</v>
      </c>
      <c r="B6" s="426" t="s">
        <v>873</v>
      </c>
      <c r="C6" s="426" t="s">
        <v>874</v>
      </c>
      <c r="D6" s="426" t="s">
        <v>875</v>
      </c>
      <c r="E6" s="429"/>
      <c r="F6" s="429"/>
      <c r="G6" s="426"/>
      <c r="H6" s="426"/>
      <c r="I6" s="429">
        <v>3</v>
      </c>
      <c r="J6" s="429">
        <v>4116.18</v>
      </c>
      <c r="K6" s="426"/>
      <c r="L6" s="426">
        <v>1372.0600000000002</v>
      </c>
      <c r="M6" s="429"/>
      <c r="N6" s="429"/>
      <c r="O6" s="455"/>
      <c r="P6" s="430"/>
    </row>
    <row r="7" spans="1:16" ht="14.4" customHeight="1" x14ac:dyDescent="0.3">
      <c r="A7" s="488" t="s">
        <v>872</v>
      </c>
      <c r="B7" s="508" t="s">
        <v>873</v>
      </c>
      <c r="C7" s="508" t="s">
        <v>876</v>
      </c>
      <c r="D7" s="508" t="s">
        <v>877</v>
      </c>
      <c r="E7" s="489">
        <v>2</v>
      </c>
      <c r="F7" s="489">
        <v>1136.74</v>
      </c>
      <c r="G7" s="508">
        <v>1</v>
      </c>
      <c r="H7" s="508">
        <v>568.37</v>
      </c>
      <c r="I7" s="489"/>
      <c r="J7" s="489"/>
      <c r="K7" s="508"/>
      <c r="L7" s="508"/>
      <c r="M7" s="489"/>
      <c r="N7" s="489"/>
      <c r="O7" s="490"/>
      <c r="P7" s="491"/>
    </row>
    <row r="8" spans="1:16" ht="14.4" customHeight="1" x14ac:dyDescent="0.3">
      <c r="A8" s="488" t="s">
        <v>872</v>
      </c>
      <c r="B8" s="508" t="s">
        <v>873</v>
      </c>
      <c r="C8" s="508" t="s">
        <v>878</v>
      </c>
      <c r="D8" s="508" t="s">
        <v>879</v>
      </c>
      <c r="E8" s="489"/>
      <c r="F8" s="489"/>
      <c r="G8" s="508"/>
      <c r="H8" s="508"/>
      <c r="I8" s="489"/>
      <c r="J8" s="489"/>
      <c r="K8" s="508"/>
      <c r="L8" s="508"/>
      <c r="M8" s="489">
        <v>9</v>
      </c>
      <c r="N8" s="489">
        <v>12384.449999999999</v>
      </c>
      <c r="O8" s="490"/>
      <c r="P8" s="491">
        <v>1376.05</v>
      </c>
    </row>
    <row r="9" spans="1:16" ht="14.4" customHeight="1" x14ac:dyDescent="0.3">
      <c r="A9" s="488" t="s">
        <v>872</v>
      </c>
      <c r="B9" s="508" t="s">
        <v>880</v>
      </c>
      <c r="C9" s="508" t="s">
        <v>881</v>
      </c>
      <c r="D9" s="508" t="s">
        <v>882</v>
      </c>
      <c r="E9" s="489">
        <v>6</v>
      </c>
      <c r="F9" s="489">
        <v>378</v>
      </c>
      <c r="G9" s="508">
        <v>1</v>
      </c>
      <c r="H9" s="508">
        <v>63</v>
      </c>
      <c r="I9" s="489">
        <v>22</v>
      </c>
      <c r="J9" s="489">
        <v>1386</v>
      </c>
      <c r="K9" s="508">
        <v>3.6666666666666665</v>
      </c>
      <c r="L9" s="508">
        <v>63</v>
      </c>
      <c r="M9" s="489">
        <v>40</v>
      </c>
      <c r="N9" s="489">
        <v>2535</v>
      </c>
      <c r="O9" s="490">
        <v>6.7063492063492065</v>
      </c>
      <c r="P9" s="491">
        <v>63.375</v>
      </c>
    </row>
    <row r="10" spans="1:16" ht="14.4" customHeight="1" x14ac:dyDescent="0.3">
      <c r="A10" s="488" t="s">
        <v>872</v>
      </c>
      <c r="B10" s="508" t="s">
        <v>880</v>
      </c>
      <c r="C10" s="508" t="s">
        <v>883</v>
      </c>
      <c r="D10" s="508" t="s">
        <v>884</v>
      </c>
      <c r="E10" s="489"/>
      <c r="F10" s="489"/>
      <c r="G10" s="508"/>
      <c r="H10" s="508"/>
      <c r="I10" s="489">
        <v>2</v>
      </c>
      <c r="J10" s="489">
        <v>412</v>
      </c>
      <c r="K10" s="508"/>
      <c r="L10" s="508">
        <v>206</v>
      </c>
      <c r="M10" s="489">
        <v>1</v>
      </c>
      <c r="N10" s="489">
        <v>206</v>
      </c>
      <c r="O10" s="490"/>
      <c r="P10" s="491">
        <v>206</v>
      </c>
    </row>
    <row r="11" spans="1:16" ht="14.4" customHeight="1" x14ac:dyDescent="0.3">
      <c r="A11" s="488" t="s">
        <v>872</v>
      </c>
      <c r="B11" s="508" t="s">
        <v>880</v>
      </c>
      <c r="C11" s="508" t="s">
        <v>885</v>
      </c>
      <c r="D11" s="508" t="s">
        <v>886</v>
      </c>
      <c r="E11" s="489">
        <v>3</v>
      </c>
      <c r="F11" s="489">
        <v>102</v>
      </c>
      <c r="G11" s="508">
        <v>1</v>
      </c>
      <c r="H11" s="508">
        <v>34</v>
      </c>
      <c r="I11" s="489">
        <v>1</v>
      </c>
      <c r="J11" s="489">
        <v>34</v>
      </c>
      <c r="K11" s="508">
        <v>0.33333333333333331</v>
      </c>
      <c r="L11" s="508">
        <v>34</v>
      </c>
      <c r="M11" s="489">
        <v>3</v>
      </c>
      <c r="N11" s="489">
        <v>102</v>
      </c>
      <c r="O11" s="490">
        <v>1</v>
      </c>
      <c r="P11" s="491">
        <v>34</v>
      </c>
    </row>
    <row r="12" spans="1:16" ht="14.4" customHeight="1" x14ac:dyDescent="0.3">
      <c r="A12" s="488" t="s">
        <v>872</v>
      </c>
      <c r="B12" s="508" t="s">
        <v>880</v>
      </c>
      <c r="C12" s="508" t="s">
        <v>887</v>
      </c>
      <c r="D12" s="508" t="s">
        <v>888</v>
      </c>
      <c r="E12" s="489">
        <v>293</v>
      </c>
      <c r="F12" s="489">
        <v>728105</v>
      </c>
      <c r="G12" s="508">
        <v>1</v>
      </c>
      <c r="H12" s="508">
        <v>2485</v>
      </c>
      <c r="I12" s="489">
        <v>382</v>
      </c>
      <c r="J12" s="489">
        <v>883566</v>
      </c>
      <c r="K12" s="508">
        <v>1.213514534304805</v>
      </c>
      <c r="L12" s="508">
        <v>2313</v>
      </c>
      <c r="M12" s="489">
        <v>285</v>
      </c>
      <c r="N12" s="489">
        <v>660469</v>
      </c>
      <c r="O12" s="490">
        <v>0.90710680465042814</v>
      </c>
      <c r="P12" s="491">
        <v>2317.4350877192983</v>
      </c>
    </row>
    <row r="13" spans="1:16" ht="14.4" customHeight="1" x14ac:dyDescent="0.3">
      <c r="A13" s="488" t="s">
        <v>872</v>
      </c>
      <c r="B13" s="508" t="s">
        <v>880</v>
      </c>
      <c r="C13" s="508" t="s">
        <v>889</v>
      </c>
      <c r="D13" s="508" t="s">
        <v>890</v>
      </c>
      <c r="E13" s="489">
        <v>2</v>
      </c>
      <c r="F13" s="489">
        <v>1734</v>
      </c>
      <c r="G13" s="508">
        <v>1</v>
      </c>
      <c r="H13" s="508">
        <v>867</v>
      </c>
      <c r="I13" s="489"/>
      <c r="J13" s="489"/>
      <c r="K13" s="508"/>
      <c r="L13" s="508"/>
      <c r="M13" s="489"/>
      <c r="N13" s="489"/>
      <c r="O13" s="490"/>
      <c r="P13" s="491"/>
    </row>
    <row r="14" spans="1:16" ht="14.4" customHeight="1" x14ac:dyDescent="0.3">
      <c r="A14" s="488" t="s">
        <v>872</v>
      </c>
      <c r="B14" s="508" t="s">
        <v>880</v>
      </c>
      <c r="C14" s="508" t="s">
        <v>891</v>
      </c>
      <c r="D14" s="508" t="s">
        <v>892</v>
      </c>
      <c r="E14" s="489">
        <v>1025</v>
      </c>
      <c r="F14" s="489">
        <v>325950</v>
      </c>
      <c r="G14" s="508">
        <v>1</v>
      </c>
      <c r="H14" s="508">
        <v>318</v>
      </c>
      <c r="I14" s="489">
        <v>1043</v>
      </c>
      <c r="J14" s="489">
        <v>332717</v>
      </c>
      <c r="K14" s="508">
        <v>1.0207608528915477</v>
      </c>
      <c r="L14" s="508">
        <v>319</v>
      </c>
      <c r="M14" s="489">
        <v>1050</v>
      </c>
      <c r="N14" s="489">
        <v>335655</v>
      </c>
      <c r="O14" s="490">
        <v>1.0297745052922227</v>
      </c>
      <c r="P14" s="491">
        <v>319.67142857142858</v>
      </c>
    </row>
    <row r="15" spans="1:16" ht="14.4" customHeight="1" x14ac:dyDescent="0.3">
      <c r="A15" s="488" t="s">
        <v>872</v>
      </c>
      <c r="B15" s="508" t="s">
        <v>880</v>
      </c>
      <c r="C15" s="508" t="s">
        <v>893</v>
      </c>
      <c r="D15" s="508" t="s">
        <v>894</v>
      </c>
      <c r="E15" s="489">
        <v>19</v>
      </c>
      <c r="F15" s="489">
        <v>0</v>
      </c>
      <c r="G15" s="508"/>
      <c r="H15" s="508">
        <v>0</v>
      </c>
      <c r="I15" s="489">
        <v>44</v>
      </c>
      <c r="J15" s="489">
        <v>0</v>
      </c>
      <c r="K15" s="508"/>
      <c r="L15" s="508">
        <v>0</v>
      </c>
      <c r="M15" s="489">
        <v>26</v>
      </c>
      <c r="N15" s="489">
        <v>0</v>
      </c>
      <c r="O15" s="490"/>
      <c r="P15" s="491">
        <v>0</v>
      </c>
    </row>
    <row r="16" spans="1:16" ht="14.4" customHeight="1" x14ac:dyDescent="0.3">
      <c r="A16" s="488" t="s">
        <v>872</v>
      </c>
      <c r="B16" s="508" t="s">
        <v>880</v>
      </c>
      <c r="C16" s="508" t="s">
        <v>895</v>
      </c>
      <c r="D16" s="508" t="s">
        <v>896</v>
      </c>
      <c r="E16" s="489">
        <v>2237</v>
      </c>
      <c r="F16" s="489">
        <v>722551</v>
      </c>
      <c r="G16" s="508">
        <v>1</v>
      </c>
      <c r="H16" s="508">
        <v>323</v>
      </c>
      <c r="I16" s="489">
        <v>2250</v>
      </c>
      <c r="J16" s="489">
        <v>726750</v>
      </c>
      <c r="K16" s="508">
        <v>1.0058113544926242</v>
      </c>
      <c r="L16" s="508">
        <v>323</v>
      </c>
      <c r="M16" s="489">
        <v>2439</v>
      </c>
      <c r="N16" s="489">
        <v>789588</v>
      </c>
      <c r="O16" s="490">
        <v>1.0927782260352557</v>
      </c>
      <c r="P16" s="491">
        <v>323.73431734317342</v>
      </c>
    </row>
    <row r="17" spans="1:16" ht="14.4" customHeight="1" x14ac:dyDescent="0.3">
      <c r="A17" s="488" t="s">
        <v>872</v>
      </c>
      <c r="B17" s="508" t="s">
        <v>880</v>
      </c>
      <c r="C17" s="508" t="s">
        <v>897</v>
      </c>
      <c r="D17" s="508" t="s">
        <v>898</v>
      </c>
      <c r="E17" s="489">
        <v>2482</v>
      </c>
      <c r="F17" s="489">
        <v>0</v>
      </c>
      <c r="G17" s="508"/>
      <c r="H17" s="508">
        <v>0</v>
      </c>
      <c r="I17" s="489">
        <v>2543</v>
      </c>
      <c r="J17" s="489">
        <v>0</v>
      </c>
      <c r="K17" s="508"/>
      <c r="L17" s="508">
        <v>0</v>
      </c>
      <c r="M17" s="489">
        <v>2580</v>
      </c>
      <c r="N17" s="489">
        <v>0</v>
      </c>
      <c r="O17" s="490"/>
      <c r="P17" s="491">
        <v>0</v>
      </c>
    </row>
    <row r="18" spans="1:16" ht="14.4" customHeight="1" x14ac:dyDescent="0.3">
      <c r="A18" s="488" t="s">
        <v>872</v>
      </c>
      <c r="B18" s="508" t="s">
        <v>880</v>
      </c>
      <c r="C18" s="508" t="s">
        <v>899</v>
      </c>
      <c r="D18" s="508" t="s">
        <v>900</v>
      </c>
      <c r="E18" s="489">
        <v>901</v>
      </c>
      <c r="F18" s="489">
        <v>1447006</v>
      </c>
      <c r="G18" s="508">
        <v>1</v>
      </c>
      <c r="H18" s="508">
        <v>1606</v>
      </c>
      <c r="I18" s="489">
        <v>883</v>
      </c>
      <c r="J18" s="489">
        <v>1267988</v>
      </c>
      <c r="K18" s="508">
        <v>0.87628385784163987</v>
      </c>
      <c r="L18" s="508">
        <v>1436</v>
      </c>
      <c r="M18" s="489">
        <v>748</v>
      </c>
      <c r="N18" s="489">
        <v>1075560</v>
      </c>
      <c r="O18" s="490">
        <v>0.74330030421435711</v>
      </c>
      <c r="P18" s="491">
        <v>1437.9144385026739</v>
      </c>
    </row>
    <row r="19" spans="1:16" ht="14.4" customHeight="1" x14ac:dyDescent="0.3">
      <c r="A19" s="488" t="s">
        <v>872</v>
      </c>
      <c r="B19" s="508" t="s">
        <v>880</v>
      </c>
      <c r="C19" s="508" t="s">
        <v>901</v>
      </c>
      <c r="D19" s="508" t="s">
        <v>902</v>
      </c>
      <c r="E19" s="489"/>
      <c r="F19" s="489"/>
      <c r="G19" s="508"/>
      <c r="H19" s="508"/>
      <c r="I19" s="489">
        <v>826</v>
      </c>
      <c r="J19" s="489">
        <v>0</v>
      </c>
      <c r="K19" s="508"/>
      <c r="L19" s="508">
        <v>0</v>
      </c>
      <c r="M19" s="489">
        <v>83</v>
      </c>
      <c r="N19" s="489">
        <v>8848</v>
      </c>
      <c r="O19" s="490"/>
      <c r="P19" s="491">
        <v>106.60240963855422</v>
      </c>
    </row>
    <row r="20" spans="1:16" ht="14.4" customHeight="1" x14ac:dyDescent="0.3">
      <c r="A20" s="488" t="s">
        <v>872</v>
      </c>
      <c r="B20" s="508" t="s">
        <v>880</v>
      </c>
      <c r="C20" s="508" t="s">
        <v>903</v>
      </c>
      <c r="D20" s="508" t="s">
        <v>904</v>
      </c>
      <c r="E20" s="489">
        <v>46</v>
      </c>
      <c r="F20" s="489">
        <v>1150</v>
      </c>
      <c r="G20" s="508">
        <v>1</v>
      </c>
      <c r="H20" s="508">
        <v>25</v>
      </c>
      <c r="I20" s="489">
        <v>733</v>
      </c>
      <c r="J20" s="489">
        <v>25655</v>
      </c>
      <c r="K20" s="508">
        <v>22.308695652173913</v>
      </c>
      <c r="L20" s="508">
        <v>35</v>
      </c>
      <c r="M20" s="489">
        <v>1467</v>
      </c>
      <c r="N20" s="489">
        <v>51685</v>
      </c>
      <c r="O20" s="490">
        <v>44.943478260869568</v>
      </c>
      <c r="P20" s="491">
        <v>35.231765507839128</v>
      </c>
    </row>
    <row r="21" spans="1:16" ht="14.4" customHeight="1" x14ac:dyDescent="0.3">
      <c r="A21" s="488" t="s">
        <v>872</v>
      </c>
      <c r="B21" s="508" t="s">
        <v>880</v>
      </c>
      <c r="C21" s="508" t="s">
        <v>905</v>
      </c>
      <c r="D21" s="508" t="s">
        <v>906</v>
      </c>
      <c r="E21" s="489"/>
      <c r="F21" s="489"/>
      <c r="G21" s="508"/>
      <c r="H21" s="508"/>
      <c r="I21" s="489"/>
      <c r="J21" s="489"/>
      <c r="K21" s="508"/>
      <c r="L21" s="508"/>
      <c r="M21" s="489">
        <v>28</v>
      </c>
      <c r="N21" s="489">
        <v>2273</v>
      </c>
      <c r="O21" s="490"/>
      <c r="P21" s="491">
        <v>81.178571428571431</v>
      </c>
    </row>
    <row r="22" spans="1:16" ht="14.4" customHeight="1" x14ac:dyDescent="0.3">
      <c r="A22" s="488" t="s">
        <v>872</v>
      </c>
      <c r="B22" s="508" t="s">
        <v>880</v>
      </c>
      <c r="C22" s="508" t="s">
        <v>907</v>
      </c>
      <c r="D22" s="508" t="s">
        <v>908</v>
      </c>
      <c r="E22" s="489"/>
      <c r="F22" s="489"/>
      <c r="G22" s="508"/>
      <c r="H22" s="508"/>
      <c r="I22" s="489"/>
      <c r="J22" s="489"/>
      <c r="K22" s="508"/>
      <c r="L22" s="508"/>
      <c r="M22" s="489">
        <v>11</v>
      </c>
      <c r="N22" s="489">
        <v>332</v>
      </c>
      <c r="O22" s="490"/>
      <c r="P22" s="491">
        <v>30.181818181818183</v>
      </c>
    </row>
    <row r="23" spans="1:16" ht="14.4" customHeight="1" x14ac:dyDescent="0.3">
      <c r="A23" s="488" t="s">
        <v>872</v>
      </c>
      <c r="B23" s="508" t="s">
        <v>880</v>
      </c>
      <c r="C23" s="508" t="s">
        <v>909</v>
      </c>
      <c r="D23" s="508" t="s">
        <v>910</v>
      </c>
      <c r="E23" s="489"/>
      <c r="F23" s="489"/>
      <c r="G23" s="508"/>
      <c r="H23" s="508"/>
      <c r="I23" s="489">
        <v>5</v>
      </c>
      <c r="J23" s="489">
        <v>345</v>
      </c>
      <c r="K23" s="508"/>
      <c r="L23" s="508">
        <v>69</v>
      </c>
      <c r="M23" s="489">
        <v>6</v>
      </c>
      <c r="N23" s="489">
        <v>415</v>
      </c>
      <c r="O23" s="490"/>
      <c r="P23" s="491">
        <v>69.166666666666671</v>
      </c>
    </row>
    <row r="24" spans="1:16" ht="14.4" customHeight="1" x14ac:dyDescent="0.3">
      <c r="A24" s="488" t="s">
        <v>872</v>
      </c>
      <c r="B24" s="508" t="s">
        <v>880</v>
      </c>
      <c r="C24" s="508" t="s">
        <v>911</v>
      </c>
      <c r="D24" s="508" t="s">
        <v>912</v>
      </c>
      <c r="E24" s="489">
        <v>2</v>
      </c>
      <c r="F24" s="489">
        <v>3808</v>
      </c>
      <c r="G24" s="508">
        <v>1</v>
      </c>
      <c r="H24" s="508">
        <v>1904</v>
      </c>
      <c r="I24" s="489">
        <v>1</v>
      </c>
      <c r="J24" s="489">
        <v>1913</v>
      </c>
      <c r="K24" s="508">
        <v>0.50236344537815125</v>
      </c>
      <c r="L24" s="508">
        <v>1913</v>
      </c>
      <c r="M24" s="489"/>
      <c r="N24" s="489"/>
      <c r="O24" s="490"/>
      <c r="P24" s="491"/>
    </row>
    <row r="25" spans="1:16" ht="14.4" customHeight="1" x14ac:dyDescent="0.3">
      <c r="A25" s="488" t="s">
        <v>913</v>
      </c>
      <c r="B25" s="508" t="s">
        <v>880</v>
      </c>
      <c r="C25" s="508" t="s">
        <v>914</v>
      </c>
      <c r="D25" s="508" t="s">
        <v>915</v>
      </c>
      <c r="E25" s="489">
        <v>1</v>
      </c>
      <c r="F25" s="489">
        <v>163</v>
      </c>
      <c r="G25" s="508">
        <v>1</v>
      </c>
      <c r="H25" s="508">
        <v>163</v>
      </c>
      <c r="I25" s="489">
        <v>2</v>
      </c>
      <c r="J25" s="489">
        <v>326</v>
      </c>
      <c r="K25" s="508">
        <v>2</v>
      </c>
      <c r="L25" s="508">
        <v>163</v>
      </c>
      <c r="M25" s="489">
        <v>1</v>
      </c>
      <c r="N25" s="489">
        <v>163</v>
      </c>
      <c r="O25" s="490">
        <v>1</v>
      </c>
      <c r="P25" s="491">
        <v>163</v>
      </c>
    </row>
    <row r="26" spans="1:16" ht="14.4" customHeight="1" x14ac:dyDescent="0.3">
      <c r="A26" s="488" t="s">
        <v>913</v>
      </c>
      <c r="B26" s="508" t="s">
        <v>880</v>
      </c>
      <c r="C26" s="508" t="s">
        <v>901</v>
      </c>
      <c r="D26" s="508" t="s">
        <v>902</v>
      </c>
      <c r="E26" s="489"/>
      <c r="F26" s="489"/>
      <c r="G26" s="508"/>
      <c r="H26" s="508"/>
      <c r="I26" s="489">
        <v>3</v>
      </c>
      <c r="J26" s="489">
        <v>0</v>
      </c>
      <c r="K26" s="508"/>
      <c r="L26" s="508">
        <v>0</v>
      </c>
      <c r="M26" s="489">
        <v>1</v>
      </c>
      <c r="N26" s="489">
        <v>108</v>
      </c>
      <c r="O26" s="490"/>
      <c r="P26" s="491">
        <v>108</v>
      </c>
    </row>
    <row r="27" spans="1:16" ht="14.4" customHeight="1" x14ac:dyDescent="0.3">
      <c r="A27" s="488" t="s">
        <v>913</v>
      </c>
      <c r="B27" s="508" t="s">
        <v>880</v>
      </c>
      <c r="C27" s="508" t="s">
        <v>903</v>
      </c>
      <c r="D27" s="508" t="s">
        <v>904</v>
      </c>
      <c r="E27" s="489"/>
      <c r="F27" s="489"/>
      <c r="G27" s="508"/>
      <c r="H27" s="508"/>
      <c r="I27" s="489"/>
      <c r="J27" s="489"/>
      <c r="K27" s="508"/>
      <c r="L27" s="508"/>
      <c r="M27" s="489">
        <v>1</v>
      </c>
      <c r="N27" s="489">
        <v>35</v>
      </c>
      <c r="O27" s="490"/>
      <c r="P27" s="491">
        <v>35</v>
      </c>
    </row>
    <row r="28" spans="1:16" ht="14.4" customHeight="1" x14ac:dyDescent="0.3">
      <c r="A28" s="488" t="s">
        <v>913</v>
      </c>
      <c r="B28" s="508" t="s">
        <v>880</v>
      </c>
      <c r="C28" s="508" t="s">
        <v>916</v>
      </c>
      <c r="D28" s="508" t="s">
        <v>917</v>
      </c>
      <c r="E28" s="489">
        <v>14</v>
      </c>
      <c r="F28" s="489">
        <v>4592</v>
      </c>
      <c r="G28" s="508">
        <v>1</v>
      </c>
      <c r="H28" s="508">
        <v>328</v>
      </c>
      <c r="I28" s="489">
        <v>10</v>
      </c>
      <c r="J28" s="489">
        <v>3270</v>
      </c>
      <c r="K28" s="508">
        <v>0.71210801393728218</v>
      </c>
      <c r="L28" s="508">
        <v>327</v>
      </c>
      <c r="M28" s="489">
        <v>10</v>
      </c>
      <c r="N28" s="489">
        <v>3282</v>
      </c>
      <c r="O28" s="490">
        <v>0.71472125435540068</v>
      </c>
      <c r="P28" s="491">
        <v>328.2</v>
      </c>
    </row>
    <row r="29" spans="1:16" ht="14.4" customHeight="1" x14ac:dyDescent="0.3">
      <c r="A29" s="488" t="s">
        <v>913</v>
      </c>
      <c r="B29" s="508" t="s">
        <v>880</v>
      </c>
      <c r="C29" s="508" t="s">
        <v>918</v>
      </c>
      <c r="D29" s="508" t="s">
        <v>868</v>
      </c>
      <c r="E29" s="489">
        <v>1</v>
      </c>
      <c r="F29" s="489">
        <v>215</v>
      </c>
      <c r="G29" s="508">
        <v>1</v>
      </c>
      <c r="H29" s="508">
        <v>215</v>
      </c>
      <c r="I29" s="489"/>
      <c r="J29" s="489"/>
      <c r="K29" s="508"/>
      <c r="L29" s="508"/>
      <c r="M29" s="489"/>
      <c r="N29" s="489"/>
      <c r="O29" s="490"/>
      <c r="P29" s="491"/>
    </row>
    <row r="30" spans="1:16" ht="14.4" customHeight="1" x14ac:dyDescent="0.3">
      <c r="A30" s="488" t="s">
        <v>919</v>
      </c>
      <c r="B30" s="508" t="s">
        <v>873</v>
      </c>
      <c r="C30" s="508" t="s">
        <v>874</v>
      </c>
      <c r="D30" s="508" t="s">
        <v>875</v>
      </c>
      <c r="E30" s="489">
        <v>2</v>
      </c>
      <c r="F30" s="489">
        <v>2728.16</v>
      </c>
      <c r="G30" s="508">
        <v>1</v>
      </c>
      <c r="H30" s="508">
        <v>1364.08</v>
      </c>
      <c r="I30" s="489">
        <v>7</v>
      </c>
      <c r="J30" s="489">
        <v>9608.3299999999981</v>
      </c>
      <c r="K30" s="508">
        <v>3.5219085390886158</v>
      </c>
      <c r="L30" s="508">
        <v>1372.6185714285712</v>
      </c>
      <c r="M30" s="489"/>
      <c r="N30" s="489"/>
      <c r="O30" s="490"/>
      <c r="P30" s="491"/>
    </row>
    <row r="31" spans="1:16" ht="14.4" customHeight="1" x14ac:dyDescent="0.3">
      <c r="A31" s="488" t="s">
        <v>919</v>
      </c>
      <c r="B31" s="508" t="s">
        <v>873</v>
      </c>
      <c r="C31" s="508" t="s">
        <v>876</v>
      </c>
      <c r="D31" s="508" t="s">
        <v>877</v>
      </c>
      <c r="E31" s="489">
        <v>12</v>
      </c>
      <c r="F31" s="489">
        <v>6820.44</v>
      </c>
      <c r="G31" s="508">
        <v>1</v>
      </c>
      <c r="H31" s="508">
        <v>568.37</v>
      </c>
      <c r="I31" s="489"/>
      <c r="J31" s="489"/>
      <c r="K31" s="508"/>
      <c r="L31" s="508"/>
      <c r="M31" s="489"/>
      <c r="N31" s="489"/>
      <c r="O31" s="490"/>
      <c r="P31" s="491"/>
    </row>
    <row r="32" spans="1:16" ht="14.4" customHeight="1" x14ac:dyDescent="0.3">
      <c r="A32" s="488" t="s">
        <v>919</v>
      </c>
      <c r="B32" s="508" t="s">
        <v>873</v>
      </c>
      <c r="C32" s="508" t="s">
        <v>920</v>
      </c>
      <c r="D32" s="508" t="s">
        <v>877</v>
      </c>
      <c r="E32" s="489"/>
      <c r="F32" s="489"/>
      <c r="G32" s="508"/>
      <c r="H32" s="508"/>
      <c r="I32" s="489">
        <v>4</v>
      </c>
      <c r="J32" s="489">
        <v>4586.84</v>
      </c>
      <c r="K32" s="508"/>
      <c r="L32" s="508">
        <v>1146.71</v>
      </c>
      <c r="M32" s="489"/>
      <c r="N32" s="489"/>
      <c r="O32" s="490"/>
      <c r="P32" s="491"/>
    </row>
    <row r="33" spans="1:16" ht="14.4" customHeight="1" x14ac:dyDescent="0.3">
      <c r="A33" s="488" t="s">
        <v>919</v>
      </c>
      <c r="B33" s="508" t="s">
        <v>873</v>
      </c>
      <c r="C33" s="508" t="s">
        <v>878</v>
      </c>
      <c r="D33" s="508" t="s">
        <v>879</v>
      </c>
      <c r="E33" s="489"/>
      <c r="F33" s="489"/>
      <c r="G33" s="508"/>
      <c r="H33" s="508"/>
      <c r="I33" s="489"/>
      <c r="J33" s="489"/>
      <c r="K33" s="508"/>
      <c r="L33" s="508"/>
      <c r="M33" s="489">
        <v>6</v>
      </c>
      <c r="N33" s="489">
        <v>8256.2999999999993</v>
      </c>
      <c r="O33" s="490"/>
      <c r="P33" s="491">
        <v>1376.05</v>
      </c>
    </row>
    <row r="34" spans="1:16" ht="14.4" customHeight="1" x14ac:dyDescent="0.3">
      <c r="A34" s="488" t="s">
        <v>919</v>
      </c>
      <c r="B34" s="508" t="s">
        <v>880</v>
      </c>
      <c r="C34" s="508" t="s">
        <v>921</v>
      </c>
      <c r="D34" s="508" t="s">
        <v>922</v>
      </c>
      <c r="E34" s="489">
        <v>768</v>
      </c>
      <c r="F34" s="489">
        <v>335616</v>
      </c>
      <c r="G34" s="508">
        <v>1</v>
      </c>
      <c r="H34" s="508">
        <v>437</v>
      </c>
      <c r="I34" s="489">
        <v>800</v>
      </c>
      <c r="J34" s="489">
        <v>350400</v>
      </c>
      <c r="K34" s="508">
        <v>1.0440503432494279</v>
      </c>
      <c r="L34" s="508">
        <v>438</v>
      </c>
      <c r="M34" s="489">
        <v>858</v>
      </c>
      <c r="N34" s="489">
        <v>376226</v>
      </c>
      <c r="O34" s="490">
        <v>1.1210013825324181</v>
      </c>
      <c r="P34" s="491">
        <v>438.49184149184151</v>
      </c>
    </row>
    <row r="35" spans="1:16" ht="14.4" customHeight="1" x14ac:dyDescent="0.3">
      <c r="A35" s="488" t="s">
        <v>919</v>
      </c>
      <c r="B35" s="508" t="s">
        <v>880</v>
      </c>
      <c r="C35" s="508" t="s">
        <v>923</v>
      </c>
      <c r="D35" s="508" t="s">
        <v>924</v>
      </c>
      <c r="E35" s="489">
        <v>41</v>
      </c>
      <c r="F35" s="489">
        <v>41574</v>
      </c>
      <c r="G35" s="508">
        <v>1</v>
      </c>
      <c r="H35" s="508">
        <v>1014</v>
      </c>
      <c r="I35" s="489">
        <v>42</v>
      </c>
      <c r="J35" s="489">
        <v>42756</v>
      </c>
      <c r="K35" s="508">
        <v>1.0284312310578727</v>
      </c>
      <c r="L35" s="508">
        <v>1018</v>
      </c>
      <c r="M35" s="489">
        <v>30</v>
      </c>
      <c r="N35" s="489">
        <v>30588</v>
      </c>
      <c r="O35" s="490">
        <v>0.73574830422860438</v>
      </c>
      <c r="P35" s="491">
        <v>1019.6</v>
      </c>
    </row>
    <row r="36" spans="1:16" ht="14.4" customHeight="1" x14ac:dyDescent="0.3">
      <c r="A36" s="488" t="s">
        <v>919</v>
      </c>
      <c r="B36" s="508" t="s">
        <v>880</v>
      </c>
      <c r="C36" s="508" t="s">
        <v>925</v>
      </c>
      <c r="D36" s="508" t="s">
        <v>926</v>
      </c>
      <c r="E36" s="489">
        <v>2</v>
      </c>
      <c r="F36" s="489">
        <v>1270</v>
      </c>
      <c r="G36" s="508">
        <v>1</v>
      </c>
      <c r="H36" s="508">
        <v>635</v>
      </c>
      <c r="I36" s="489">
        <v>5</v>
      </c>
      <c r="J36" s="489">
        <v>3190</v>
      </c>
      <c r="K36" s="508">
        <v>2.5118110236220472</v>
      </c>
      <c r="L36" s="508">
        <v>638</v>
      </c>
      <c r="M36" s="489">
        <v>3</v>
      </c>
      <c r="N36" s="489">
        <v>1919</v>
      </c>
      <c r="O36" s="490">
        <v>1.5110236220472442</v>
      </c>
      <c r="P36" s="491">
        <v>639.66666666666663</v>
      </c>
    </row>
    <row r="37" spans="1:16" ht="14.4" customHeight="1" x14ac:dyDescent="0.3">
      <c r="A37" s="488" t="s">
        <v>919</v>
      </c>
      <c r="B37" s="508" t="s">
        <v>880</v>
      </c>
      <c r="C37" s="508" t="s">
        <v>927</v>
      </c>
      <c r="D37" s="508" t="s">
        <v>928</v>
      </c>
      <c r="E37" s="489">
        <v>18</v>
      </c>
      <c r="F37" s="489">
        <v>5472</v>
      </c>
      <c r="G37" s="508">
        <v>1</v>
      </c>
      <c r="H37" s="508">
        <v>304</v>
      </c>
      <c r="I37" s="489">
        <v>20</v>
      </c>
      <c r="J37" s="489">
        <v>6100</v>
      </c>
      <c r="K37" s="508">
        <v>1.114766081871345</v>
      </c>
      <c r="L37" s="508">
        <v>305</v>
      </c>
      <c r="M37" s="489">
        <v>23</v>
      </c>
      <c r="N37" s="489">
        <v>7029</v>
      </c>
      <c r="O37" s="490">
        <v>1.2845394736842106</v>
      </c>
      <c r="P37" s="491">
        <v>305.60869565217394</v>
      </c>
    </row>
    <row r="38" spans="1:16" ht="14.4" customHeight="1" x14ac:dyDescent="0.3">
      <c r="A38" s="488" t="s">
        <v>919</v>
      </c>
      <c r="B38" s="508" t="s">
        <v>880</v>
      </c>
      <c r="C38" s="508" t="s">
        <v>929</v>
      </c>
      <c r="D38" s="508" t="s">
        <v>930</v>
      </c>
      <c r="E38" s="489">
        <v>6</v>
      </c>
      <c r="F38" s="489">
        <v>4974</v>
      </c>
      <c r="G38" s="508">
        <v>1</v>
      </c>
      <c r="H38" s="508">
        <v>829</v>
      </c>
      <c r="I38" s="489">
        <v>1</v>
      </c>
      <c r="J38" s="489">
        <v>831</v>
      </c>
      <c r="K38" s="508">
        <v>0.16706875753920386</v>
      </c>
      <c r="L38" s="508">
        <v>831</v>
      </c>
      <c r="M38" s="489">
        <v>1</v>
      </c>
      <c r="N38" s="489">
        <v>831</v>
      </c>
      <c r="O38" s="490">
        <v>0.16706875753920386</v>
      </c>
      <c r="P38" s="491">
        <v>831</v>
      </c>
    </row>
    <row r="39" spans="1:16" ht="14.4" customHeight="1" x14ac:dyDescent="0.3">
      <c r="A39" s="488" t="s">
        <v>919</v>
      </c>
      <c r="B39" s="508" t="s">
        <v>880</v>
      </c>
      <c r="C39" s="508" t="s">
        <v>931</v>
      </c>
      <c r="D39" s="508" t="s">
        <v>932</v>
      </c>
      <c r="E39" s="489">
        <v>0</v>
      </c>
      <c r="F39" s="489">
        <v>0</v>
      </c>
      <c r="G39" s="508"/>
      <c r="H39" s="508"/>
      <c r="I39" s="489"/>
      <c r="J39" s="489"/>
      <c r="K39" s="508"/>
      <c r="L39" s="508"/>
      <c r="M39" s="489"/>
      <c r="N39" s="489"/>
      <c r="O39" s="490"/>
      <c r="P39" s="491"/>
    </row>
    <row r="40" spans="1:16" ht="14.4" customHeight="1" x14ac:dyDescent="0.3">
      <c r="A40" s="488" t="s">
        <v>919</v>
      </c>
      <c r="B40" s="508" t="s">
        <v>880</v>
      </c>
      <c r="C40" s="508" t="s">
        <v>933</v>
      </c>
      <c r="D40" s="508" t="s">
        <v>934</v>
      </c>
      <c r="E40" s="489">
        <v>2135</v>
      </c>
      <c r="F40" s="489">
        <v>1366400</v>
      </c>
      <c r="G40" s="508">
        <v>1</v>
      </c>
      <c r="H40" s="508">
        <v>640</v>
      </c>
      <c r="I40" s="489">
        <v>2207</v>
      </c>
      <c r="J40" s="489">
        <v>1416894</v>
      </c>
      <c r="K40" s="508">
        <v>1.0369540398126464</v>
      </c>
      <c r="L40" s="508">
        <v>642</v>
      </c>
      <c r="M40" s="489">
        <v>2261</v>
      </c>
      <c r="N40" s="489">
        <v>1454327</v>
      </c>
      <c r="O40" s="490">
        <v>1.0643493852459016</v>
      </c>
      <c r="P40" s="491">
        <v>643.22291021671822</v>
      </c>
    </row>
    <row r="41" spans="1:16" ht="14.4" customHeight="1" x14ac:dyDescent="0.3">
      <c r="A41" s="488" t="s">
        <v>919</v>
      </c>
      <c r="B41" s="508" t="s">
        <v>880</v>
      </c>
      <c r="C41" s="508" t="s">
        <v>935</v>
      </c>
      <c r="D41" s="508" t="s">
        <v>936</v>
      </c>
      <c r="E41" s="489">
        <v>568</v>
      </c>
      <c r="F41" s="489">
        <v>165856</v>
      </c>
      <c r="G41" s="508">
        <v>1</v>
      </c>
      <c r="H41" s="508">
        <v>292</v>
      </c>
      <c r="I41" s="489">
        <v>429</v>
      </c>
      <c r="J41" s="489">
        <v>125697</v>
      </c>
      <c r="K41" s="508">
        <v>0.75786827127146439</v>
      </c>
      <c r="L41" s="508">
        <v>293</v>
      </c>
      <c r="M41" s="489">
        <v>117</v>
      </c>
      <c r="N41" s="489">
        <v>34281</v>
      </c>
      <c r="O41" s="490">
        <v>0.20669134671039938</v>
      </c>
      <c r="P41" s="491">
        <v>293</v>
      </c>
    </row>
    <row r="42" spans="1:16" ht="14.4" customHeight="1" x14ac:dyDescent="0.3">
      <c r="A42" s="488" t="s">
        <v>919</v>
      </c>
      <c r="B42" s="508" t="s">
        <v>880</v>
      </c>
      <c r="C42" s="508" t="s">
        <v>937</v>
      </c>
      <c r="D42" s="508" t="s">
        <v>938</v>
      </c>
      <c r="E42" s="489">
        <v>49</v>
      </c>
      <c r="F42" s="489">
        <v>28567</v>
      </c>
      <c r="G42" s="508">
        <v>1</v>
      </c>
      <c r="H42" s="508">
        <v>583</v>
      </c>
      <c r="I42" s="489">
        <v>50</v>
      </c>
      <c r="J42" s="489">
        <v>29300</v>
      </c>
      <c r="K42" s="508">
        <v>1.0256589771414568</v>
      </c>
      <c r="L42" s="508">
        <v>586</v>
      </c>
      <c r="M42" s="489">
        <v>34</v>
      </c>
      <c r="N42" s="489">
        <v>19954</v>
      </c>
      <c r="O42" s="490">
        <v>0.69849826723142083</v>
      </c>
      <c r="P42" s="491">
        <v>586.88235294117646</v>
      </c>
    </row>
    <row r="43" spans="1:16" ht="14.4" customHeight="1" x14ac:dyDescent="0.3">
      <c r="A43" s="488" t="s">
        <v>919</v>
      </c>
      <c r="B43" s="508" t="s">
        <v>880</v>
      </c>
      <c r="C43" s="508" t="s">
        <v>939</v>
      </c>
      <c r="D43" s="508" t="s">
        <v>940</v>
      </c>
      <c r="E43" s="489">
        <v>135</v>
      </c>
      <c r="F43" s="489">
        <v>110025</v>
      </c>
      <c r="G43" s="508">
        <v>1</v>
      </c>
      <c r="H43" s="508">
        <v>815</v>
      </c>
      <c r="I43" s="489">
        <v>136</v>
      </c>
      <c r="J43" s="489">
        <v>110976</v>
      </c>
      <c r="K43" s="508">
        <v>1.0086434901158827</v>
      </c>
      <c r="L43" s="508">
        <v>816</v>
      </c>
      <c r="M43" s="489">
        <v>174</v>
      </c>
      <c r="N43" s="489">
        <v>142101</v>
      </c>
      <c r="O43" s="490">
        <v>1.2915337423312883</v>
      </c>
      <c r="P43" s="491">
        <v>816.67241379310349</v>
      </c>
    </row>
    <row r="44" spans="1:16" ht="14.4" customHeight="1" x14ac:dyDescent="0.3">
      <c r="A44" s="488" t="s">
        <v>919</v>
      </c>
      <c r="B44" s="508" t="s">
        <v>880</v>
      </c>
      <c r="C44" s="508" t="s">
        <v>941</v>
      </c>
      <c r="D44" s="508" t="s">
        <v>942</v>
      </c>
      <c r="E44" s="489">
        <v>4</v>
      </c>
      <c r="F44" s="489">
        <v>4452</v>
      </c>
      <c r="G44" s="508">
        <v>1</v>
      </c>
      <c r="H44" s="508">
        <v>1113</v>
      </c>
      <c r="I44" s="489">
        <v>1</v>
      </c>
      <c r="J44" s="489">
        <v>1118</v>
      </c>
      <c r="K44" s="508">
        <v>0.25112309074573225</v>
      </c>
      <c r="L44" s="508">
        <v>1118</v>
      </c>
      <c r="M44" s="489"/>
      <c r="N44" s="489"/>
      <c r="O44" s="490"/>
      <c r="P44" s="491"/>
    </row>
    <row r="45" spans="1:16" ht="14.4" customHeight="1" x14ac:dyDescent="0.3">
      <c r="A45" s="488" t="s">
        <v>943</v>
      </c>
      <c r="B45" s="508" t="s">
        <v>880</v>
      </c>
      <c r="C45" s="508" t="s">
        <v>944</v>
      </c>
      <c r="D45" s="508" t="s">
        <v>945</v>
      </c>
      <c r="E45" s="489">
        <v>35</v>
      </c>
      <c r="F45" s="489">
        <v>369985</v>
      </c>
      <c r="G45" s="508">
        <v>1</v>
      </c>
      <c r="H45" s="508">
        <v>10571</v>
      </c>
      <c r="I45" s="489">
        <v>43</v>
      </c>
      <c r="J45" s="489">
        <v>456273</v>
      </c>
      <c r="K45" s="508">
        <v>1.2332202656864468</v>
      </c>
      <c r="L45" s="508">
        <v>10611</v>
      </c>
      <c r="M45" s="489">
        <v>27</v>
      </c>
      <c r="N45" s="489">
        <v>287649</v>
      </c>
      <c r="O45" s="490">
        <v>0.77746124842899034</v>
      </c>
      <c r="P45" s="491">
        <v>10653.666666666666</v>
      </c>
    </row>
    <row r="46" spans="1:16" ht="14.4" customHeight="1" x14ac:dyDescent="0.3">
      <c r="A46" s="488" t="s">
        <v>943</v>
      </c>
      <c r="B46" s="508" t="s">
        <v>880</v>
      </c>
      <c r="C46" s="508" t="s">
        <v>946</v>
      </c>
      <c r="D46" s="508" t="s">
        <v>947</v>
      </c>
      <c r="E46" s="489">
        <v>224</v>
      </c>
      <c r="F46" s="489">
        <v>66080</v>
      </c>
      <c r="G46" s="508">
        <v>1</v>
      </c>
      <c r="H46" s="508">
        <v>295</v>
      </c>
      <c r="I46" s="489">
        <v>259</v>
      </c>
      <c r="J46" s="489">
        <v>76923</v>
      </c>
      <c r="K46" s="508">
        <v>1.1640889830508474</v>
      </c>
      <c r="L46" s="508">
        <v>297</v>
      </c>
      <c r="M46" s="489">
        <v>251</v>
      </c>
      <c r="N46" s="489">
        <v>74839</v>
      </c>
      <c r="O46" s="490">
        <v>1.1325514527845035</v>
      </c>
      <c r="P46" s="491">
        <v>298.1633466135458</v>
      </c>
    </row>
    <row r="47" spans="1:16" ht="14.4" customHeight="1" x14ac:dyDescent="0.3">
      <c r="A47" s="488" t="s">
        <v>943</v>
      </c>
      <c r="B47" s="508" t="s">
        <v>880</v>
      </c>
      <c r="C47" s="508" t="s">
        <v>948</v>
      </c>
      <c r="D47" s="508" t="s">
        <v>949</v>
      </c>
      <c r="E47" s="489">
        <v>593</v>
      </c>
      <c r="F47" s="489">
        <v>732948</v>
      </c>
      <c r="G47" s="508">
        <v>1</v>
      </c>
      <c r="H47" s="508">
        <v>1236</v>
      </c>
      <c r="I47" s="489">
        <v>608</v>
      </c>
      <c r="J47" s="489">
        <v>756960</v>
      </c>
      <c r="K47" s="508">
        <v>1.0327608507015504</v>
      </c>
      <c r="L47" s="508">
        <v>1245</v>
      </c>
      <c r="M47" s="489">
        <v>542</v>
      </c>
      <c r="N47" s="489">
        <v>676918</v>
      </c>
      <c r="O47" s="490">
        <v>0.92355528632317707</v>
      </c>
      <c r="P47" s="491">
        <v>1248.9261992619927</v>
      </c>
    </row>
    <row r="48" spans="1:16" ht="14.4" customHeight="1" x14ac:dyDescent="0.3">
      <c r="A48" s="488" t="s">
        <v>943</v>
      </c>
      <c r="B48" s="508" t="s">
        <v>880</v>
      </c>
      <c r="C48" s="508" t="s">
        <v>950</v>
      </c>
      <c r="D48" s="508" t="s">
        <v>951</v>
      </c>
      <c r="E48" s="489">
        <v>13</v>
      </c>
      <c r="F48" s="489">
        <v>120835</v>
      </c>
      <c r="G48" s="508">
        <v>1</v>
      </c>
      <c r="H48" s="508">
        <v>9295</v>
      </c>
      <c r="I48" s="489">
        <v>13</v>
      </c>
      <c r="J48" s="489">
        <v>121381</v>
      </c>
      <c r="K48" s="508">
        <v>1.0045185583647123</v>
      </c>
      <c r="L48" s="508">
        <v>9337</v>
      </c>
      <c r="M48" s="489">
        <v>22</v>
      </c>
      <c r="N48" s="489">
        <v>205564</v>
      </c>
      <c r="O48" s="490">
        <v>1.7011958455745437</v>
      </c>
      <c r="P48" s="491">
        <v>9343.818181818182</v>
      </c>
    </row>
    <row r="49" spans="1:16" ht="14.4" customHeight="1" x14ac:dyDescent="0.3">
      <c r="A49" s="488" t="s">
        <v>943</v>
      </c>
      <c r="B49" s="508" t="s">
        <v>880</v>
      </c>
      <c r="C49" s="508" t="s">
        <v>952</v>
      </c>
      <c r="D49" s="508" t="s">
        <v>953</v>
      </c>
      <c r="E49" s="489">
        <v>16</v>
      </c>
      <c r="F49" s="489">
        <v>6752</v>
      </c>
      <c r="G49" s="508">
        <v>1</v>
      </c>
      <c r="H49" s="508">
        <v>422</v>
      </c>
      <c r="I49" s="489"/>
      <c r="J49" s="489"/>
      <c r="K49" s="508"/>
      <c r="L49" s="508"/>
      <c r="M49" s="489"/>
      <c r="N49" s="489"/>
      <c r="O49" s="490"/>
      <c r="P49" s="491"/>
    </row>
    <row r="50" spans="1:16" ht="14.4" customHeight="1" x14ac:dyDescent="0.3">
      <c r="A50" s="488" t="s">
        <v>943</v>
      </c>
      <c r="B50" s="508" t="s">
        <v>880</v>
      </c>
      <c r="C50" s="508" t="s">
        <v>954</v>
      </c>
      <c r="D50" s="508" t="s">
        <v>955</v>
      </c>
      <c r="E50" s="489">
        <v>251</v>
      </c>
      <c r="F50" s="489">
        <v>251000</v>
      </c>
      <c r="G50" s="508">
        <v>1</v>
      </c>
      <c r="H50" s="508">
        <v>1000</v>
      </c>
      <c r="I50" s="489"/>
      <c r="J50" s="489"/>
      <c r="K50" s="508"/>
      <c r="L50" s="508"/>
      <c r="M50" s="489"/>
      <c r="N50" s="489"/>
      <c r="O50" s="490"/>
      <c r="P50" s="491"/>
    </row>
    <row r="51" spans="1:16" ht="14.4" customHeight="1" x14ac:dyDescent="0.3">
      <c r="A51" s="488" t="s">
        <v>943</v>
      </c>
      <c r="B51" s="508" t="s">
        <v>880</v>
      </c>
      <c r="C51" s="508" t="s">
        <v>956</v>
      </c>
      <c r="D51" s="508" t="s">
        <v>957</v>
      </c>
      <c r="E51" s="489">
        <v>4413</v>
      </c>
      <c r="F51" s="489">
        <v>9801273</v>
      </c>
      <c r="G51" s="508">
        <v>1</v>
      </c>
      <c r="H51" s="508">
        <v>2221</v>
      </c>
      <c r="I51" s="489">
        <v>4568</v>
      </c>
      <c r="J51" s="489">
        <v>10200344</v>
      </c>
      <c r="K51" s="508">
        <v>1.0407162416555482</v>
      </c>
      <c r="L51" s="508">
        <v>2233</v>
      </c>
      <c r="M51" s="489">
        <v>5133</v>
      </c>
      <c r="N51" s="489">
        <v>11495022</v>
      </c>
      <c r="O51" s="490">
        <v>1.1728090830650264</v>
      </c>
      <c r="P51" s="491">
        <v>2239.4354178842782</v>
      </c>
    </row>
    <row r="52" spans="1:16" ht="14.4" customHeight="1" x14ac:dyDescent="0.3">
      <c r="A52" s="488" t="s">
        <v>943</v>
      </c>
      <c r="B52" s="508" t="s">
        <v>880</v>
      </c>
      <c r="C52" s="508" t="s">
        <v>958</v>
      </c>
      <c r="D52" s="508" t="s">
        <v>959</v>
      </c>
      <c r="E52" s="489">
        <v>34</v>
      </c>
      <c r="F52" s="489">
        <v>16728</v>
      </c>
      <c r="G52" s="508">
        <v>1</v>
      </c>
      <c r="H52" s="508">
        <v>492</v>
      </c>
      <c r="I52" s="489">
        <v>41</v>
      </c>
      <c r="J52" s="489">
        <v>20295</v>
      </c>
      <c r="K52" s="508">
        <v>1.213235294117647</v>
      </c>
      <c r="L52" s="508">
        <v>495</v>
      </c>
      <c r="M52" s="489">
        <v>27</v>
      </c>
      <c r="N52" s="489">
        <v>13461</v>
      </c>
      <c r="O52" s="490">
        <v>0.80469870875179339</v>
      </c>
      <c r="P52" s="491">
        <v>498.55555555555554</v>
      </c>
    </row>
    <row r="53" spans="1:16" ht="14.4" customHeight="1" x14ac:dyDescent="0.3">
      <c r="A53" s="488" t="s">
        <v>943</v>
      </c>
      <c r="B53" s="508" t="s">
        <v>880</v>
      </c>
      <c r="C53" s="508" t="s">
        <v>960</v>
      </c>
      <c r="D53" s="508" t="s">
        <v>961</v>
      </c>
      <c r="E53" s="489">
        <v>77</v>
      </c>
      <c r="F53" s="489">
        <v>66913</v>
      </c>
      <c r="G53" s="508">
        <v>1</v>
      </c>
      <c r="H53" s="508">
        <v>869</v>
      </c>
      <c r="I53" s="489">
        <v>91</v>
      </c>
      <c r="J53" s="489">
        <v>79443</v>
      </c>
      <c r="K53" s="508">
        <v>1.1872580813892666</v>
      </c>
      <c r="L53" s="508">
        <v>873</v>
      </c>
      <c r="M53" s="489">
        <v>62</v>
      </c>
      <c r="N53" s="489">
        <v>54326</v>
      </c>
      <c r="O53" s="490">
        <v>0.81189006620537119</v>
      </c>
      <c r="P53" s="491">
        <v>876.22580645161293</v>
      </c>
    </row>
    <row r="54" spans="1:16" ht="14.4" customHeight="1" x14ac:dyDescent="0.3">
      <c r="A54" s="488" t="s">
        <v>943</v>
      </c>
      <c r="B54" s="508" t="s">
        <v>880</v>
      </c>
      <c r="C54" s="508" t="s">
        <v>962</v>
      </c>
      <c r="D54" s="508" t="s">
        <v>963</v>
      </c>
      <c r="E54" s="489">
        <v>145</v>
      </c>
      <c r="F54" s="489">
        <v>940180</v>
      </c>
      <c r="G54" s="508">
        <v>1</v>
      </c>
      <c r="H54" s="508">
        <v>6484</v>
      </c>
      <c r="I54" s="489">
        <v>170</v>
      </c>
      <c r="J54" s="489">
        <v>1107380</v>
      </c>
      <c r="K54" s="508">
        <v>1.1778382862856049</v>
      </c>
      <c r="L54" s="508">
        <v>6514</v>
      </c>
      <c r="M54" s="489">
        <v>190</v>
      </c>
      <c r="N54" s="489">
        <v>1240306</v>
      </c>
      <c r="O54" s="490">
        <v>1.319221851134889</v>
      </c>
      <c r="P54" s="491">
        <v>6527.9263157894738</v>
      </c>
    </row>
    <row r="55" spans="1:16" ht="14.4" customHeight="1" x14ac:dyDescent="0.3">
      <c r="A55" s="488" t="s">
        <v>943</v>
      </c>
      <c r="B55" s="508" t="s">
        <v>880</v>
      </c>
      <c r="C55" s="508" t="s">
        <v>964</v>
      </c>
      <c r="D55" s="508" t="s">
        <v>965</v>
      </c>
      <c r="E55" s="489">
        <v>18</v>
      </c>
      <c r="F55" s="489">
        <v>59364</v>
      </c>
      <c r="G55" s="508">
        <v>1</v>
      </c>
      <c r="H55" s="508">
        <v>3298</v>
      </c>
      <c r="I55" s="489">
        <v>6</v>
      </c>
      <c r="J55" s="489">
        <v>19896</v>
      </c>
      <c r="K55" s="508">
        <v>0.33515261774813015</v>
      </c>
      <c r="L55" s="508">
        <v>3316</v>
      </c>
      <c r="M55" s="489">
        <v>9</v>
      </c>
      <c r="N55" s="489">
        <v>29937</v>
      </c>
      <c r="O55" s="490">
        <v>0.50429553264604809</v>
      </c>
      <c r="P55" s="491">
        <v>3326.3333333333335</v>
      </c>
    </row>
    <row r="56" spans="1:16" ht="14.4" customHeight="1" x14ac:dyDescent="0.3">
      <c r="A56" s="488" t="s">
        <v>943</v>
      </c>
      <c r="B56" s="508" t="s">
        <v>880</v>
      </c>
      <c r="C56" s="508" t="s">
        <v>966</v>
      </c>
      <c r="D56" s="508" t="s">
        <v>967</v>
      </c>
      <c r="E56" s="489">
        <v>44</v>
      </c>
      <c r="F56" s="489">
        <v>372636</v>
      </c>
      <c r="G56" s="508">
        <v>1</v>
      </c>
      <c r="H56" s="508">
        <v>8469</v>
      </c>
      <c r="I56" s="489">
        <v>49</v>
      </c>
      <c r="J56" s="489">
        <v>416500</v>
      </c>
      <c r="K56" s="508">
        <v>1.1177127277021006</v>
      </c>
      <c r="L56" s="508">
        <v>8500</v>
      </c>
      <c r="M56" s="489">
        <v>32</v>
      </c>
      <c r="N56" s="489">
        <v>272399</v>
      </c>
      <c r="O56" s="490">
        <v>0.73100559258901443</v>
      </c>
      <c r="P56" s="491">
        <v>8512.46875</v>
      </c>
    </row>
    <row r="57" spans="1:16" ht="14.4" customHeight="1" x14ac:dyDescent="0.3">
      <c r="A57" s="488" t="s">
        <v>943</v>
      </c>
      <c r="B57" s="508" t="s">
        <v>880</v>
      </c>
      <c r="C57" s="508" t="s">
        <v>968</v>
      </c>
      <c r="D57" s="508" t="s">
        <v>969</v>
      </c>
      <c r="E57" s="489">
        <v>3</v>
      </c>
      <c r="F57" s="489">
        <v>31002</v>
      </c>
      <c r="G57" s="508">
        <v>1</v>
      </c>
      <c r="H57" s="508">
        <v>10334</v>
      </c>
      <c r="I57" s="489">
        <v>4</v>
      </c>
      <c r="J57" s="489">
        <v>41496</v>
      </c>
      <c r="K57" s="508">
        <v>1.3384942906909232</v>
      </c>
      <c r="L57" s="508">
        <v>10374</v>
      </c>
      <c r="M57" s="489">
        <v>2</v>
      </c>
      <c r="N57" s="489">
        <v>20820</v>
      </c>
      <c r="O57" s="490">
        <v>0.67156957615637702</v>
      </c>
      <c r="P57" s="491">
        <v>10410</v>
      </c>
    </row>
    <row r="58" spans="1:16" ht="14.4" customHeight="1" x14ac:dyDescent="0.3">
      <c r="A58" s="488" t="s">
        <v>943</v>
      </c>
      <c r="B58" s="508" t="s">
        <v>880</v>
      </c>
      <c r="C58" s="508" t="s">
        <v>970</v>
      </c>
      <c r="D58" s="508" t="s">
        <v>971</v>
      </c>
      <c r="E58" s="489">
        <v>17</v>
      </c>
      <c r="F58" s="489">
        <v>17238</v>
      </c>
      <c r="G58" s="508">
        <v>1</v>
      </c>
      <c r="H58" s="508">
        <v>1014</v>
      </c>
      <c r="I58" s="489">
        <v>7</v>
      </c>
      <c r="J58" s="489">
        <v>7140</v>
      </c>
      <c r="K58" s="508">
        <v>0.41420118343195267</v>
      </c>
      <c r="L58" s="508">
        <v>1020</v>
      </c>
      <c r="M58" s="489">
        <v>10</v>
      </c>
      <c r="N58" s="489">
        <v>10222</v>
      </c>
      <c r="O58" s="490">
        <v>0.59299222647638938</v>
      </c>
      <c r="P58" s="491">
        <v>1022.2</v>
      </c>
    </row>
    <row r="59" spans="1:16" ht="14.4" customHeight="1" thickBot="1" x14ac:dyDescent="0.35">
      <c r="A59" s="476" t="s">
        <v>943</v>
      </c>
      <c r="B59" s="477" t="s">
        <v>880</v>
      </c>
      <c r="C59" s="477" t="s">
        <v>972</v>
      </c>
      <c r="D59" s="477" t="s">
        <v>973</v>
      </c>
      <c r="E59" s="492">
        <v>2</v>
      </c>
      <c r="F59" s="492">
        <v>1116</v>
      </c>
      <c r="G59" s="477">
        <v>1</v>
      </c>
      <c r="H59" s="477">
        <v>558</v>
      </c>
      <c r="I59" s="492">
        <v>1</v>
      </c>
      <c r="J59" s="492">
        <v>561</v>
      </c>
      <c r="K59" s="477">
        <v>0.50268817204301075</v>
      </c>
      <c r="L59" s="477">
        <v>561</v>
      </c>
      <c r="M59" s="492">
        <v>3</v>
      </c>
      <c r="N59" s="492">
        <v>1689</v>
      </c>
      <c r="O59" s="479">
        <v>1.5134408602150538</v>
      </c>
      <c r="P59" s="493">
        <v>563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05" t="s">
        <v>122</v>
      </c>
      <c r="B1" s="305"/>
      <c r="C1" s="306"/>
      <c r="D1" s="306"/>
      <c r="E1" s="306"/>
    </row>
    <row r="2" spans="1:5" ht="14.4" customHeight="1" thickBot="1" x14ac:dyDescent="0.35">
      <c r="A2" s="235" t="s">
        <v>263</v>
      </c>
      <c r="B2" s="152"/>
    </row>
    <row r="3" spans="1:5" ht="14.4" customHeight="1" thickBot="1" x14ac:dyDescent="0.35">
      <c r="A3" s="155"/>
      <c r="C3" s="156" t="s">
        <v>108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7976</v>
      </c>
      <c r="D4" s="161">
        <f ca="1">IF(ISERROR(VLOOKUP("Náklady celkem",INDIRECT("HI!$A:$G"),5,0)),0,VLOOKUP("Náklady celkem",INDIRECT("HI!$A:$G"),5,0))</f>
        <v>6985.8461500000085</v>
      </c>
      <c r="E4" s="162">
        <f ca="1">IF(C4=0,0,D4/C4)</f>
        <v>0.87585834378134508</v>
      </c>
    </row>
    <row r="5" spans="1:5" ht="14.4" customHeight="1" x14ac:dyDescent="0.3">
      <c r="A5" s="163" t="s">
        <v>150</v>
      </c>
      <c r="B5" s="164"/>
      <c r="C5" s="165"/>
      <c r="D5" s="165"/>
      <c r="E5" s="166"/>
    </row>
    <row r="6" spans="1:5" ht="14.4" customHeight="1" x14ac:dyDescent="0.3">
      <c r="A6" s="167" t="s">
        <v>155</v>
      </c>
      <c r="B6" s="168"/>
      <c r="C6" s="169"/>
      <c r="D6" s="169"/>
      <c r="E6" s="166"/>
    </row>
    <row r="7" spans="1:5" ht="14.4" customHeight="1" x14ac:dyDescent="0.3">
      <c r="A7" s="17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112</v>
      </c>
      <c r="C7" s="169">
        <f>IF(ISERROR(HI!F5),"",HI!F5)</f>
        <v>31</v>
      </c>
      <c r="D7" s="169">
        <f>IF(ISERROR(HI!E5),"",HI!E5)</f>
        <v>27.401229999999998</v>
      </c>
      <c r="E7" s="166">
        <f t="shared" ref="E7:E13" si="0">IF(C7=0,0,D7/C7)</f>
        <v>0.88391064516129025</v>
      </c>
    </row>
    <row r="8" spans="1:5" ht="14.4" customHeight="1" x14ac:dyDescent="0.3">
      <c r="A8" s="172" t="s">
        <v>151</v>
      </c>
      <c r="B8" s="168"/>
      <c r="C8" s="169"/>
      <c r="D8" s="169"/>
      <c r="E8" s="166"/>
    </row>
    <row r="9" spans="1:5" ht="14.4" customHeight="1" x14ac:dyDescent="0.3">
      <c r="A9" s="170" t="str">
        <f>HYPERLINK("#'Léky Recepty'!A1","% záchytu v lékárně (Úhrada Kč)")</f>
        <v>% záchytu v lékárně (Úhrada Kč)</v>
      </c>
      <c r="B9" s="168" t="s">
        <v>117</v>
      </c>
      <c r="C9" s="171">
        <v>0.6</v>
      </c>
      <c r="D9" s="171">
        <f>IF(ISERROR(VLOOKUP("Celkem",'Léky Recepty'!B:H,5,0)),0,VLOOKUP("Celkem",'Léky Recepty'!B:H,5,0))</f>
        <v>0.16945944313834913</v>
      </c>
      <c r="E9" s="166">
        <f t="shared" si="0"/>
        <v>0.28243240523058188</v>
      </c>
    </row>
    <row r="10" spans="1:5" ht="14.4" customHeight="1" x14ac:dyDescent="0.3">
      <c r="A10" s="170" t="str">
        <f>HYPERLINK("#'LRp PL'!A1","% plnění pozitivního listu")</f>
        <v>% plnění pozitivního listu</v>
      </c>
      <c r="B10" s="168" t="s">
        <v>144</v>
      </c>
      <c r="C10" s="171">
        <v>0.8</v>
      </c>
      <c r="D10" s="171">
        <f>IF(ISERROR(VLOOKUP("Celkem",'LRp PL'!A:F,5,0)),0,VLOOKUP("Celkem",'LRp PL'!A:F,5,0))</f>
        <v>1</v>
      </c>
      <c r="E10" s="166">
        <f t="shared" si="0"/>
        <v>1.25</v>
      </c>
    </row>
    <row r="11" spans="1:5" ht="14.4" customHeight="1" x14ac:dyDescent="0.3">
      <c r="A11" s="172" t="s">
        <v>152</v>
      </c>
      <c r="B11" s="168"/>
      <c r="C11" s="169"/>
      <c r="D11" s="169"/>
      <c r="E11" s="166"/>
    </row>
    <row r="12" spans="1:5" ht="14.4" customHeight="1" x14ac:dyDescent="0.3">
      <c r="A12" s="173" t="s">
        <v>156</v>
      </c>
      <c r="B12" s="168"/>
      <c r="C12" s="165"/>
      <c r="D12" s="165"/>
      <c r="E12" s="166"/>
    </row>
    <row r="13" spans="1:5" ht="14.4" customHeight="1" x14ac:dyDescent="0.3">
      <c r="A13" s="17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8" t="s">
        <v>112</v>
      </c>
      <c r="C13" s="169">
        <f>IF(ISERROR(HI!F6),"",HI!F6)</f>
        <v>1136.6666666666667</v>
      </c>
      <c r="D13" s="169">
        <f>IF(ISERROR(HI!E6),"",HI!E6)</f>
        <v>625.10770000000105</v>
      </c>
      <c r="E13" s="166">
        <f t="shared" si="0"/>
        <v>0.54994812316715636</v>
      </c>
    </row>
    <row r="14" spans="1:5" ht="14.4" customHeight="1" thickBot="1" x14ac:dyDescent="0.35">
      <c r="A14" s="175" t="str">
        <f>HYPERLINK("#HI!A1","Osobní náklady")</f>
        <v>Osobní náklady</v>
      </c>
      <c r="B14" s="168"/>
      <c r="C14" s="165">
        <f ca="1">IF(ISERROR(VLOOKUP("Osobní náklady (Kč) *",INDIRECT("HI!$A:$G"),6,0)),0,VLOOKUP("Osobní náklady (Kč) *",INDIRECT("HI!$A:$G"),6,0))</f>
        <v>5034.6666666666661</v>
      </c>
      <c r="D14" s="165">
        <f ca="1">IF(ISERROR(VLOOKUP("Osobní náklady (Kč) *",INDIRECT("HI!$A:$G"),5,0)),0,VLOOKUP("Osobní náklady (Kč) *",INDIRECT("HI!$A:$G"),5,0))</f>
        <v>4636.771830000006</v>
      </c>
      <c r="E14" s="166">
        <f ca="1">IF(C14=0,0,D14/C14)</f>
        <v>0.92096898106462</v>
      </c>
    </row>
    <row r="15" spans="1:5" ht="14.4" customHeight="1" thickBot="1" x14ac:dyDescent="0.35">
      <c r="A15" s="179"/>
      <c r="B15" s="180"/>
      <c r="C15" s="181"/>
      <c r="D15" s="181"/>
      <c r="E15" s="182"/>
    </row>
    <row r="16" spans="1:5" ht="14.4" customHeight="1" thickBot="1" x14ac:dyDescent="0.35">
      <c r="A16" s="183" t="str">
        <f>HYPERLINK("#HI!A1","VÝNOSY CELKEM (v tisících)")</f>
        <v>VÝNOSY CELKEM (v tisících)</v>
      </c>
      <c r="B16" s="184"/>
      <c r="C16" s="185">
        <f ca="1">IF(ISERROR(VLOOKUP("Výnosy celkem",INDIRECT("HI!$A:$G"),6,0)),0,VLOOKUP("Výnosy celkem",INDIRECT("HI!$A:$G"),6,0))</f>
        <v>18154.009999999998</v>
      </c>
      <c r="D16" s="185">
        <f ca="1">IF(ISERROR(VLOOKUP("Výnosy celkem",INDIRECT("HI!$A:$G"),5,0)),0,VLOOKUP("Výnosy celkem",INDIRECT("HI!$A:$G"),5,0))</f>
        <v>19381.664000000001</v>
      </c>
      <c r="E16" s="186">
        <f t="shared" ref="E16:E19" ca="1" si="1">IF(C16=0,0,D16/C16)</f>
        <v>1.0676243981357287</v>
      </c>
    </row>
    <row r="17" spans="1:5" ht="14.4" customHeight="1" x14ac:dyDescent="0.3">
      <c r="A17" s="187" t="str">
        <f>HYPERLINK("#HI!A1","Ambulance (body za výkony + Kč za ZUM a ZULP)")</f>
        <v>Ambulance (body za výkony + Kč za ZUM a ZULP)</v>
      </c>
      <c r="B17" s="164"/>
      <c r="C17" s="165">
        <f ca="1">IF(ISERROR(VLOOKUP("Ambulance *",INDIRECT("HI!$A:$G"),6,0)),0,VLOOKUP("Ambulance *",INDIRECT("HI!$A:$G"),6,0))</f>
        <v>18154.009999999998</v>
      </c>
      <c r="D17" s="165">
        <f ca="1">IF(ISERROR(VLOOKUP("Ambulance *",INDIRECT("HI!$A:$G"),5,0)),0,VLOOKUP("Ambulance *",INDIRECT("HI!$A:$G"),5,0))</f>
        <v>19381.664000000001</v>
      </c>
      <c r="E17" s="166">
        <f t="shared" ca="1" si="1"/>
        <v>1.0676243981357287</v>
      </c>
    </row>
    <row r="18" spans="1:5" ht="14.4" customHeight="1" x14ac:dyDescent="0.3">
      <c r="A18" s="188" t="str">
        <f>HYPERLINK("#'ZV Vykáz.-A'!A1","Zdravotní výkony vykázané u ambulantních pacientů (min. 100 %)")</f>
        <v>Zdravotní výkony vykázané u ambulantních pacientů (min. 100 %)</v>
      </c>
      <c r="B18" s="151" t="s">
        <v>124</v>
      </c>
      <c r="C18" s="171">
        <v>1</v>
      </c>
      <c r="D18" s="171">
        <f>IF(ISERROR(VLOOKUP("Celkem:",'ZV Vykáz.-A'!$A:$S,7,0)),"",VLOOKUP("Celkem:",'ZV Vykáz.-A'!$A:$S,7,0))</f>
        <v>1.0676243981357287</v>
      </c>
      <c r="E18" s="166">
        <f t="shared" si="1"/>
        <v>1.0676243981357287</v>
      </c>
    </row>
    <row r="19" spans="1:5" ht="14.4" customHeight="1" x14ac:dyDescent="0.3">
      <c r="A19" s="188" t="str">
        <f>HYPERLINK("#'ZV Vykáz.-H'!A1","Zdravotní výkony vykázané u hospitalizovaných pacientů (max. 85 %)")</f>
        <v>Zdravotní výkony vykázané u hospitalizovaných pacientů (max. 85 %)</v>
      </c>
      <c r="B19" s="151" t="s">
        <v>126</v>
      </c>
      <c r="C19" s="171">
        <v>0.85</v>
      </c>
      <c r="D19" s="171">
        <f>IF(ISERROR(VLOOKUP("Celkem:",'ZV Vykáz.-H'!$A:$S,7,0)),"",VLOOKUP("Celkem:",'ZV Vykáz.-H'!$A:$S,7,0))</f>
        <v>0.80481560207034863</v>
      </c>
      <c r="E19" s="166">
        <f t="shared" si="1"/>
        <v>0.9468418847886455</v>
      </c>
    </row>
    <row r="20" spans="1:5" ht="14.4" customHeight="1" x14ac:dyDescent="0.3">
      <c r="A20" s="189" t="str">
        <f>HYPERLINK("#HI!A1","Hospitalizace (casemix * 30000)")</f>
        <v>Hospitalizace (casemix * 30000)</v>
      </c>
      <c r="B20" s="168"/>
      <c r="C20" s="165">
        <f ca="1">IF(ISERROR(VLOOKUP("Hospitalizace *",INDIRECT("HI!$A:$G"),6,0)),0,VLOOKUP("Hospitalizace *",INDIRECT("HI!$A:$G"),6,0))</f>
        <v>0</v>
      </c>
      <c r="D20" s="165">
        <f ca="1">IF(ISERROR(VLOOKUP("Hospitalizace *",INDIRECT("HI!$A:$G"),5,0)),0,VLOOKUP("Hospitalizace *",INDIRECT("HI!$A:$G"),5,0))</f>
        <v>0</v>
      </c>
      <c r="E20" s="166">
        <f ca="1">IF(C20=0,0,D20/C20)</f>
        <v>0</v>
      </c>
    </row>
    <row r="21" spans="1:5" ht="14.4" customHeight="1" thickBot="1" x14ac:dyDescent="0.35">
      <c r="A21" s="190" t="s">
        <v>153</v>
      </c>
      <c r="B21" s="176"/>
      <c r="C21" s="177"/>
      <c r="D21" s="177"/>
      <c r="E21" s="178"/>
    </row>
    <row r="22" spans="1:5" ht="14.4" customHeight="1" thickBot="1" x14ac:dyDescent="0.35">
      <c r="A22" s="191"/>
      <c r="B22" s="192"/>
      <c r="C22" s="193"/>
      <c r="D22" s="193"/>
      <c r="E22" s="194"/>
    </row>
    <row r="23" spans="1:5" ht="14.4" customHeight="1" thickBot="1" x14ac:dyDescent="0.35">
      <c r="A23" s="195" t="s">
        <v>154</v>
      </c>
      <c r="B23" s="196"/>
      <c r="C23" s="197"/>
      <c r="D23" s="197"/>
      <c r="E23" s="198"/>
    </row>
  </sheetData>
  <mergeCells count="1">
    <mergeCell ref="A1:E1"/>
  </mergeCells>
  <conditionalFormatting sqref="E5">
    <cfRule type="cellIs" dxfId="6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0">
    <cfRule type="cellIs" dxfId="5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6 E18 E9:E10">
    <cfRule type="cellIs" dxfId="55" priority="16" operator="lessThan">
      <formula>1</formula>
    </cfRule>
  </conditionalFormatting>
  <conditionalFormatting sqref="E16 E18 E9:E10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3 E19">
    <cfRule type="cellIs" dxfId="54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1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1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1" customWidth="1"/>
    <col min="20" max="16384" width="8.88671875" style="130"/>
  </cols>
  <sheetData>
    <row r="1" spans="1:19" ht="18.600000000000001" customHeight="1" thickBot="1" x14ac:dyDescent="0.4">
      <c r="A1" s="314" t="s">
        <v>128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19" ht="14.4" customHeight="1" thickBot="1" x14ac:dyDescent="0.35">
      <c r="A2" s="235" t="s">
        <v>263</v>
      </c>
      <c r="B2" s="227"/>
      <c r="C2" s="111"/>
      <c r="D2" s="227"/>
      <c r="E2" s="111"/>
      <c r="F2" s="227"/>
      <c r="G2" s="228"/>
      <c r="H2" s="227"/>
      <c r="I2" s="111"/>
      <c r="J2" s="227"/>
      <c r="K2" s="111"/>
      <c r="L2" s="227"/>
      <c r="M2" s="228"/>
      <c r="N2" s="227"/>
      <c r="O2" s="111"/>
      <c r="P2" s="227"/>
      <c r="Q2" s="111"/>
      <c r="R2" s="227"/>
      <c r="S2" s="228"/>
    </row>
    <row r="3" spans="1:19" ht="14.4" customHeight="1" thickBot="1" x14ac:dyDescent="0.35">
      <c r="A3" s="221" t="s">
        <v>129</v>
      </c>
      <c r="B3" s="222">
        <f>SUBTOTAL(9,B6:B1048576)</f>
        <v>416355</v>
      </c>
      <c r="C3" s="223">
        <f t="shared" ref="C3:R3" si="0">SUBTOTAL(9,C6:C1048576)</f>
        <v>9</v>
      </c>
      <c r="D3" s="223">
        <f t="shared" si="0"/>
        <v>202418</v>
      </c>
      <c r="E3" s="223">
        <f t="shared" si="0"/>
        <v>4.4724644412278725</v>
      </c>
      <c r="F3" s="223">
        <f t="shared" si="0"/>
        <v>335089</v>
      </c>
      <c r="G3" s="226">
        <f>IF(B3&lt;&gt;0,F3/B3,"")</f>
        <v>0.80481560207034863</v>
      </c>
      <c r="H3" s="222">
        <f t="shared" si="0"/>
        <v>-568.37</v>
      </c>
      <c r="I3" s="223">
        <f t="shared" si="0"/>
        <v>1</v>
      </c>
      <c r="J3" s="223">
        <f t="shared" si="0"/>
        <v>0</v>
      </c>
      <c r="K3" s="223">
        <f t="shared" si="0"/>
        <v>0</v>
      </c>
      <c r="L3" s="223">
        <f t="shared" si="0"/>
        <v>0</v>
      </c>
      <c r="M3" s="224">
        <f>IF(H3&lt;&gt;0,L3/H3,"")</f>
        <v>0</v>
      </c>
      <c r="N3" s="225">
        <f t="shared" si="0"/>
        <v>0</v>
      </c>
      <c r="O3" s="223">
        <f t="shared" si="0"/>
        <v>0</v>
      </c>
      <c r="P3" s="223">
        <f t="shared" si="0"/>
        <v>0</v>
      </c>
      <c r="Q3" s="223">
        <f t="shared" si="0"/>
        <v>0</v>
      </c>
      <c r="R3" s="223">
        <f t="shared" si="0"/>
        <v>0</v>
      </c>
      <c r="S3" s="224" t="str">
        <f>IF(N3&lt;&gt;0,R3/N3,"")</f>
        <v/>
      </c>
    </row>
    <row r="4" spans="1:19" ht="14.4" customHeight="1" x14ac:dyDescent="0.3">
      <c r="A4" s="372" t="s">
        <v>106</v>
      </c>
      <c r="B4" s="373" t="s">
        <v>100</v>
      </c>
      <c r="C4" s="374"/>
      <c r="D4" s="374"/>
      <c r="E4" s="374"/>
      <c r="F4" s="374"/>
      <c r="G4" s="375"/>
      <c r="H4" s="373" t="s">
        <v>101</v>
      </c>
      <c r="I4" s="374"/>
      <c r="J4" s="374"/>
      <c r="K4" s="374"/>
      <c r="L4" s="374"/>
      <c r="M4" s="375"/>
      <c r="N4" s="373" t="s">
        <v>102</v>
      </c>
      <c r="O4" s="374"/>
      <c r="P4" s="374"/>
      <c r="Q4" s="374"/>
      <c r="R4" s="374"/>
      <c r="S4" s="375"/>
    </row>
    <row r="5" spans="1:19" ht="14.4" customHeight="1" thickBot="1" x14ac:dyDescent="0.35">
      <c r="A5" s="541"/>
      <c r="B5" s="542">
        <v>2012</v>
      </c>
      <c r="C5" s="543"/>
      <c r="D5" s="543">
        <v>2013</v>
      </c>
      <c r="E5" s="543"/>
      <c r="F5" s="543">
        <v>2014</v>
      </c>
      <c r="G5" s="544" t="s">
        <v>2</v>
      </c>
      <c r="H5" s="542">
        <v>2012</v>
      </c>
      <c r="I5" s="543"/>
      <c r="J5" s="543">
        <v>2013</v>
      </c>
      <c r="K5" s="543"/>
      <c r="L5" s="543">
        <v>2014</v>
      </c>
      <c r="M5" s="544" t="s">
        <v>2</v>
      </c>
      <c r="N5" s="542">
        <v>2012</v>
      </c>
      <c r="O5" s="543"/>
      <c r="P5" s="543">
        <v>2013</v>
      </c>
      <c r="Q5" s="543"/>
      <c r="R5" s="543">
        <v>2014</v>
      </c>
      <c r="S5" s="544" t="s">
        <v>2</v>
      </c>
    </row>
    <row r="6" spans="1:19" ht="14.4" customHeight="1" x14ac:dyDescent="0.3">
      <c r="A6" s="501" t="s">
        <v>975</v>
      </c>
      <c r="B6" s="545">
        <v>5776</v>
      </c>
      <c r="C6" s="426">
        <v>1</v>
      </c>
      <c r="D6" s="545">
        <v>6798</v>
      </c>
      <c r="E6" s="426">
        <v>1.1769390581717452</v>
      </c>
      <c r="F6" s="545">
        <v>4316</v>
      </c>
      <c r="G6" s="455">
        <v>0.74722991689750695</v>
      </c>
      <c r="H6" s="545"/>
      <c r="I6" s="426"/>
      <c r="J6" s="545"/>
      <c r="K6" s="426"/>
      <c r="L6" s="545"/>
      <c r="M6" s="455"/>
      <c r="N6" s="545"/>
      <c r="O6" s="426"/>
      <c r="P6" s="545"/>
      <c r="Q6" s="426"/>
      <c r="R6" s="545"/>
      <c r="S6" s="456"/>
    </row>
    <row r="7" spans="1:19" ht="14.4" customHeight="1" x14ac:dyDescent="0.3">
      <c r="A7" s="504" t="s">
        <v>976</v>
      </c>
      <c r="B7" s="546"/>
      <c r="C7" s="508"/>
      <c r="D7" s="546">
        <v>2516</v>
      </c>
      <c r="E7" s="508"/>
      <c r="F7" s="546"/>
      <c r="G7" s="490"/>
      <c r="H7" s="546"/>
      <c r="I7" s="508"/>
      <c r="J7" s="546"/>
      <c r="K7" s="508"/>
      <c r="L7" s="546"/>
      <c r="M7" s="490"/>
      <c r="N7" s="546"/>
      <c r="O7" s="508"/>
      <c r="P7" s="546"/>
      <c r="Q7" s="508"/>
      <c r="R7" s="546"/>
      <c r="S7" s="547"/>
    </row>
    <row r="8" spans="1:19" ht="14.4" customHeight="1" x14ac:dyDescent="0.3">
      <c r="A8" s="504" t="s">
        <v>977</v>
      </c>
      <c r="B8" s="546">
        <v>127944</v>
      </c>
      <c r="C8" s="508">
        <v>1</v>
      </c>
      <c r="D8" s="546">
        <v>49635</v>
      </c>
      <c r="E8" s="508">
        <v>0.38794316263365225</v>
      </c>
      <c r="F8" s="546">
        <v>119376</v>
      </c>
      <c r="G8" s="490">
        <v>0.93303320202588635</v>
      </c>
      <c r="H8" s="546"/>
      <c r="I8" s="508"/>
      <c r="J8" s="546"/>
      <c r="K8" s="508"/>
      <c r="L8" s="546"/>
      <c r="M8" s="490"/>
      <c r="N8" s="546"/>
      <c r="O8" s="508"/>
      <c r="P8" s="546"/>
      <c r="Q8" s="508"/>
      <c r="R8" s="546"/>
      <c r="S8" s="547"/>
    </row>
    <row r="9" spans="1:19" ht="14.4" customHeight="1" x14ac:dyDescent="0.3">
      <c r="A9" s="504" t="s">
        <v>978</v>
      </c>
      <c r="B9" s="546">
        <v>54826</v>
      </c>
      <c r="C9" s="508">
        <v>1</v>
      </c>
      <c r="D9" s="546">
        <v>52164</v>
      </c>
      <c r="E9" s="508">
        <v>0.95144639404662024</v>
      </c>
      <c r="F9" s="546">
        <v>97191</v>
      </c>
      <c r="G9" s="490">
        <v>1.772717323897421</v>
      </c>
      <c r="H9" s="546"/>
      <c r="I9" s="508"/>
      <c r="J9" s="546"/>
      <c r="K9" s="508"/>
      <c r="L9" s="546"/>
      <c r="M9" s="490"/>
      <c r="N9" s="546"/>
      <c r="O9" s="508"/>
      <c r="P9" s="546"/>
      <c r="Q9" s="508"/>
      <c r="R9" s="546"/>
      <c r="S9" s="547"/>
    </row>
    <row r="10" spans="1:19" ht="14.4" customHeight="1" x14ac:dyDescent="0.3">
      <c r="A10" s="504" t="s">
        <v>979</v>
      </c>
      <c r="B10" s="546">
        <v>138012</v>
      </c>
      <c r="C10" s="508">
        <v>1</v>
      </c>
      <c r="D10" s="546">
        <v>20062</v>
      </c>
      <c r="E10" s="508">
        <v>0.14536417123148712</v>
      </c>
      <c r="F10" s="546">
        <v>84691</v>
      </c>
      <c r="G10" s="490">
        <v>0.61364953772135755</v>
      </c>
      <c r="H10" s="546"/>
      <c r="I10" s="508"/>
      <c r="J10" s="546"/>
      <c r="K10" s="508"/>
      <c r="L10" s="546"/>
      <c r="M10" s="490"/>
      <c r="N10" s="546"/>
      <c r="O10" s="508"/>
      <c r="P10" s="546"/>
      <c r="Q10" s="508"/>
      <c r="R10" s="546"/>
      <c r="S10" s="547"/>
    </row>
    <row r="11" spans="1:19" ht="14.4" customHeight="1" x14ac:dyDescent="0.3">
      <c r="A11" s="504" t="s">
        <v>980</v>
      </c>
      <c r="B11" s="546">
        <v>41220</v>
      </c>
      <c r="C11" s="508">
        <v>1</v>
      </c>
      <c r="D11" s="546"/>
      <c r="E11" s="508"/>
      <c r="F11" s="546"/>
      <c r="G11" s="490"/>
      <c r="H11" s="546"/>
      <c r="I11" s="508"/>
      <c r="J11" s="546"/>
      <c r="K11" s="508"/>
      <c r="L11" s="546"/>
      <c r="M11" s="490"/>
      <c r="N11" s="546"/>
      <c r="O11" s="508"/>
      <c r="P11" s="546"/>
      <c r="Q11" s="508"/>
      <c r="R11" s="546"/>
      <c r="S11" s="547"/>
    </row>
    <row r="12" spans="1:19" ht="14.4" customHeight="1" x14ac:dyDescent="0.3">
      <c r="A12" s="504" t="s">
        <v>981</v>
      </c>
      <c r="B12" s="546">
        <v>39344</v>
      </c>
      <c r="C12" s="508">
        <v>1</v>
      </c>
      <c r="D12" s="546">
        <v>71243</v>
      </c>
      <c r="E12" s="508">
        <v>1.8107716551443676</v>
      </c>
      <c r="F12" s="546">
        <v>28079</v>
      </c>
      <c r="G12" s="490">
        <v>0.71367934119560794</v>
      </c>
      <c r="H12" s="546"/>
      <c r="I12" s="508"/>
      <c r="J12" s="546"/>
      <c r="K12" s="508"/>
      <c r="L12" s="546"/>
      <c r="M12" s="490"/>
      <c r="N12" s="546"/>
      <c r="O12" s="508"/>
      <c r="P12" s="546"/>
      <c r="Q12" s="508"/>
      <c r="R12" s="546"/>
      <c r="S12" s="547"/>
    </row>
    <row r="13" spans="1:19" ht="14.4" customHeight="1" x14ac:dyDescent="0.3">
      <c r="A13" s="504" t="s">
        <v>982</v>
      </c>
      <c r="B13" s="546">
        <v>1077</v>
      </c>
      <c r="C13" s="508">
        <v>1</v>
      </c>
      <c r="D13" s="546"/>
      <c r="E13" s="508"/>
      <c r="F13" s="546"/>
      <c r="G13" s="490"/>
      <c r="H13" s="546"/>
      <c r="I13" s="508"/>
      <c r="J13" s="546"/>
      <c r="K13" s="508"/>
      <c r="L13" s="546"/>
      <c r="M13" s="490"/>
      <c r="N13" s="546"/>
      <c r="O13" s="508"/>
      <c r="P13" s="546"/>
      <c r="Q13" s="508"/>
      <c r="R13" s="546"/>
      <c r="S13" s="547"/>
    </row>
    <row r="14" spans="1:19" ht="14.4" customHeight="1" x14ac:dyDescent="0.3">
      <c r="A14" s="504" t="s">
        <v>983</v>
      </c>
      <c r="B14" s="546">
        <v>4078</v>
      </c>
      <c r="C14" s="508">
        <v>1</v>
      </c>
      <c r="D14" s="546"/>
      <c r="E14" s="508"/>
      <c r="F14" s="546">
        <v>1436</v>
      </c>
      <c r="G14" s="490">
        <v>0.35213339872486515</v>
      </c>
      <c r="H14" s="546"/>
      <c r="I14" s="508"/>
      <c r="J14" s="546"/>
      <c r="K14" s="508"/>
      <c r="L14" s="546"/>
      <c r="M14" s="490"/>
      <c r="N14" s="546"/>
      <c r="O14" s="508"/>
      <c r="P14" s="546"/>
      <c r="Q14" s="508"/>
      <c r="R14" s="546"/>
      <c r="S14" s="547"/>
    </row>
    <row r="15" spans="1:19" ht="14.4" customHeight="1" x14ac:dyDescent="0.3">
      <c r="A15" s="504" t="s">
        <v>984</v>
      </c>
      <c r="B15" s="546"/>
      <c r="C15" s="508"/>
      <c r="D15" s="546"/>
      <c r="E15" s="508"/>
      <c r="F15" s="546"/>
      <c r="G15" s="490"/>
      <c r="H15" s="546">
        <v>-568.37</v>
      </c>
      <c r="I15" s="508">
        <v>1</v>
      </c>
      <c r="J15" s="546"/>
      <c r="K15" s="508"/>
      <c r="L15" s="546"/>
      <c r="M15" s="490"/>
      <c r="N15" s="546"/>
      <c r="O15" s="508"/>
      <c r="P15" s="546"/>
      <c r="Q15" s="508"/>
      <c r="R15" s="546"/>
      <c r="S15" s="547"/>
    </row>
    <row r="16" spans="1:19" ht="14.4" customHeight="1" thickBot="1" x14ac:dyDescent="0.35">
      <c r="A16" s="549" t="s">
        <v>985</v>
      </c>
      <c r="B16" s="548">
        <v>4078</v>
      </c>
      <c r="C16" s="477">
        <v>1</v>
      </c>
      <c r="D16" s="548"/>
      <c r="E16" s="477"/>
      <c r="F16" s="548"/>
      <c r="G16" s="479"/>
      <c r="H16" s="548"/>
      <c r="I16" s="477"/>
      <c r="J16" s="548"/>
      <c r="K16" s="477"/>
      <c r="L16" s="548"/>
      <c r="M16" s="479"/>
      <c r="N16" s="548"/>
      <c r="O16" s="477"/>
      <c r="P16" s="548"/>
      <c r="Q16" s="477"/>
      <c r="R16" s="548"/>
      <c r="S16" s="48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8" customWidth="1"/>
    <col min="8" max="9" width="9.33203125" style="208" hidden="1" customWidth="1"/>
    <col min="10" max="11" width="11.109375" style="208" customWidth="1"/>
    <col min="12" max="13" width="9.33203125" style="208" hidden="1" customWidth="1"/>
    <col min="14" max="15" width="11.109375" style="208" customWidth="1"/>
    <col min="16" max="16" width="11.109375" style="211" customWidth="1"/>
    <col min="17" max="17" width="11.109375" style="208" customWidth="1"/>
    <col min="18" max="16384" width="8.88671875" style="130"/>
  </cols>
  <sheetData>
    <row r="1" spans="1:17" ht="18.600000000000001" customHeight="1" thickBot="1" x14ac:dyDescent="0.4">
      <c r="A1" s="305" t="s">
        <v>996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235" t="s">
        <v>263</v>
      </c>
      <c r="B2" s="131"/>
      <c r="C2" s="131"/>
      <c r="D2" s="131"/>
      <c r="E2" s="131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229"/>
    </row>
    <row r="3" spans="1:17" ht="14.4" customHeight="1" thickBot="1" x14ac:dyDescent="0.35">
      <c r="E3" s="87" t="s">
        <v>129</v>
      </c>
      <c r="F3" s="102">
        <f t="shared" ref="F3:O3" si="0">SUBTOTAL(9,F6:F1048576)</f>
        <v>218</v>
      </c>
      <c r="G3" s="103">
        <f t="shared" si="0"/>
        <v>415786.63</v>
      </c>
      <c r="H3" s="103"/>
      <c r="I3" s="103"/>
      <c r="J3" s="103">
        <f t="shared" si="0"/>
        <v>138</v>
      </c>
      <c r="K3" s="103">
        <f t="shared" si="0"/>
        <v>202418</v>
      </c>
      <c r="L3" s="103"/>
      <c r="M3" s="103"/>
      <c r="N3" s="103">
        <f t="shared" si="0"/>
        <v>184</v>
      </c>
      <c r="O3" s="103">
        <f t="shared" si="0"/>
        <v>335089</v>
      </c>
      <c r="P3" s="75">
        <f>IF(G3=0,0,O3/G3)</f>
        <v>0.80591576501630169</v>
      </c>
      <c r="Q3" s="104">
        <f>IF(N3=0,0,O3/N3)</f>
        <v>1821.1358695652175</v>
      </c>
    </row>
    <row r="4" spans="1:17" ht="14.4" customHeight="1" x14ac:dyDescent="0.3">
      <c r="A4" s="378" t="s">
        <v>69</v>
      </c>
      <c r="B4" s="377" t="s">
        <v>95</v>
      </c>
      <c r="C4" s="378" t="s">
        <v>96</v>
      </c>
      <c r="D4" s="379" t="s">
        <v>97</v>
      </c>
      <c r="E4" s="380" t="s">
        <v>70</v>
      </c>
      <c r="F4" s="384">
        <v>2012</v>
      </c>
      <c r="G4" s="385"/>
      <c r="H4" s="105"/>
      <c r="I4" s="105"/>
      <c r="J4" s="384">
        <v>2013</v>
      </c>
      <c r="K4" s="385"/>
      <c r="L4" s="105"/>
      <c r="M4" s="105"/>
      <c r="N4" s="384">
        <v>2014</v>
      </c>
      <c r="O4" s="385"/>
      <c r="P4" s="386" t="s">
        <v>2</v>
      </c>
      <c r="Q4" s="376" t="s">
        <v>98</v>
      </c>
    </row>
    <row r="5" spans="1:17" ht="14.4" customHeight="1" thickBot="1" x14ac:dyDescent="0.35">
      <c r="A5" s="553"/>
      <c r="B5" s="552"/>
      <c r="C5" s="553"/>
      <c r="D5" s="554"/>
      <c r="E5" s="555"/>
      <c r="F5" s="561" t="s">
        <v>72</v>
      </c>
      <c r="G5" s="562" t="s">
        <v>14</v>
      </c>
      <c r="H5" s="563"/>
      <c r="I5" s="563"/>
      <c r="J5" s="561" t="s">
        <v>72</v>
      </c>
      <c r="K5" s="562" t="s">
        <v>14</v>
      </c>
      <c r="L5" s="563"/>
      <c r="M5" s="563"/>
      <c r="N5" s="561" t="s">
        <v>72</v>
      </c>
      <c r="O5" s="562" t="s">
        <v>14</v>
      </c>
      <c r="P5" s="564"/>
      <c r="Q5" s="560"/>
    </row>
    <row r="6" spans="1:17" ht="14.4" customHeight="1" x14ac:dyDescent="0.3">
      <c r="A6" s="425" t="s">
        <v>986</v>
      </c>
      <c r="B6" s="426" t="s">
        <v>872</v>
      </c>
      <c r="C6" s="426" t="s">
        <v>880</v>
      </c>
      <c r="D6" s="426" t="s">
        <v>891</v>
      </c>
      <c r="E6" s="426" t="s">
        <v>892</v>
      </c>
      <c r="F6" s="429">
        <v>1</v>
      </c>
      <c r="G6" s="429">
        <v>318</v>
      </c>
      <c r="H6" s="429">
        <v>1</v>
      </c>
      <c r="I6" s="429">
        <v>318</v>
      </c>
      <c r="J6" s="429"/>
      <c r="K6" s="429"/>
      <c r="L6" s="429"/>
      <c r="M6" s="429"/>
      <c r="N6" s="429"/>
      <c r="O6" s="429"/>
      <c r="P6" s="455"/>
      <c r="Q6" s="430"/>
    </row>
    <row r="7" spans="1:17" ht="14.4" customHeight="1" x14ac:dyDescent="0.3">
      <c r="A7" s="488" t="s">
        <v>986</v>
      </c>
      <c r="B7" s="508" t="s">
        <v>872</v>
      </c>
      <c r="C7" s="508" t="s">
        <v>880</v>
      </c>
      <c r="D7" s="508" t="s">
        <v>897</v>
      </c>
      <c r="E7" s="508" t="s">
        <v>898</v>
      </c>
      <c r="F7" s="489">
        <v>1</v>
      </c>
      <c r="G7" s="489">
        <v>0</v>
      </c>
      <c r="H7" s="489"/>
      <c r="I7" s="489">
        <v>0</v>
      </c>
      <c r="J7" s="489">
        <v>2</v>
      </c>
      <c r="K7" s="489">
        <v>0</v>
      </c>
      <c r="L7" s="489"/>
      <c r="M7" s="489">
        <v>0</v>
      </c>
      <c r="N7" s="489">
        <v>2</v>
      </c>
      <c r="O7" s="489">
        <v>0</v>
      </c>
      <c r="P7" s="490"/>
      <c r="Q7" s="491">
        <v>0</v>
      </c>
    </row>
    <row r="8" spans="1:17" ht="14.4" customHeight="1" x14ac:dyDescent="0.3">
      <c r="A8" s="488" t="s">
        <v>986</v>
      </c>
      <c r="B8" s="508" t="s">
        <v>872</v>
      </c>
      <c r="C8" s="508" t="s">
        <v>880</v>
      </c>
      <c r="D8" s="508" t="s">
        <v>899</v>
      </c>
      <c r="E8" s="508" t="s">
        <v>900</v>
      </c>
      <c r="F8" s="489">
        <v>3</v>
      </c>
      <c r="G8" s="489">
        <v>4818</v>
      </c>
      <c r="H8" s="489">
        <v>1</v>
      </c>
      <c r="I8" s="489">
        <v>1606</v>
      </c>
      <c r="J8" s="489">
        <v>3</v>
      </c>
      <c r="K8" s="489">
        <v>4308</v>
      </c>
      <c r="L8" s="489">
        <v>0.89414694894146951</v>
      </c>
      <c r="M8" s="489">
        <v>1436</v>
      </c>
      <c r="N8" s="489">
        <v>3</v>
      </c>
      <c r="O8" s="489">
        <v>4316</v>
      </c>
      <c r="P8" s="490">
        <v>0.89580738895807388</v>
      </c>
      <c r="Q8" s="491">
        <v>1438.6666666666667</v>
      </c>
    </row>
    <row r="9" spans="1:17" ht="14.4" customHeight="1" x14ac:dyDescent="0.3">
      <c r="A9" s="488" t="s">
        <v>986</v>
      </c>
      <c r="B9" s="508" t="s">
        <v>919</v>
      </c>
      <c r="C9" s="508" t="s">
        <v>880</v>
      </c>
      <c r="D9" s="508" t="s">
        <v>933</v>
      </c>
      <c r="E9" s="508" t="s">
        <v>934</v>
      </c>
      <c r="F9" s="489">
        <v>1</v>
      </c>
      <c r="G9" s="489">
        <v>640</v>
      </c>
      <c r="H9" s="489">
        <v>1</v>
      </c>
      <c r="I9" s="489">
        <v>640</v>
      </c>
      <c r="J9" s="489"/>
      <c r="K9" s="489"/>
      <c r="L9" s="489"/>
      <c r="M9" s="489"/>
      <c r="N9" s="489"/>
      <c r="O9" s="489"/>
      <c r="P9" s="490"/>
      <c r="Q9" s="491"/>
    </row>
    <row r="10" spans="1:17" ht="14.4" customHeight="1" x14ac:dyDescent="0.3">
      <c r="A10" s="488" t="s">
        <v>986</v>
      </c>
      <c r="B10" s="508" t="s">
        <v>943</v>
      </c>
      <c r="C10" s="508" t="s">
        <v>880</v>
      </c>
      <c r="D10" s="508" t="s">
        <v>948</v>
      </c>
      <c r="E10" s="508" t="s">
        <v>949</v>
      </c>
      <c r="F10" s="489"/>
      <c r="G10" s="489"/>
      <c r="H10" s="489"/>
      <c r="I10" s="489"/>
      <c r="J10" s="489">
        <v>2</v>
      </c>
      <c r="K10" s="489">
        <v>2490</v>
      </c>
      <c r="L10" s="489"/>
      <c r="M10" s="489">
        <v>1245</v>
      </c>
      <c r="N10" s="489"/>
      <c r="O10" s="489"/>
      <c r="P10" s="490"/>
      <c r="Q10" s="491"/>
    </row>
    <row r="11" spans="1:17" ht="14.4" customHeight="1" x14ac:dyDescent="0.3">
      <c r="A11" s="488" t="s">
        <v>987</v>
      </c>
      <c r="B11" s="508" t="s">
        <v>872</v>
      </c>
      <c r="C11" s="508" t="s">
        <v>880</v>
      </c>
      <c r="D11" s="508" t="s">
        <v>899</v>
      </c>
      <c r="E11" s="508" t="s">
        <v>900</v>
      </c>
      <c r="F11" s="489"/>
      <c r="G11" s="489"/>
      <c r="H11" s="489"/>
      <c r="I11" s="489"/>
      <c r="J11" s="489">
        <v>1</v>
      </c>
      <c r="K11" s="489">
        <v>1436</v>
      </c>
      <c r="L11" s="489"/>
      <c r="M11" s="489">
        <v>1436</v>
      </c>
      <c r="N11" s="489"/>
      <c r="O11" s="489"/>
      <c r="P11" s="490"/>
      <c r="Q11" s="491"/>
    </row>
    <row r="12" spans="1:17" ht="14.4" customHeight="1" x14ac:dyDescent="0.3">
      <c r="A12" s="488" t="s">
        <v>987</v>
      </c>
      <c r="B12" s="508" t="s">
        <v>919</v>
      </c>
      <c r="C12" s="508" t="s">
        <v>880</v>
      </c>
      <c r="D12" s="508" t="s">
        <v>921</v>
      </c>
      <c r="E12" s="508" t="s">
        <v>922</v>
      </c>
      <c r="F12" s="489"/>
      <c r="G12" s="489"/>
      <c r="H12" s="489"/>
      <c r="I12" s="489"/>
      <c r="J12" s="489">
        <v>1</v>
      </c>
      <c r="K12" s="489">
        <v>438</v>
      </c>
      <c r="L12" s="489"/>
      <c r="M12" s="489">
        <v>438</v>
      </c>
      <c r="N12" s="489"/>
      <c r="O12" s="489"/>
      <c r="P12" s="490"/>
      <c r="Q12" s="491"/>
    </row>
    <row r="13" spans="1:17" ht="14.4" customHeight="1" x14ac:dyDescent="0.3">
      <c r="A13" s="488" t="s">
        <v>987</v>
      </c>
      <c r="B13" s="508" t="s">
        <v>919</v>
      </c>
      <c r="C13" s="508" t="s">
        <v>880</v>
      </c>
      <c r="D13" s="508" t="s">
        <v>933</v>
      </c>
      <c r="E13" s="508" t="s">
        <v>934</v>
      </c>
      <c r="F13" s="489"/>
      <c r="G13" s="489"/>
      <c r="H13" s="489"/>
      <c r="I13" s="489"/>
      <c r="J13" s="489">
        <v>1</v>
      </c>
      <c r="K13" s="489">
        <v>642</v>
      </c>
      <c r="L13" s="489"/>
      <c r="M13" s="489">
        <v>642</v>
      </c>
      <c r="N13" s="489"/>
      <c r="O13" s="489"/>
      <c r="P13" s="490"/>
      <c r="Q13" s="491"/>
    </row>
    <row r="14" spans="1:17" ht="14.4" customHeight="1" x14ac:dyDescent="0.3">
      <c r="A14" s="488" t="s">
        <v>988</v>
      </c>
      <c r="B14" s="508" t="s">
        <v>872</v>
      </c>
      <c r="C14" s="508" t="s">
        <v>880</v>
      </c>
      <c r="D14" s="508" t="s">
        <v>887</v>
      </c>
      <c r="E14" s="508" t="s">
        <v>888</v>
      </c>
      <c r="F14" s="489">
        <v>1</v>
      </c>
      <c r="G14" s="489">
        <v>2485</v>
      </c>
      <c r="H14" s="489">
        <v>1</v>
      </c>
      <c r="I14" s="489">
        <v>2485</v>
      </c>
      <c r="J14" s="489"/>
      <c r="K14" s="489"/>
      <c r="L14" s="489"/>
      <c r="M14" s="489"/>
      <c r="N14" s="489"/>
      <c r="O14" s="489"/>
      <c r="P14" s="490"/>
      <c r="Q14" s="491"/>
    </row>
    <row r="15" spans="1:17" ht="14.4" customHeight="1" x14ac:dyDescent="0.3">
      <c r="A15" s="488" t="s">
        <v>988</v>
      </c>
      <c r="B15" s="508" t="s">
        <v>872</v>
      </c>
      <c r="C15" s="508" t="s">
        <v>880</v>
      </c>
      <c r="D15" s="508" t="s">
        <v>891</v>
      </c>
      <c r="E15" s="508" t="s">
        <v>892</v>
      </c>
      <c r="F15" s="489">
        <v>2</v>
      </c>
      <c r="G15" s="489">
        <v>636</v>
      </c>
      <c r="H15" s="489">
        <v>1</v>
      </c>
      <c r="I15" s="489">
        <v>318</v>
      </c>
      <c r="J15" s="489"/>
      <c r="K15" s="489"/>
      <c r="L15" s="489"/>
      <c r="M15" s="489"/>
      <c r="N15" s="489"/>
      <c r="O15" s="489"/>
      <c r="P15" s="490"/>
      <c r="Q15" s="491"/>
    </row>
    <row r="16" spans="1:17" ht="14.4" customHeight="1" x14ac:dyDescent="0.3">
      <c r="A16" s="488" t="s">
        <v>988</v>
      </c>
      <c r="B16" s="508" t="s">
        <v>872</v>
      </c>
      <c r="C16" s="508" t="s">
        <v>880</v>
      </c>
      <c r="D16" s="508" t="s">
        <v>895</v>
      </c>
      <c r="E16" s="508" t="s">
        <v>896</v>
      </c>
      <c r="F16" s="489">
        <v>8</v>
      </c>
      <c r="G16" s="489">
        <v>2584</v>
      </c>
      <c r="H16" s="489">
        <v>1</v>
      </c>
      <c r="I16" s="489">
        <v>323</v>
      </c>
      <c r="J16" s="489">
        <v>3</v>
      </c>
      <c r="K16" s="489">
        <v>969</v>
      </c>
      <c r="L16" s="489">
        <v>0.375</v>
      </c>
      <c r="M16" s="489">
        <v>323</v>
      </c>
      <c r="N16" s="489">
        <v>6</v>
      </c>
      <c r="O16" s="489">
        <v>1938</v>
      </c>
      <c r="P16" s="490">
        <v>0.75</v>
      </c>
      <c r="Q16" s="491">
        <v>323</v>
      </c>
    </row>
    <row r="17" spans="1:17" ht="14.4" customHeight="1" x14ac:dyDescent="0.3">
      <c r="A17" s="488" t="s">
        <v>988</v>
      </c>
      <c r="B17" s="508" t="s">
        <v>872</v>
      </c>
      <c r="C17" s="508" t="s">
        <v>880</v>
      </c>
      <c r="D17" s="508" t="s">
        <v>897</v>
      </c>
      <c r="E17" s="508" t="s">
        <v>898</v>
      </c>
      <c r="F17" s="489">
        <v>2</v>
      </c>
      <c r="G17" s="489">
        <v>0</v>
      </c>
      <c r="H17" s="489"/>
      <c r="I17" s="489">
        <v>0</v>
      </c>
      <c r="J17" s="489">
        <v>1</v>
      </c>
      <c r="K17" s="489">
        <v>0</v>
      </c>
      <c r="L17" s="489"/>
      <c r="M17" s="489">
        <v>0</v>
      </c>
      <c r="N17" s="489">
        <v>3</v>
      </c>
      <c r="O17" s="489">
        <v>0</v>
      </c>
      <c r="P17" s="490"/>
      <c r="Q17" s="491">
        <v>0</v>
      </c>
    </row>
    <row r="18" spans="1:17" ht="14.4" customHeight="1" x14ac:dyDescent="0.3">
      <c r="A18" s="488" t="s">
        <v>988</v>
      </c>
      <c r="B18" s="508" t="s">
        <v>872</v>
      </c>
      <c r="C18" s="508" t="s">
        <v>880</v>
      </c>
      <c r="D18" s="508" t="s">
        <v>899</v>
      </c>
      <c r="E18" s="508" t="s">
        <v>900</v>
      </c>
      <c r="F18" s="489">
        <v>3</v>
      </c>
      <c r="G18" s="489">
        <v>4818</v>
      </c>
      <c r="H18" s="489">
        <v>1</v>
      </c>
      <c r="I18" s="489">
        <v>1606</v>
      </c>
      <c r="J18" s="489">
        <v>2</v>
      </c>
      <c r="K18" s="489">
        <v>2872</v>
      </c>
      <c r="L18" s="489">
        <v>0.59609796596097964</v>
      </c>
      <c r="M18" s="489">
        <v>1436</v>
      </c>
      <c r="N18" s="489">
        <v>4</v>
      </c>
      <c r="O18" s="489">
        <v>5760</v>
      </c>
      <c r="P18" s="490">
        <v>1.195516811955168</v>
      </c>
      <c r="Q18" s="491">
        <v>1440</v>
      </c>
    </row>
    <row r="19" spans="1:17" ht="14.4" customHeight="1" x14ac:dyDescent="0.3">
      <c r="A19" s="488" t="s">
        <v>988</v>
      </c>
      <c r="B19" s="508" t="s">
        <v>872</v>
      </c>
      <c r="C19" s="508" t="s">
        <v>880</v>
      </c>
      <c r="D19" s="508" t="s">
        <v>901</v>
      </c>
      <c r="E19" s="508" t="s">
        <v>902</v>
      </c>
      <c r="F19" s="489"/>
      <c r="G19" s="489"/>
      <c r="H19" s="489"/>
      <c r="I19" s="489"/>
      <c r="J19" s="489">
        <v>1</v>
      </c>
      <c r="K19" s="489">
        <v>0</v>
      </c>
      <c r="L19" s="489"/>
      <c r="M19" s="489">
        <v>0</v>
      </c>
      <c r="N19" s="489"/>
      <c r="O19" s="489"/>
      <c r="P19" s="490"/>
      <c r="Q19" s="491"/>
    </row>
    <row r="20" spans="1:17" ht="14.4" customHeight="1" x14ac:dyDescent="0.3">
      <c r="A20" s="488" t="s">
        <v>988</v>
      </c>
      <c r="B20" s="508" t="s">
        <v>919</v>
      </c>
      <c r="C20" s="508" t="s">
        <v>880</v>
      </c>
      <c r="D20" s="508" t="s">
        <v>921</v>
      </c>
      <c r="E20" s="508" t="s">
        <v>922</v>
      </c>
      <c r="F20" s="489">
        <v>2</v>
      </c>
      <c r="G20" s="489">
        <v>874</v>
      </c>
      <c r="H20" s="489">
        <v>1</v>
      </c>
      <c r="I20" s="489">
        <v>437</v>
      </c>
      <c r="J20" s="489"/>
      <c r="K20" s="489"/>
      <c r="L20" s="489"/>
      <c r="M20" s="489"/>
      <c r="N20" s="489">
        <v>1</v>
      </c>
      <c r="O20" s="489">
        <v>438</v>
      </c>
      <c r="P20" s="490">
        <v>0.50114416475972545</v>
      </c>
      <c r="Q20" s="491">
        <v>438</v>
      </c>
    </row>
    <row r="21" spans="1:17" ht="14.4" customHeight="1" x14ac:dyDescent="0.3">
      <c r="A21" s="488" t="s">
        <v>988</v>
      </c>
      <c r="B21" s="508" t="s">
        <v>919</v>
      </c>
      <c r="C21" s="508" t="s">
        <v>880</v>
      </c>
      <c r="D21" s="508" t="s">
        <v>933</v>
      </c>
      <c r="E21" s="508" t="s">
        <v>934</v>
      </c>
      <c r="F21" s="489">
        <v>10</v>
      </c>
      <c r="G21" s="489">
        <v>6400</v>
      </c>
      <c r="H21" s="489">
        <v>1</v>
      </c>
      <c r="I21" s="489">
        <v>640</v>
      </c>
      <c r="J21" s="489">
        <v>5</v>
      </c>
      <c r="K21" s="489">
        <v>3210</v>
      </c>
      <c r="L21" s="489">
        <v>0.50156250000000002</v>
      </c>
      <c r="M21" s="489">
        <v>642</v>
      </c>
      <c r="N21" s="489">
        <v>4</v>
      </c>
      <c r="O21" s="489">
        <v>2568</v>
      </c>
      <c r="P21" s="490">
        <v>0.40125</v>
      </c>
      <c r="Q21" s="491">
        <v>642</v>
      </c>
    </row>
    <row r="22" spans="1:17" ht="14.4" customHeight="1" x14ac:dyDescent="0.3">
      <c r="A22" s="488" t="s">
        <v>988</v>
      </c>
      <c r="B22" s="508" t="s">
        <v>919</v>
      </c>
      <c r="C22" s="508" t="s">
        <v>880</v>
      </c>
      <c r="D22" s="508" t="s">
        <v>937</v>
      </c>
      <c r="E22" s="508" t="s">
        <v>938</v>
      </c>
      <c r="F22" s="489">
        <v>1</v>
      </c>
      <c r="G22" s="489">
        <v>583</v>
      </c>
      <c r="H22" s="489">
        <v>1</v>
      </c>
      <c r="I22" s="489">
        <v>583</v>
      </c>
      <c r="J22" s="489"/>
      <c r="K22" s="489"/>
      <c r="L22" s="489"/>
      <c r="M22" s="489"/>
      <c r="N22" s="489">
        <v>2</v>
      </c>
      <c r="O22" s="489">
        <v>1172</v>
      </c>
      <c r="P22" s="490">
        <v>2.0102915951972555</v>
      </c>
      <c r="Q22" s="491">
        <v>586</v>
      </c>
    </row>
    <row r="23" spans="1:17" ht="14.4" customHeight="1" x14ac:dyDescent="0.3">
      <c r="A23" s="488" t="s">
        <v>988</v>
      </c>
      <c r="B23" s="508" t="s">
        <v>919</v>
      </c>
      <c r="C23" s="508" t="s">
        <v>880</v>
      </c>
      <c r="D23" s="508" t="s">
        <v>939</v>
      </c>
      <c r="E23" s="508" t="s">
        <v>940</v>
      </c>
      <c r="F23" s="489">
        <v>2</v>
      </c>
      <c r="G23" s="489">
        <v>1630</v>
      </c>
      <c r="H23" s="489">
        <v>1</v>
      </c>
      <c r="I23" s="489">
        <v>815</v>
      </c>
      <c r="J23" s="489">
        <v>2</v>
      </c>
      <c r="K23" s="489">
        <v>1632</v>
      </c>
      <c r="L23" s="489">
        <v>1.0012269938650307</v>
      </c>
      <c r="M23" s="489">
        <v>816</v>
      </c>
      <c r="N23" s="489">
        <v>1</v>
      </c>
      <c r="O23" s="489">
        <v>816</v>
      </c>
      <c r="P23" s="490">
        <v>0.50061349693251533</v>
      </c>
      <c r="Q23" s="491">
        <v>816</v>
      </c>
    </row>
    <row r="24" spans="1:17" ht="14.4" customHeight="1" x14ac:dyDescent="0.3">
      <c r="A24" s="488" t="s">
        <v>988</v>
      </c>
      <c r="B24" s="508" t="s">
        <v>919</v>
      </c>
      <c r="C24" s="508" t="s">
        <v>880</v>
      </c>
      <c r="D24" s="508" t="s">
        <v>941</v>
      </c>
      <c r="E24" s="508" t="s">
        <v>942</v>
      </c>
      <c r="F24" s="489">
        <v>1</v>
      </c>
      <c r="G24" s="489">
        <v>1113</v>
      </c>
      <c r="H24" s="489">
        <v>1</v>
      </c>
      <c r="I24" s="489">
        <v>1113</v>
      </c>
      <c r="J24" s="489"/>
      <c r="K24" s="489"/>
      <c r="L24" s="489"/>
      <c r="M24" s="489"/>
      <c r="N24" s="489"/>
      <c r="O24" s="489"/>
      <c r="P24" s="490"/>
      <c r="Q24" s="491"/>
    </row>
    <row r="25" spans="1:17" ht="14.4" customHeight="1" x14ac:dyDescent="0.3">
      <c r="A25" s="488" t="s">
        <v>988</v>
      </c>
      <c r="B25" s="508" t="s">
        <v>943</v>
      </c>
      <c r="C25" s="508" t="s">
        <v>880</v>
      </c>
      <c r="D25" s="508" t="s">
        <v>946</v>
      </c>
      <c r="E25" s="508" t="s">
        <v>947</v>
      </c>
      <c r="F25" s="489">
        <v>3</v>
      </c>
      <c r="G25" s="489">
        <v>885</v>
      </c>
      <c r="H25" s="489">
        <v>1</v>
      </c>
      <c r="I25" s="489">
        <v>295</v>
      </c>
      <c r="J25" s="489">
        <v>2</v>
      </c>
      <c r="K25" s="489">
        <v>594</v>
      </c>
      <c r="L25" s="489">
        <v>0.67118644067796607</v>
      </c>
      <c r="M25" s="489">
        <v>297</v>
      </c>
      <c r="N25" s="489">
        <v>2</v>
      </c>
      <c r="O25" s="489">
        <v>594</v>
      </c>
      <c r="P25" s="490">
        <v>0.67118644067796607</v>
      </c>
      <c r="Q25" s="491">
        <v>297</v>
      </c>
    </row>
    <row r="26" spans="1:17" ht="14.4" customHeight="1" x14ac:dyDescent="0.3">
      <c r="A26" s="488" t="s">
        <v>988</v>
      </c>
      <c r="B26" s="508" t="s">
        <v>943</v>
      </c>
      <c r="C26" s="508" t="s">
        <v>880</v>
      </c>
      <c r="D26" s="508" t="s">
        <v>948</v>
      </c>
      <c r="E26" s="508" t="s">
        <v>949</v>
      </c>
      <c r="F26" s="489">
        <v>2</v>
      </c>
      <c r="G26" s="489">
        <v>2472</v>
      </c>
      <c r="H26" s="489">
        <v>1</v>
      </c>
      <c r="I26" s="489">
        <v>1236</v>
      </c>
      <c r="J26" s="489"/>
      <c r="K26" s="489"/>
      <c r="L26" s="489"/>
      <c r="M26" s="489"/>
      <c r="N26" s="489">
        <v>2</v>
      </c>
      <c r="O26" s="489">
        <v>2490</v>
      </c>
      <c r="P26" s="490">
        <v>1.0072815533980584</v>
      </c>
      <c r="Q26" s="491">
        <v>1245</v>
      </c>
    </row>
    <row r="27" spans="1:17" ht="14.4" customHeight="1" x14ac:dyDescent="0.3">
      <c r="A27" s="488" t="s">
        <v>988</v>
      </c>
      <c r="B27" s="508" t="s">
        <v>943</v>
      </c>
      <c r="C27" s="508" t="s">
        <v>880</v>
      </c>
      <c r="D27" s="508" t="s">
        <v>950</v>
      </c>
      <c r="E27" s="508" t="s">
        <v>951</v>
      </c>
      <c r="F27" s="489">
        <v>4</v>
      </c>
      <c r="G27" s="489">
        <v>37180</v>
      </c>
      <c r="H27" s="489">
        <v>1</v>
      </c>
      <c r="I27" s="489">
        <v>9295</v>
      </c>
      <c r="J27" s="489"/>
      <c r="K27" s="489"/>
      <c r="L27" s="489"/>
      <c r="M27" s="489"/>
      <c r="N27" s="489"/>
      <c r="O27" s="489"/>
      <c r="P27" s="490"/>
      <c r="Q27" s="491"/>
    </row>
    <row r="28" spans="1:17" ht="14.4" customHeight="1" x14ac:dyDescent="0.3">
      <c r="A28" s="488" t="s">
        <v>988</v>
      </c>
      <c r="B28" s="508" t="s">
        <v>943</v>
      </c>
      <c r="C28" s="508" t="s">
        <v>880</v>
      </c>
      <c r="D28" s="508" t="s">
        <v>956</v>
      </c>
      <c r="E28" s="508" t="s">
        <v>957</v>
      </c>
      <c r="F28" s="489">
        <v>16</v>
      </c>
      <c r="G28" s="489">
        <v>35536</v>
      </c>
      <c r="H28" s="489">
        <v>1</v>
      </c>
      <c r="I28" s="489">
        <v>2221</v>
      </c>
      <c r="J28" s="489">
        <v>8</v>
      </c>
      <c r="K28" s="489">
        <v>17864</v>
      </c>
      <c r="L28" s="489">
        <v>0.50270148581719942</v>
      </c>
      <c r="M28" s="489">
        <v>2233</v>
      </c>
      <c r="N28" s="489">
        <v>38</v>
      </c>
      <c r="O28" s="489">
        <v>84854</v>
      </c>
      <c r="P28" s="490">
        <v>2.3878320576316976</v>
      </c>
      <c r="Q28" s="491">
        <v>2233</v>
      </c>
    </row>
    <row r="29" spans="1:17" ht="14.4" customHeight="1" x14ac:dyDescent="0.3">
      <c r="A29" s="488" t="s">
        <v>988</v>
      </c>
      <c r="B29" s="508" t="s">
        <v>943</v>
      </c>
      <c r="C29" s="508" t="s">
        <v>880</v>
      </c>
      <c r="D29" s="508" t="s">
        <v>960</v>
      </c>
      <c r="E29" s="508" t="s">
        <v>961</v>
      </c>
      <c r="F29" s="489">
        <v>4</v>
      </c>
      <c r="G29" s="489">
        <v>3476</v>
      </c>
      <c r="H29" s="489">
        <v>1</v>
      </c>
      <c r="I29" s="489">
        <v>869</v>
      </c>
      <c r="J29" s="489">
        <v>2</v>
      </c>
      <c r="K29" s="489">
        <v>1746</v>
      </c>
      <c r="L29" s="489">
        <v>0.50230149597238205</v>
      </c>
      <c r="M29" s="489">
        <v>873</v>
      </c>
      <c r="N29" s="489">
        <v>2</v>
      </c>
      <c r="O29" s="489">
        <v>1746</v>
      </c>
      <c r="P29" s="490">
        <v>0.50230149597238205</v>
      </c>
      <c r="Q29" s="491">
        <v>873</v>
      </c>
    </row>
    <row r="30" spans="1:17" ht="14.4" customHeight="1" x14ac:dyDescent="0.3">
      <c r="A30" s="488" t="s">
        <v>988</v>
      </c>
      <c r="B30" s="508" t="s">
        <v>943</v>
      </c>
      <c r="C30" s="508" t="s">
        <v>880</v>
      </c>
      <c r="D30" s="508" t="s">
        <v>966</v>
      </c>
      <c r="E30" s="508" t="s">
        <v>967</v>
      </c>
      <c r="F30" s="489">
        <v>2</v>
      </c>
      <c r="G30" s="489">
        <v>16938</v>
      </c>
      <c r="H30" s="489">
        <v>1</v>
      </c>
      <c r="I30" s="489">
        <v>8469</v>
      </c>
      <c r="J30" s="489"/>
      <c r="K30" s="489"/>
      <c r="L30" s="489"/>
      <c r="M30" s="489"/>
      <c r="N30" s="489">
        <v>2</v>
      </c>
      <c r="O30" s="489">
        <v>17000</v>
      </c>
      <c r="P30" s="490">
        <v>1.0036604085488252</v>
      </c>
      <c r="Q30" s="491">
        <v>8500</v>
      </c>
    </row>
    <row r="31" spans="1:17" ht="14.4" customHeight="1" x14ac:dyDescent="0.3">
      <c r="A31" s="488" t="s">
        <v>988</v>
      </c>
      <c r="B31" s="508" t="s">
        <v>943</v>
      </c>
      <c r="C31" s="508" t="s">
        <v>880</v>
      </c>
      <c r="D31" s="508" t="s">
        <v>968</v>
      </c>
      <c r="E31" s="508" t="s">
        <v>969</v>
      </c>
      <c r="F31" s="489">
        <v>1</v>
      </c>
      <c r="G31" s="489">
        <v>10334</v>
      </c>
      <c r="H31" s="489">
        <v>1</v>
      </c>
      <c r="I31" s="489">
        <v>10334</v>
      </c>
      <c r="J31" s="489">
        <v>2</v>
      </c>
      <c r="K31" s="489">
        <v>20748</v>
      </c>
      <c r="L31" s="489">
        <v>2.0077414360363846</v>
      </c>
      <c r="M31" s="489">
        <v>10374</v>
      </c>
      <c r="N31" s="489"/>
      <c r="O31" s="489"/>
      <c r="P31" s="490"/>
      <c r="Q31" s="491"/>
    </row>
    <row r="32" spans="1:17" ht="14.4" customHeight="1" x14ac:dyDescent="0.3">
      <c r="A32" s="488" t="s">
        <v>989</v>
      </c>
      <c r="B32" s="508" t="s">
        <v>872</v>
      </c>
      <c r="C32" s="508" t="s">
        <v>880</v>
      </c>
      <c r="D32" s="508" t="s">
        <v>887</v>
      </c>
      <c r="E32" s="508" t="s">
        <v>888</v>
      </c>
      <c r="F32" s="489">
        <v>3</v>
      </c>
      <c r="G32" s="489">
        <v>7455</v>
      </c>
      <c r="H32" s="489">
        <v>1</v>
      </c>
      <c r="I32" s="489">
        <v>2485</v>
      </c>
      <c r="J32" s="489">
        <v>1</v>
      </c>
      <c r="K32" s="489">
        <v>2313</v>
      </c>
      <c r="L32" s="489">
        <v>0.31026156941649902</v>
      </c>
      <c r="M32" s="489">
        <v>2313</v>
      </c>
      <c r="N32" s="489">
        <v>3</v>
      </c>
      <c r="O32" s="489">
        <v>6955</v>
      </c>
      <c r="P32" s="490">
        <v>0.93293091884641177</v>
      </c>
      <c r="Q32" s="491">
        <v>2318.3333333333335</v>
      </c>
    </row>
    <row r="33" spans="1:17" ht="14.4" customHeight="1" x14ac:dyDescent="0.3">
      <c r="A33" s="488" t="s">
        <v>989</v>
      </c>
      <c r="B33" s="508" t="s">
        <v>872</v>
      </c>
      <c r="C33" s="508" t="s">
        <v>880</v>
      </c>
      <c r="D33" s="508" t="s">
        <v>895</v>
      </c>
      <c r="E33" s="508" t="s">
        <v>896</v>
      </c>
      <c r="F33" s="489"/>
      <c r="G33" s="489"/>
      <c r="H33" s="489"/>
      <c r="I33" s="489"/>
      <c r="J33" s="489">
        <v>1</v>
      </c>
      <c r="K33" s="489">
        <v>323</v>
      </c>
      <c r="L33" s="489"/>
      <c r="M33" s="489">
        <v>323</v>
      </c>
      <c r="N33" s="489">
        <v>1</v>
      </c>
      <c r="O33" s="489">
        <v>323</v>
      </c>
      <c r="P33" s="490"/>
      <c r="Q33" s="491">
        <v>323</v>
      </c>
    </row>
    <row r="34" spans="1:17" ht="14.4" customHeight="1" x14ac:dyDescent="0.3">
      <c r="A34" s="488" t="s">
        <v>989</v>
      </c>
      <c r="B34" s="508" t="s">
        <v>872</v>
      </c>
      <c r="C34" s="508" t="s">
        <v>880</v>
      </c>
      <c r="D34" s="508" t="s">
        <v>899</v>
      </c>
      <c r="E34" s="508" t="s">
        <v>900</v>
      </c>
      <c r="F34" s="489">
        <v>5</v>
      </c>
      <c r="G34" s="489">
        <v>8030</v>
      </c>
      <c r="H34" s="489">
        <v>1</v>
      </c>
      <c r="I34" s="489">
        <v>1606</v>
      </c>
      <c r="J34" s="489">
        <v>4</v>
      </c>
      <c r="K34" s="489">
        <v>5744</v>
      </c>
      <c r="L34" s="489">
        <v>0.71531755915317563</v>
      </c>
      <c r="M34" s="489">
        <v>1436</v>
      </c>
      <c r="N34" s="489">
        <v>4</v>
      </c>
      <c r="O34" s="489">
        <v>5760</v>
      </c>
      <c r="P34" s="490">
        <v>0.71731008717310085</v>
      </c>
      <c r="Q34" s="491">
        <v>1440</v>
      </c>
    </row>
    <row r="35" spans="1:17" ht="14.4" customHeight="1" x14ac:dyDescent="0.3">
      <c r="A35" s="488" t="s">
        <v>989</v>
      </c>
      <c r="B35" s="508" t="s">
        <v>943</v>
      </c>
      <c r="C35" s="508" t="s">
        <v>880</v>
      </c>
      <c r="D35" s="508" t="s">
        <v>946</v>
      </c>
      <c r="E35" s="508" t="s">
        <v>947</v>
      </c>
      <c r="F35" s="489">
        <v>3</v>
      </c>
      <c r="G35" s="489">
        <v>885</v>
      </c>
      <c r="H35" s="489">
        <v>1</v>
      </c>
      <c r="I35" s="489">
        <v>295</v>
      </c>
      <c r="J35" s="489">
        <v>1</v>
      </c>
      <c r="K35" s="489">
        <v>297</v>
      </c>
      <c r="L35" s="489">
        <v>0.33559322033898303</v>
      </c>
      <c r="M35" s="489">
        <v>297</v>
      </c>
      <c r="N35" s="489">
        <v>2</v>
      </c>
      <c r="O35" s="489">
        <v>594</v>
      </c>
      <c r="P35" s="490">
        <v>0.67118644067796607</v>
      </c>
      <c r="Q35" s="491">
        <v>297</v>
      </c>
    </row>
    <row r="36" spans="1:17" ht="14.4" customHeight="1" x14ac:dyDescent="0.3">
      <c r="A36" s="488" t="s">
        <v>989</v>
      </c>
      <c r="B36" s="508" t="s">
        <v>943</v>
      </c>
      <c r="C36" s="508" t="s">
        <v>880</v>
      </c>
      <c r="D36" s="508" t="s">
        <v>948</v>
      </c>
      <c r="E36" s="508" t="s">
        <v>949</v>
      </c>
      <c r="F36" s="489">
        <v>1</v>
      </c>
      <c r="G36" s="489">
        <v>1236</v>
      </c>
      <c r="H36" s="489">
        <v>1</v>
      </c>
      <c r="I36" s="489">
        <v>1236</v>
      </c>
      <c r="J36" s="489">
        <v>1</v>
      </c>
      <c r="K36" s="489">
        <v>1245</v>
      </c>
      <c r="L36" s="489">
        <v>1.0072815533980584</v>
      </c>
      <c r="M36" s="489">
        <v>1245</v>
      </c>
      <c r="N36" s="489">
        <v>1</v>
      </c>
      <c r="O36" s="489">
        <v>1245</v>
      </c>
      <c r="P36" s="490">
        <v>1.0072815533980584</v>
      </c>
      <c r="Q36" s="491">
        <v>1245</v>
      </c>
    </row>
    <row r="37" spans="1:17" ht="14.4" customHeight="1" x14ac:dyDescent="0.3">
      <c r="A37" s="488" t="s">
        <v>989</v>
      </c>
      <c r="B37" s="508" t="s">
        <v>943</v>
      </c>
      <c r="C37" s="508" t="s">
        <v>880</v>
      </c>
      <c r="D37" s="508" t="s">
        <v>956</v>
      </c>
      <c r="E37" s="508" t="s">
        <v>957</v>
      </c>
      <c r="F37" s="489">
        <v>8</v>
      </c>
      <c r="G37" s="489">
        <v>17768</v>
      </c>
      <c r="H37" s="489">
        <v>1</v>
      </c>
      <c r="I37" s="489">
        <v>2221</v>
      </c>
      <c r="J37" s="489">
        <v>16</v>
      </c>
      <c r="K37" s="489">
        <v>35728</v>
      </c>
      <c r="L37" s="489">
        <v>2.0108059432687977</v>
      </c>
      <c r="M37" s="489">
        <v>2233</v>
      </c>
      <c r="N37" s="489">
        <v>31</v>
      </c>
      <c r="O37" s="489">
        <v>69286</v>
      </c>
      <c r="P37" s="490">
        <v>3.8994822152183701</v>
      </c>
      <c r="Q37" s="491">
        <v>2235.0322580645161</v>
      </c>
    </row>
    <row r="38" spans="1:17" ht="14.4" customHeight="1" x14ac:dyDescent="0.3">
      <c r="A38" s="488" t="s">
        <v>989</v>
      </c>
      <c r="B38" s="508" t="s">
        <v>943</v>
      </c>
      <c r="C38" s="508" t="s">
        <v>880</v>
      </c>
      <c r="D38" s="508" t="s">
        <v>962</v>
      </c>
      <c r="E38" s="508" t="s">
        <v>963</v>
      </c>
      <c r="F38" s="489">
        <v>3</v>
      </c>
      <c r="G38" s="489">
        <v>19452</v>
      </c>
      <c r="H38" s="489">
        <v>1</v>
      </c>
      <c r="I38" s="489">
        <v>6484</v>
      </c>
      <c r="J38" s="489">
        <v>1</v>
      </c>
      <c r="K38" s="489">
        <v>6514</v>
      </c>
      <c r="L38" s="489">
        <v>0.33487559119884847</v>
      </c>
      <c r="M38" s="489">
        <v>6514</v>
      </c>
      <c r="N38" s="489">
        <v>2</v>
      </c>
      <c r="O38" s="489">
        <v>13028</v>
      </c>
      <c r="P38" s="490">
        <v>0.66975118239769693</v>
      </c>
      <c r="Q38" s="491">
        <v>6514</v>
      </c>
    </row>
    <row r="39" spans="1:17" ht="14.4" customHeight="1" x14ac:dyDescent="0.3">
      <c r="A39" s="488" t="s">
        <v>990</v>
      </c>
      <c r="B39" s="508" t="s">
        <v>872</v>
      </c>
      <c r="C39" s="508" t="s">
        <v>880</v>
      </c>
      <c r="D39" s="508" t="s">
        <v>887</v>
      </c>
      <c r="E39" s="508" t="s">
        <v>888</v>
      </c>
      <c r="F39" s="489">
        <v>1</v>
      </c>
      <c r="G39" s="489">
        <v>2485</v>
      </c>
      <c r="H39" s="489">
        <v>1</v>
      </c>
      <c r="I39" s="489">
        <v>2485</v>
      </c>
      <c r="J39" s="489">
        <v>1</v>
      </c>
      <c r="K39" s="489">
        <v>2313</v>
      </c>
      <c r="L39" s="489">
        <v>0.93078470824949699</v>
      </c>
      <c r="M39" s="489">
        <v>2313</v>
      </c>
      <c r="N39" s="489">
        <v>2</v>
      </c>
      <c r="O39" s="489">
        <v>4626</v>
      </c>
      <c r="P39" s="490">
        <v>1.861569416498994</v>
      </c>
      <c r="Q39" s="491">
        <v>2313</v>
      </c>
    </row>
    <row r="40" spans="1:17" ht="14.4" customHeight="1" x14ac:dyDescent="0.3">
      <c r="A40" s="488" t="s">
        <v>990</v>
      </c>
      <c r="B40" s="508" t="s">
        <v>872</v>
      </c>
      <c r="C40" s="508" t="s">
        <v>880</v>
      </c>
      <c r="D40" s="508" t="s">
        <v>895</v>
      </c>
      <c r="E40" s="508" t="s">
        <v>896</v>
      </c>
      <c r="F40" s="489">
        <v>2</v>
      </c>
      <c r="G40" s="489">
        <v>646</v>
      </c>
      <c r="H40" s="489">
        <v>1</v>
      </c>
      <c r="I40" s="489">
        <v>323</v>
      </c>
      <c r="J40" s="489">
        <v>1</v>
      </c>
      <c r="K40" s="489">
        <v>323</v>
      </c>
      <c r="L40" s="489">
        <v>0.5</v>
      </c>
      <c r="M40" s="489">
        <v>323</v>
      </c>
      <c r="N40" s="489">
        <v>2</v>
      </c>
      <c r="O40" s="489">
        <v>649</v>
      </c>
      <c r="P40" s="490">
        <v>1.0046439628482973</v>
      </c>
      <c r="Q40" s="491">
        <v>324.5</v>
      </c>
    </row>
    <row r="41" spans="1:17" ht="14.4" customHeight="1" x14ac:dyDescent="0.3">
      <c r="A41" s="488" t="s">
        <v>990</v>
      </c>
      <c r="B41" s="508" t="s">
        <v>872</v>
      </c>
      <c r="C41" s="508" t="s">
        <v>880</v>
      </c>
      <c r="D41" s="508" t="s">
        <v>897</v>
      </c>
      <c r="E41" s="508" t="s">
        <v>898</v>
      </c>
      <c r="F41" s="489"/>
      <c r="G41" s="489"/>
      <c r="H41" s="489"/>
      <c r="I41" s="489"/>
      <c r="J41" s="489">
        <v>1</v>
      </c>
      <c r="K41" s="489">
        <v>0</v>
      </c>
      <c r="L41" s="489"/>
      <c r="M41" s="489">
        <v>0</v>
      </c>
      <c r="N41" s="489"/>
      <c r="O41" s="489"/>
      <c r="P41" s="490"/>
      <c r="Q41" s="491"/>
    </row>
    <row r="42" spans="1:17" ht="14.4" customHeight="1" x14ac:dyDescent="0.3">
      <c r="A42" s="488" t="s">
        <v>990</v>
      </c>
      <c r="B42" s="508" t="s">
        <v>872</v>
      </c>
      <c r="C42" s="508" t="s">
        <v>880</v>
      </c>
      <c r="D42" s="508" t="s">
        <v>899</v>
      </c>
      <c r="E42" s="508" t="s">
        <v>900</v>
      </c>
      <c r="F42" s="489">
        <v>6</v>
      </c>
      <c r="G42" s="489">
        <v>9636</v>
      </c>
      <c r="H42" s="489">
        <v>1</v>
      </c>
      <c r="I42" s="489">
        <v>1606</v>
      </c>
      <c r="J42" s="489">
        <v>4</v>
      </c>
      <c r="K42" s="489">
        <v>5744</v>
      </c>
      <c r="L42" s="489">
        <v>0.59609796596097964</v>
      </c>
      <c r="M42" s="489">
        <v>1436</v>
      </c>
      <c r="N42" s="489">
        <v>12</v>
      </c>
      <c r="O42" s="489">
        <v>17264</v>
      </c>
      <c r="P42" s="490">
        <v>1.7916147779161478</v>
      </c>
      <c r="Q42" s="491">
        <v>1438.6666666666667</v>
      </c>
    </row>
    <row r="43" spans="1:17" ht="14.4" customHeight="1" x14ac:dyDescent="0.3">
      <c r="A43" s="488" t="s">
        <v>990</v>
      </c>
      <c r="B43" s="508" t="s">
        <v>872</v>
      </c>
      <c r="C43" s="508" t="s">
        <v>880</v>
      </c>
      <c r="D43" s="508" t="s">
        <v>901</v>
      </c>
      <c r="E43" s="508" t="s">
        <v>902</v>
      </c>
      <c r="F43" s="489"/>
      <c r="G43" s="489"/>
      <c r="H43" s="489"/>
      <c r="I43" s="489"/>
      <c r="J43" s="489">
        <v>3</v>
      </c>
      <c r="K43" s="489">
        <v>0</v>
      </c>
      <c r="L43" s="489"/>
      <c r="M43" s="489">
        <v>0</v>
      </c>
      <c r="N43" s="489"/>
      <c r="O43" s="489"/>
      <c r="P43" s="490"/>
      <c r="Q43" s="491"/>
    </row>
    <row r="44" spans="1:17" ht="14.4" customHeight="1" x14ac:dyDescent="0.3">
      <c r="A44" s="488" t="s">
        <v>990</v>
      </c>
      <c r="B44" s="508" t="s">
        <v>919</v>
      </c>
      <c r="C44" s="508" t="s">
        <v>880</v>
      </c>
      <c r="D44" s="508" t="s">
        <v>921</v>
      </c>
      <c r="E44" s="508" t="s">
        <v>922</v>
      </c>
      <c r="F44" s="489"/>
      <c r="G44" s="489"/>
      <c r="H44" s="489"/>
      <c r="I44" s="489"/>
      <c r="J44" s="489">
        <v>1</v>
      </c>
      <c r="K44" s="489">
        <v>438</v>
      </c>
      <c r="L44" s="489"/>
      <c r="M44" s="489">
        <v>438</v>
      </c>
      <c r="N44" s="489"/>
      <c r="O44" s="489"/>
      <c r="P44" s="490"/>
      <c r="Q44" s="491"/>
    </row>
    <row r="45" spans="1:17" ht="14.4" customHeight="1" x14ac:dyDescent="0.3">
      <c r="A45" s="488" t="s">
        <v>990</v>
      </c>
      <c r="B45" s="508" t="s">
        <v>919</v>
      </c>
      <c r="C45" s="508" t="s">
        <v>880</v>
      </c>
      <c r="D45" s="508" t="s">
        <v>933</v>
      </c>
      <c r="E45" s="508" t="s">
        <v>934</v>
      </c>
      <c r="F45" s="489"/>
      <c r="G45" s="489"/>
      <c r="H45" s="489"/>
      <c r="I45" s="489"/>
      <c r="J45" s="489">
        <v>2</v>
      </c>
      <c r="K45" s="489">
        <v>1284</v>
      </c>
      <c r="L45" s="489"/>
      <c r="M45" s="489">
        <v>642</v>
      </c>
      <c r="N45" s="489"/>
      <c r="O45" s="489"/>
      <c r="P45" s="490"/>
      <c r="Q45" s="491"/>
    </row>
    <row r="46" spans="1:17" ht="14.4" customHeight="1" x14ac:dyDescent="0.3">
      <c r="A46" s="488" t="s">
        <v>990</v>
      </c>
      <c r="B46" s="508" t="s">
        <v>943</v>
      </c>
      <c r="C46" s="508" t="s">
        <v>880</v>
      </c>
      <c r="D46" s="508" t="s">
        <v>946</v>
      </c>
      <c r="E46" s="508" t="s">
        <v>947</v>
      </c>
      <c r="F46" s="489">
        <v>1</v>
      </c>
      <c r="G46" s="489">
        <v>295</v>
      </c>
      <c r="H46" s="489">
        <v>1</v>
      </c>
      <c r="I46" s="489">
        <v>295</v>
      </c>
      <c r="J46" s="489"/>
      <c r="K46" s="489"/>
      <c r="L46" s="489"/>
      <c r="M46" s="489"/>
      <c r="N46" s="489">
        <v>1</v>
      </c>
      <c r="O46" s="489">
        <v>297</v>
      </c>
      <c r="P46" s="490">
        <v>1.006779661016949</v>
      </c>
      <c r="Q46" s="491">
        <v>297</v>
      </c>
    </row>
    <row r="47" spans="1:17" ht="14.4" customHeight="1" x14ac:dyDescent="0.3">
      <c r="A47" s="488" t="s">
        <v>990</v>
      </c>
      <c r="B47" s="508" t="s">
        <v>943</v>
      </c>
      <c r="C47" s="508" t="s">
        <v>880</v>
      </c>
      <c r="D47" s="508" t="s">
        <v>948</v>
      </c>
      <c r="E47" s="508" t="s">
        <v>949</v>
      </c>
      <c r="F47" s="489">
        <v>6</v>
      </c>
      <c r="G47" s="489">
        <v>7416</v>
      </c>
      <c r="H47" s="489">
        <v>1</v>
      </c>
      <c r="I47" s="489">
        <v>1236</v>
      </c>
      <c r="J47" s="489">
        <v>8</v>
      </c>
      <c r="K47" s="489">
        <v>9960</v>
      </c>
      <c r="L47" s="489">
        <v>1.3430420711974109</v>
      </c>
      <c r="M47" s="489">
        <v>1245</v>
      </c>
      <c r="N47" s="489">
        <v>9</v>
      </c>
      <c r="O47" s="489">
        <v>11237</v>
      </c>
      <c r="P47" s="490">
        <v>1.5152373247033442</v>
      </c>
      <c r="Q47" s="491">
        <v>1248.5555555555557</v>
      </c>
    </row>
    <row r="48" spans="1:17" ht="14.4" customHeight="1" x14ac:dyDescent="0.3">
      <c r="A48" s="488" t="s">
        <v>990</v>
      </c>
      <c r="B48" s="508" t="s">
        <v>943</v>
      </c>
      <c r="C48" s="508" t="s">
        <v>880</v>
      </c>
      <c r="D48" s="508" t="s">
        <v>950</v>
      </c>
      <c r="E48" s="508" t="s">
        <v>951</v>
      </c>
      <c r="F48" s="489"/>
      <c r="G48" s="489"/>
      <c r="H48" s="489"/>
      <c r="I48" s="489"/>
      <c r="J48" s="489"/>
      <c r="K48" s="489"/>
      <c r="L48" s="489"/>
      <c r="M48" s="489"/>
      <c r="N48" s="489">
        <v>1</v>
      </c>
      <c r="O48" s="489">
        <v>9337</v>
      </c>
      <c r="P48" s="490"/>
      <c r="Q48" s="491">
        <v>9337</v>
      </c>
    </row>
    <row r="49" spans="1:17" ht="14.4" customHeight="1" x14ac:dyDescent="0.3">
      <c r="A49" s="488" t="s">
        <v>990</v>
      </c>
      <c r="B49" s="508" t="s">
        <v>943</v>
      </c>
      <c r="C49" s="508" t="s">
        <v>880</v>
      </c>
      <c r="D49" s="508" t="s">
        <v>956</v>
      </c>
      <c r="E49" s="508" t="s">
        <v>957</v>
      </c>
      <c r="F49" s="489">
        <v>50</v>
      </c>
      <c r="G49" s="489">
        <v>111050</v>
      </c>
      <c r="H49" s="489">
        <v>1</v>
      </c>
      <c r="I49" s="489">
        <v>2221</v>
      </c>
      <c r="J49" s="489"/>
      <c r="K49" s="489"/>
      <c r="L49" s="489"/>
      <c r="M49" s="489"/>
      <c r="N49" s="489">
        <v>15</v>
      </c>
      <c r="O49" s="489">
        <v>33747</v>
      </c>
      <c r="P49" s="490">
        <v>0.30389013957676725</v>
      </c>
      <c r="Q49" s="491">
        <v>2249.8000000000002</v>
      </c>
    </row>
    <row r="50" spans="1:17" ht="14.4" customHeight="1" x14ac:dyDescent="0.3">
      <c r="A50" s="488" t="s">
        <v>990</v>
      </c>
      <c r="B50" s="508" t="s">
        <v>943</v>
      </c>
      <c r="C50" s="508" t="s">
        <v>880</v>
      </c>
      <c r="D50" s="508" t="s">
        <v>962</v>
      </c>
      <c r="E50" s="508" t="s">
        <v>963</v>
      </c>
      <c r="F50" s="489">
        <v>1</v>
      </c>
      <c r="G50" s="489">
        <v>6484</v>
      </c>
      <c r="H50" s="489">
        <v>1</v>
      </c>
      <c r="I50" s="489">
        <v>6484</v>
      </c>
      <c r="J50" s="489"/>
      <c r="K50" s="489"/>
      <c r="L50" s="489"/>
      <c r="M50" s="489"/>
      <c r="N50" s="489">
        <v>1</v>
      </c>
      <c r="O50" s="489">
        <v>6514</v>
      </c>
      <c r="P50" s="490">
        <v>1.0046267735965453</v>
      </c>
      <c r="Q50" s="491">
        <v>6514</v>
      </c>
    </row>
    <row r="51" spans="1:17" ht="14.4" customHeight="1" x14ac:dyDescent="0.3">
      <c r="A51" s="488" t="s">
        <v>990</v>
      </c>
      <c r="B51" s="508" t="s">
        <v>943</v>
      </c>
      <c r="C51" s="508" t="s">
        <v>880</v>
      </c>
      <c r="D51" s="508" t="s">
        <v>970</v>
      </c>
      <c r="E51" s="508" t="s">
        <v>971</v>
      </c>
      <c r="F51" s="489"/>
      <c r="G51" s="489"/>
      <c r="H51" s="489"/>
      <c r="I51" s="489"/>
      <c r="J51" s="489"/>
      <c r="K51" s="489"/>
      <c r="L51" s="489"/>
      <c r="M51" s="489"/>
      <c r="N51" s="489">
        <v>1</v>
      </c>
      <c r="O51" s="489">
        <v>1020</v>
      </c>
      <c r="P51" s="490"/>
      <c r="Q51" s="491">
        <v>1020</v>
      </c>
    </row>
    <row r="52" spans="1:17" ht="14.4" customHeight="1" x14ac:dyDescent="0.3">
      <c r="A52" s="488" t="s">
        <v>991</v>
      </c>
      <c r="B52" s="508" t="s">
        <v>872</v>
      </c>
      <c r="C52" s="508" t="s">
        <v>880</v>
      </c>
      <c r="D52" s="508" t="s">
        <v>899</v>
      </c>
      <c r="E52" s="508" t="s">
        <v>900</v>
      </c>
      <c r="F52" s="489">
        <v>2</v>
      </c>
      <c r="G52" s="489">
        <v>3212</v>
      </c>
      <c r="H52" s="489">
        <v>1</v>
      </c>
      <c r="I52" s="489">
        <v>1606</v>
      </c>
      <c r="J52" s="489"/>
      <c r="K52" s="489"/>
      <c r="L52" s="489"/>
      <c r="M52" s="489"/>
      <c r="N52" s="489"/>
      <c r="O52" s="489"/>
      <c r="P52" s="490"/>
      <c r="Q52" s="491"/>
    </row>
    <row r="53" spans="1:17" ht="14.4" customHeight="1" x14ac:dyDescent="0.3">
      <c r="A53" s="488" t="s">
        <v>991</v>
      </c>
      <c r="B53" s="508" t="s">
        <v>943</v>
      </c>
      <c r="C53" s="508" t="s">
        <v>880</v>
      </c>
      <c r="D53" s="508" t="s">
        <v>948</v>
      </c>
      <c r="E53" s="508" t="s">
        <v>949</v>
      </c>
      <c r="F53" s="489">
        <v>2</v>
      </c>
      <c r="G53" s="489">
        <v>2472</v>
      </c>
      <c r="H53" s="489">
        <v>1</v>
      </c>
      <c r="I53" s="489">
        <v>1236</v>
      </c>
      <c r="J53" s="489"/>
      <c r="K53" s="489"/>
      <c r="L53" s="489"/>
      <c r="M53" s="489"/>
      <c r="N53" s="489"/>
      <c r="O53" s="489"/>
      <c r="P53" s="490"/>
      <c r="Q53" s="491"/>
    </row>
    <row r="54" spans="1:17" ht="14.4" customHeight="1" x14ac:dyDescent="0.3">
      <c r="A54" s="488" t="s">
        <v>991</v>
      </c>
      <c r="B54" s="508" t="s">
        <v>943</v>
      </c>
      <c r="C54" s="508" t="s">
        <v>880</v>
      </c>
      <c r="D54" s="508" t="s">
        <v>956</v>
      </c>
      <c r="E54" s="508" t="s">
        <v>957</v>
      </c>
      <c r="F54" s="489">
        <v>16</v>
      </c>
      <c r="G54" s="489">
        <v>35536</v>
      </c>
      <c r="H54" s="489">
        <v>1</v>
      </c>
      <c r="I54" s="489">
        <v>2221</v>
      </c>
      <c r="J54" s="489"/>
      <c r="K54" s="489"/>
      <c r="L54" s="489"/>
      <c r="M54" s="489"/>
      <c r="N54" s="489"/>
      <c r="O54" s="489"/>
      <c r="P54" s="490"/>
      <c r="Q54" s="491"/>
    </row>
    <row r="55" spans="1:17" ht="14.4" customHeight="1" x14ac:dyDescent="0.3">
      <c r="A55" s="488" t="s">
        <v>992</v>
      </c>
      <c r="B55" s="508" t="s">
        <v>872</v>
      </c>
      <c r="C55" s="508" t="s">
        <v>880</v>
      </c>
      <c r="D55" s="508" t="s">
        <v>887</v>
      </c>
      <c r="E55" s="508" t="s">
        <v>888</v>
      </c>
      <c r="F55" s="489">
        <v>2</v>
      </c>
      <c r="G55" s="489">
        <v>4970</v>
      </c>
      <c r="H55" s="489">
        <v>1</v>
      </c>
      <c r="I55" s="489">
        <v>2485</v>
      </c>
      <c r="J55" s="489">
        <v>3</v>
      </c>
      <c r="K55" s="489">
        <v>6939</v>
      </c>
      <c r="L55" s="489">
        <v>1.3961770623742455</v>
      </c>
      <c r="M55" s="489">
        <v>2313</v>
      </c>
      <c r="N55" s="489"/>
      <c r="O55" s="489"/>
      <c r="P55" s="490"/>
      <c r="Q55" s="491"/>
    </row>
    <row r="56" spans="1:17" ht="14.4" customHeight="1" x14ac:dyDescent="0.3">
      <c r="A56" s="488" t="s">
        <v>992</v>
      </c>
      <c r="B56" s="508" t="s">
        <v>872</v>
      </c>
      <c r="C56" s="508" t="s">
        <v>880</v>
      </c>
      <c r="D56" s="508" t="s">
        <v>895</v>
      </c>
      <c r="E56" s="508" t="s">
        <v>896</v>
      </c>
      <c r="F56" s="489">
        <v>2</v>
      </c>
      <c r="G56" s="489">
        <v>646</v>
      </c>
      <c r="H56" s="489">
        <v>1</v>
      </c>
      <c r="I56" s="489">
        <v>323</v>
      </c>
      <c r="J56" s="489">
        <v>1</v>
      </c>
      <c r="K56" s="489">
        <v>323</v>
      </c>
      <c r="L56" s="489">
        <v>0.5</v>
      </c>
      <c r="M56" s="489">
        <v>323</v>
      </c>
      <c r="N56" s="489"/>
      <c r="O56" s="489"/>
      <c r="P56" s="490"/>
      <c r="Q56" s="491"/>
    </row>
    <row r="57" spans="1:17" ht="14.4" customHeight="1" x14ac:dyDescent="0.3">
      <c r="A57" s="488" t="s">
        <v>992</v>
      </c>
      <c r="B57" s="508" t="s">
        <v>872</v>
      </c>
      <c r="C57" s="508" t="s">
        <v>880</v>
      </c>
      <c r="D57" s="508" t="s">
        <v>897</v>
      </c>
      <c r="E57" s="508" t="s">
        <v>898</v>
      </c>
      <c r="F57" s="489">
        <v>2</v>
      </c>
      <c r="G57" s="489">
        <v>0</v>
      </c>
      <c r="H57" s="489"/>
      <c r="I57" s="489">
        <v>0</v>
      </c>
      <c r="J57" s="489">
        <v>7</v>
      </c>
      <c r="K57" s="489">
        <v>0</v>
      </c>
      <c r="L57" s="489"/>
      <c r="M57" s="489">
        <v>0</v>
      </c>
      <c r="N57" s="489">
        <v>2</v>
      </c>
      <c r="O57" s="489">
        <v>0</v>
      </c>
      <c r="P57" s="490"/>
      <c r="Q57" s="491">
        <v>0</v>
      </c>
    </row>
    <row r="58" spans="1:17" ht="14.4" customHeight="1" x14ac:dyDescent="0.3">
      <c r="A58" s="488" t="s">
        <v>992</v>
      </c>
      <c r="B58" s="508" t="s">
        <v>872</v>
      </c>
      <c r="C58" s="508" t="s">
        <v>880</v>
      </c>
      <c r="D58" s="508" t="s">
        <v>899</v>
      </c>
      <c r="E58" s="508" t="s">
        <v>900</v>
      </c>
      <c r="F58" s="489">
        <v>9</v>
      </c>
      <c r="G58" s="489">
        <v>14454</v>
      </c>
      <c r="H58" s="489">
        <v>1</v>
      </c>
      <c r="I58" s="489">
        <v>1606</v>
      </c>
      <c r="J58" s="489">
        <v>16</v>
      </c>
      <c r="K58" s="489">
        <v>22976</v>
      </c>
      <c r="L58" s="489">
        <v>1.5895945758959458</v>
      </c>
      <c r="M58" s="489">
        <v>1436</v>
      </c>
      <c r="N58" s="489">
        <v>10</v>
      </c>
      <c r="O58" s="489">
        <v>14368</v>
      </c>
      <c r="P58" s="490">
        <v>0.99405008994050092</v>
      </c>
      <c r="Q58" s="491">
        <v>1436.8</v>
      </c>
    </row>
    <row r="59" spans="1:17" ht="14.4" customHeight="1" x14ac:dyDescent="0.3">
      <c r="A59" s="488" t="s">
        <v>992</v>
      </c>
      <c r="B59" s="508" t="s">
        <v>872</v>
      </c>
      <c r="C59" s="508" t="s">
        <v>880</v>
      </c>
      <c r="D59" s="508" t="s">
        <v>901</v>
      </c>
      <c r="E59" s="508" t="s">
        <v>902</v>
      </c>
      <c r="F59" s="489"/>
      <c r="G59" s="489"/>
      <c r="H59" s="489"/>
      <c r="I59" s="489"/>
      <c r="J59" s="489">
        <v>2</v>
      </c>
      <c r="K59" s="489">
        <v>0</v>
      </c>
      <c r="L59" s="489"/>
      <c r="M59" s="489">
        <v>0</v>
      </c>
      <c r="N59" s="489"/>
      <c r="O59" s="489"/>
      <c r="P59" s="490"/>
      <c r="Q59" s="491"/>
    </row>
    <row r="60" spans="1:17" ht="14.4" customHeight="1" x14ac:dyDescent="0.3">
      <c r="A60" s="488" t="s">
        <v>992</v>
      </c>
      <c r="B60" s="508" t="s">
        <v>943</v>
      </c>
      <c r="C60" s="508" t="s">
        <v>880</v>
      </c>
      <c r="D60" s="508" t="s">
        <v>948</v>
      </c>
      <c r="E60" s="508" t="s">
        <v>949</v>
      </c>
      <c r="F60" s="489">
        <v>12</v>
      </c>
      <c r="G60" s="489">
        <v>14832</v>
      </c>
      <c r="H60" s="489">
        <v>1</v>
      </c>
      <c r="I60" s="489">
        <v>1236</v>
      </c>
      <c r="J60" s="489">
        <v>15</v>
      </c>
      <c r="K60" s="489">
        <v>18675</v>
      </c>
      <c r="L60" s="489">
        <v>1.2591019417475728</v>
      </c>
      <c r="M60" s="489">
        <v>1245</v>
      </c>
      <c r="N60" s="489">
        <v>11</v>
      </c>
      <c r="O60" s="489">
        <v>13711</v>
      </c>
      <c r="P60" s="490">
        <v>0.92442017259978426</v>
      </c>
      <c r="Q60" s="491">
        <v>1246.4545454545455</v>
      </c>
    </row>
    <row r="61" spans="1:17" ht="14.4" customHeight="1" x14ac:dyDescent="0.3">
      <c r="A61" s="488" t="s">
        <v>992</v>
      </c>
      <c r="B61" s="508" t="s">
        <v>943</v>
      </c>
      <c r="C61" s="508" t="s">
        <v>880</v>
      </c>
      <c r="D61" s="508" t="s">
        <v>956</v>
      </c>
      <c r="E61" s="508" t="s">
        <v>957</v>
      </c>
      <c r="F61" s="489">
        <v>2</v>
      </c>
      <c r="G61" s="489">
        <v>4442</v>
      </c>
      <c r="H61" s="489">
        <v>1</v>
      </c>
      <c r="I61" s="489">
        <v>2221</v>
      </c>
      <c r="J61" s="489">
        <v>10</v>
      </c>
      <c r="K61" s="489">
        <v>22330</v>
      </c>
      <c r="L61" s="489">
        <v>5.0270148581719942</v>
      </c>
      <c r="M61" s="489">
        <v>2233</v>
      </c>
      <c r="N61" s="489"/>
      <c r="O61" s="489"/>
      <c r="P61" s="490"/>
      <c r="Q61" s="491"/>
    </row>
    <row r="62" spans="1:17" ht="14.4" customHeight="1" x14ac:dyDescent="0.3">
      <c r="A62" s="488" t="s">
        <v>993</v>
      </c>
      <c r="B62" s="508" t="s">
        <v>919</v>
      </c>
      <c r="C62" s="508" t="s">
        <v>880</v>
      </c>
      <c r="D62" s="508" t="s">
        <v>921</v>
      </c>
      <c r="E62" s="508" t="s">
        <v>922</v>
      </c>
      <c r="F62" s="489">
        <v>1</v>
      </c>
      <c r="G62" s="489">
        <v>437</v>
      </c>
      <c r="H62" s="489">
        <v>1</v>
      </c>
      <c r="I62" s="489">
        <v>437</v>
      </c>
      <c r="J62" s="489"/>
      <c r="K62" s="489"/>
      <c r="L62" s="489"/>
      <c r="M62" s="489"/>
      <c r="N62" s="489"/>
      <c r="O62" s="489"/>
      <c r="P62" s="490"/>
      <c r="Q62" s="491"/>
    </row>
    <row r="63" spans="1:17" ht="14.4" customHeight="1" x14ac:dyDescent="0.3">
      <c r="A63" s="488" t="s">
        <v>993</v>
      </c>
      <c r="B63" s="508" t="s">
        <v>919</v>
      </c>
      <c r="C63" s="508" t="s">
        <v>880</v>
      </c>
      <c r="D63" s="508" t="s">
        <v>933</v>
      </c>
      <c r="E63" s="508" t="s">
        <v>934</v>
      </c>
      <c r="F63" s="489">
        <v>1</v>
      </c>
      <c r="G63" s="489">
        <v>640</v>
      </c>
      <c r="H63" s="489">
        <v>1</v>
      </c>
      <c r="I63" s="489">
        <v>640</v>
      </c>
      <c r="J63" s="489"/>
      <c r="K63" s="489"/>
      <c r="L63" s="489"/>
      <c r="M63" s="489"/>
      <c r="N63" s="489"/>
      <c r="O63" s="489"/>
      <c r="P63" s="490"/>
      <c r="Q63" s="491"/>
    </row>
    <row r="64" spans="1:17" ht="14.4" customHeight="1" x14ac:dyDescent="0.3">
      <c r="A64" s="488" t="s">
        <v>994</v>
      </c>
      <c r="B64" s="508" t="s">
        <v>872</v>
      </c>
      <c r="C64" s="508" t="s">
        <v>880</v>
      </c>
      <c r="D64" s="508" t="s">
        <v>897</v>
      </c>
      <c r="E64" s="508" t="s">
        <v>898</v>
      </c>
      <c r="F64" s="489">
        <v>1</v>
      </c>
      <c r="G64" s="489">
        <v>0</v>
      </c>
      <c r="H64" s="489"/>
      <c r="I64" s="489">
        <v>0</v>
      </c>
      <c r="J64" s="489"/>
      <c r="K64" s="489"/>
      <c r="L64" s="489"/>
      <c r="M64" s="489"/>
      <c r="N64" s="489"/>
      <c r="O64" s="489"/>
      <c r="P64" s="490"/>
      <c r="Q64" s="491"/>
    </row>
    <row r="65" spans="1:17" ht="14.4" customHeight="1" x14ac:dyDescent="0.3">
      <c r="A65" s="488" t="s">
        <v>994</v>
      </c>
      <c r="B65" s="508" t="s">
        <v>872</v>
      </c>
      <c r="C65" s="508" t="s">
        <v>880</v>
      </c>
      <c r="D65" s="508" t="s">
        <v>899</v>
      </c>
      <c r="E65" s="508" t="s">
        <v>900</v>
      </c>
      <c r="F65" s="489">
        <v>1</v>
      </c>
      <c r="G65" s="489">
        <v>1606</v>
      </c>
      <c r="H65" s="489">
        <v>1</v>
      </c>
      <c r="I65" s="489">
        <v>1606</v>
      </c>
      <c r="J65" s="489"/>
      <c r="K65" s="489"/>
      <c r="L65" s="489"/>
      <c r="M65" s="489"/>
      <c r="N65" s="489">
        <v>1</v>
      </c>
      <c r="O65" s="489">
        <v>1436</v>
      </c>
      <c r="P65" s="490">
        <v>0.89414694894146951</v>
      </c>
      <c r="Q65" s="491">
        <v>1436</v>
      </c>
    </row>
    <row r="66" spans="1:17" ht="14.4" customHeight="1" x14ac:dyDescent="0.3">
      <c r="A66" s="488" t="s">
        <v>994</v>
      </c>
      <c r="B66" s="508" t="s">
        <v>943</v>
      </c>
      <c r="C66" s="508" t="s">
        <v>880</v>
      </c>
      <c r="D66" s="508" t="s">
        <v>948</v>
      </c>
      <c r="E66" s="508" t="s">
        <v>949</v>
      </c>
      <c r="F66" s="489">
        <v>2</v>
      </c>
      <c r="G66" s="489">
        <v>2472</v>
      </c>
      <c r="H66" s="489">
        <v>1</v>
      </c>
      <c r="I66" s="489">
        <v>1236</v>
      </c>
      <c r="J66" s="489"/>
      <c r="K66" s="489"/>
      <c r="L66" s="489"/>
      <c r="M66" s="489"/>
      <c r="N66" s="489"/>
      <c r="O66" s="489"/>
      <c r="P66" s="490"/>
      <c r="Q66" s="491"/>
    </row>
    <row r="67" spans="1:17" ht="14.4" customHeight="1" x14ac:dyDescent="0.3">
      <c r="A67" s="488" t="s">
        <v>442</v>
      </c>
      <c r="B67" s="508" t="s">
        <v>919</v>
      </c>
      <c r="C67" s="508" t="s">
        <v>873</v>
      </c>
      <c r="D67" s="508" t="s">
        <v>876</v>
      </c>
      <c r="E67" s="508" t="s">
        <v>877</v>
      </c>
      <c r="F67" s="489">
        <v>-1</v>
      </c>
      <c r="G67" s="489">
        <v>-568.37</v>
      </c>
      <c r="H67" s="489">
        <v>1</v>
      </c>
      <c r="I67" s="489">
        <v>568.37</v>
      </c>
      <c r="J67" s="489"/>
      <c r="K67" s="489"/>
      <c r="L67" s="489"/>
      <c r="M67" s="489"/>
      <c r="N67" s="489"/>
      <c r="O67" s="489"/>
      <c r="P67" s="490"/>
      <c r="Q67" s="491"/>
    </row>
    <row r="68" spans="1:17" ht="14.4" customHeight="1" x14ac:dyDescent="0.3">
      <c r="A68" s="488" t="s">
        <v>995</v>
      </c>
      <c r="B68" s="508" t="s">
        <v>872</v>
      </c>
      <c r="C68" s="508" t="s">
        <v>880</v>
      </c>
      <c r="D68" s="508" t="s">
        <v>897</v>
      </c>
      <c r="E68" s="508" t="s">
        <v>898</v>
      </c>
      <c r="F68" s="489">
        <v>1</v>
      </c>
      <c r="G68" s="489">
        <v>0</v>
      </c>
      <c r="H68" s="489"/>
      <c r="I68" s="489">
        <v>0</v>
      </c>
      <c r="J68" s="489"/>
      <c r="K68" s="489"/>
      <c r="L68" s="489"/>
      <c r="M68" s="489"/>
      <c r="N68" s="489"/>
      <c r="O68" s="489"/>
      <c r="P68" s="490"/>
      <c r="Q68" s="491"/>
    </row>
    <row r="69" spans="1:17" ht="14.4" customHeight="1" x14ac:dyDescent="0.3">
      <c r="A69" s="488" t="s">
        <v>995</v>
      </c>
      <c r="B69" s="508" t="s">
        <v>872</v>
      </c>
      <c r="C69" s="508" t="s">
        <v>880</v>
      </c>
      <c r="D69" s="508" t="s">
        <v>899</v>
      </c>
      <c r="E69" s="508" t="s">
        <v>900</v>
      </c>
      <c r="F69" s="489">
        <v>1</v>
      </c>
      <c r="G69" s="489">
        <v>1606</v>
      </c>
      <c r="H69" s="489">
        <v>1</v>
      </c>
      <c r="I69" s="489">
        <v>1606</v>
      </c>
      <c r="J69" s="489"/>
      <c r="K69" s="489"/>
      <c r="L69" s="489"/>
      <c r="M69" s="489"/>
      <c r="N69" s="489"/>
      <c r="O69" s="489"/>
      <c r="P69" s="490"/>
      <c r="Q69" s="491"/>
    </row>
    <row r="70" spans="1:17" ht="14.4" customHeight="1" thickBot="1" x14ac:dyDescent="0.35">
      <c r="A70" s="476" t="s">
        <v>995</v>
      </c>
      <c r="B70" s="477" t="s">
        <v>943</v>
      </c>
      <c r="C70" s="477" t="s">
        <v>880</v>
      </c>
      <c r="D70" s="477" t="s">
        <v>948</v>
      </c>
      <c r="E70" s="477" t="s">
        <v>949</v>
      </c>
      <c r="F70" s="492">
        <v>2</v>
      </c>
      <c r="G70" s="492">
        <v>2472</v>
      </c>
      <c r="H70" s="492">
        <v>1</v>
      </c>
      <c r="I70" s="492">
        <v>1236</v>
      </c>
      <c r="J70" s="492"/>
      <c r="K70" s="492"/>
      <c r="L70" s="492"/>
      <c r="M70" s="492"/>
      <c r="N70" s="492"/>
      <c r="O70" s="492"/>
      <c r="P70" s="479"/>
      <c r="Q70" s="49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05" t="s">
        <v>137</v>
      </c>
      <c r="B1" s="305"/>
      <c r="C1" s="305"/>
      <c r="D1" s="305"/>
      <c r="E1" s="305"/>
      <c r="F1" s="305"/>
      <c r="G1" s="306"/>
      <c r="H1" s="306"/>
    </row>
    <row r="2" spans="1:8" ht="14.4" customHeight="1" thickBot="1" x14ac:dyDescent="0.35">
      <c r="A2" s="235" t="s">
        <v>263</v>
      </c>
      <c r="B2" s="111"/>
      <c r="C2" s="111"/>
      <c r="D2" s="111"/>
      <c r="E2" s="111"/>
      <c r="F2" s="111"/>
    </row>
    <row r="3" spans="1:8" ht="14.4" customHeight="1" x14ac:dyDescent="0.3">
      <c r="A3" s="307"/>
      <c r="B3" s="107">
        <v>2012</v>
      </c>
      <c r="C3" s="40">
        <v>2013</v>
      </c>
      <c r="D3" s="7"/>
      <c r="E3" s="311">
        <v>2014</v>
      </c>
      <c r="F3" s="312"/>
      <c r="G3" s="312"/>
      <c r="H3" s="313"/>
    </row>
    <row r="4" spans="1:8" ht="14.4" customHeight="1" thickBot="1" x14ac:dyDescent="0.35">
      <c r="A4" s="308"/>
      <c r="B4" s="309" t="s">
        <v>73</v>
      </c>
      <c r="C4" s="310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31.302630000000001</v>
      </c>
      <c r="C5" s="29">
        <v>30.158699999999001</v>
      </c>
      <c r="D5" s="8"/>
      <c r="E5" s="117">
        <v>27.401229999999998</v>
      </c>
      <c r="F5" s="28">
        <v>31</v>
      </c>
      <c r="G5" s="116">
        <f>E5-F5</f>
        <v>-3.5987700000000018</v>
      </c>
      <c r="H5" s="122">
        <f>IF(F5&lt;0.00000001,"",E5/F5)</f>
        <v>0.88391064516129025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537.17192</v>
      </c>
      <c r="C6" s="31">
        <v>592.54700999999898</v>
      </c>
      <c r="D6" s="8"/>
      <c r="E6" s="118">
        <v>625.10770000000105</v>
      </c>
      <c r="F6" s="30">
        <v>1136.6666666666667</v>
      </c>
      <c r="G6" s="119">
        <f>E6-F6</f>
        <v>-511.5589666666657</v>
      </c>
      <c r="H6" s="123">
        <f>IF(F6&lt;0.00000001,"",E6/F6)</f>
        <v>0.54994812316715636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4524.9628000000002</v>
      </c>
      <c r="C7" s="31">
        <v>4698.0104699999983</v>
      </c>
      <c r="D7" s="8"/>
      <c r="E7" s="118">
        <v>4636.771830000006</v>
      </c>
      <c r="F7" s="30">
        <v>5034.6666666666661</v>
      </c>
      <c r="G7" s="119">
        <f>E7-F7</f>
        <v>-397.89483666666001</v>
      </c>
      <c r="H7" s="123">
        <f>IF(F7&lt;0.00000001,"",E7/F7)</f>
        <v>0.92096898106462</v>
      </c>
    </row>
    <row r="8" spans="1:8" ht="14.4" customHeight="1" thickBot="1" x14ac:dyDescent="0.35">
      <c r="A8" s="1" t="s">
        <v>76</v>
      </c>
      <c r="B8" s="11">
        <v>1377.0771299999997</v>
      </c>
      <c r="C8" s="33">
        <v>1552.4662300000014</v>
      </c>
      <c r="D8" s="8"/>
      <c r="E8" s="120">
        <v>1696.5653900000016</v>
      </c>
      <c r="F8" s="32">
        <v>1773.6666666666672</v>
      </c>
      <c r="G8" s="121">
        <f>E8-F8</f>
        <v>-77.101276666665626</v>
      </c>
      <c r="H8" s="124">
        <f>IF(F8&lt;0.00000001,"",E8/F8)</f>
        <v>0.9565300075173846</v>
      </c>
    </row>
    <row r="9" spans="1:8" ht="14.4" customHeight="1" thickBot="1" x14ac:dyDescent="0.35">
      <c r="A9" s="2" t="s">
        <v>77</v>
      </c>
      <c r="B9" s="3">
        <v>6470.5144799999998</v>
      </c>
      <c r="C9" s="35">
        <v>6873.1824099999976</v>
      </c>
      <c r="D9" s="8"/>
      <c r="E9" s="3">
        <v>6985.8461500000085</v>
      </c>
      <c r="F9" s="34">
        <v>7976</v>
      </c>
      <c r="G9" s="34">
        <f>E9-F9</f>
        <v>-990.15384999999151</v>
      </c>
      <c r="H9" s="125">
        <f>IF(F9&lt;0.00000001,"",E9/F9)</f>
        <v>0.87585834378134508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18154.009999999998</v>
      </c>
      <c r="C11" s="29">
        <f>IF(ISERROR(VLOOKUP("Celkem:",'ZV Vykáz.-A'!A:F,4,0)),0,VLOOKUP("Celkem:",'ZV Vykáz.-A'!A:F,4,0)/1000)</f>
        <v>18636.216</v>
      </c>
      <c r="D11" s="8"/>
      <c r="E11" s="117">
        <f>IF(ISERROR(VLOOKUP("Celkem:",'ZV Vykáz.-A'!A:F,6,0)),0,VLOOKUP("Celkem:",'ZV Vykáz.-A'!A:F,6,0)/1000)</f>
        <v>19381.664000000001</v>
      </c>
      <c r="F11" s="28">
        <f>B11</f>
        <v>18154.009999999998</v>
      </c>
      <c r="G11" s="116">
        <f>E11-F11</f>
        <v>1227.6540000000023</v>
      </c>
      <c r="H11" s="122">
        <f>IF(F11&lt;0.00000001,"",E11/F11)</f>
        <v>1.0676243981357287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18154.009999999998</v>
      </c>
      <c r="C13" s="37">
        <f>SUM(C11:C12)</f>
        <v>18636.216</v>
      </c>
      <c r="D13" s="8"/>
      <c r="E13" s="5">
        <f>SUM(E11:E12)</f>
        <v>19381.664000000001</v>
      </c>
      <c r="F13" s="36">
        <f>SUM(F11:F12)</f>
        <v>18154.009999999998</v>
      </c>
      <c r="G13" s="36">
        <f>E13-F13</f>
        <v>1227.6540000000023</v>
      </c>
      <c r="H13" s="126">
        <f>IF(F13&lt;0.00000001,"",E13/F13)</f>
        <v>1.0676243981357287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2.8056517076212462</v>
      </c>
      <c r="C15" s="39">
        <f>IF(C9=0,"",C13/C9)</f>
        <v>2.7114391686863448</v>
      </c>
      <c r="D15" s="8"/>
      <c r="E15" s="6">
        <f>IF(E9=0,"",E13/E9)</f>
        <v>2.7744189585394716</v>
      </c>
      <c r="F15" s="38">
        <f>IF(F9=0,"",F13/F9)</f>
        <v>2.2760794884653959</v>
      </c>
      <c r="G15" s="38">
        <f>IF(ISERROR(F15-E15),"",E15-F15)</f>
        <v>0.49833947007407575</v>
      </c>
      <c r="H15" s="127">
        <f>IF(ISERROR(F15-E15),"",IF(F15&lt;0.00000001,"",E15/F15))</f>
        <v>1.2189464263438672</v>
      </c>
    </row>
    <row r="17" spans="1:8" ht="14.4" customHeight="1" x14ac:dyDescent="0.3">
      <c r="A17" s="113" t="s">
        <v>158</v>
      </c>
    </row>
    <row r="18" spans="1:8" ht="14.4" customHeight="1" x14ac:dyDescent="0.3">
      <c r="A18" s="288" t="s">
        <v>220</v>
      </c>
      <c r="B18" s="289"/>
      <c r="C18" s="289"/>
      <c r="D18" s="289"/>
      <c r="E18" s="289"/>
      <c r="F18" s="289"/>
      <c r="G18" s="289"/>
      <c r="H18" s="289"/>
    </row>
    <row r="19" spans="1:8" x14ac:dyDescent="0.3">
      <c r="A19" s="287" t="s">
        <v>219</v>
      </c>
      <c r="B19" s="289"/>
      <c r="C19" s="289"/>
      <c r="D19" s="289"/>
      <c r="E19" s="289"/>
      <c r="F19" s="289"/>
      <c r="G19" s="289"/>
      <c r="H19" s="289"/>
    </row>
    <row r="20" spans="1:8" ht="14.4" customHeight="1" x14ac:dyDescent="0.3">
      <c r="A20" s="114" t="s">
        <v>159</v>
      </c>
    </row>
    <row r="21" spans="1:8" ht="14.4" customHeight="1" x14ac:dyDescent="0.3">
      <c r="A21" s="114" t="s">
        <v>160</v>
      </c>
    </row>
    <row r="22" spans="1:8" ht="14.4" customHeight="1" x14ac:dyDescent="0.3">
      <c r="A22" s="115" t="s">
        <v>161</v>
      </c>
    </row>
    <row r="23" spans="1:8" ht="14.4" customHeight="1" x14ac:dyDescent="0.3">
      <c r="A23" s="115" t="s">
        <v>162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3" priority="4" operator="greaterThan">
      <formula>0</formula>
    </cfRule>
  </conditionalFormatting>
  <conditionalFormatting sqref="G11:G13 G15">
    <cfRule type="cellIs" dxfId="52" priority="3" operator="lessThan">
      <formula>0</formula>
    </cfRule>
  </conditionalFormatting>
  <conditionalFormatting sqref="H5:H9">
    <cfRule type="cellIs" dxfId="51" priority="2" operator="greaterThan">
      <formula>1</formula>
    </cfRule>
  </conditionalFormatting>
  <conditionalFormatting sqref="H11:H13 H15">
    <cfRule type="cellIs" dxfId="5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05" t="s">
        <v>105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14.4" customHeight="1" x14ac:dyDescent="0.3">
      <c r="A2" s="235" t="s">
        <v>263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9"/>
      <c r="B3" s="200" t="s">
        <v>82</v>
      </c>
      <c r="C3" s="201" t="s">
        <v>83</v>
      </c>
      <c r="D3" s="201" t="s">
        <v>84</v>
      </c>
      <c r="E3" s="200" t="s">
        <v>85</v>
      </c>
      <c r="F3" s="201" t="s">
        <v>86</v>
      </c>
      <c r="G3" s="201" t="s">
        <v>87</v>
      </c>
      <c r="H3" s="201" t="s">
        <v>88</v>
      </c>
      <c r="I3" s="201" t="s">
        <v>89</v>
      </c>
      <c r="J3" s="201" t="s">
        <v>90</v>
      </c>
      <c r="K3" s="201" t="s">
        <v>91</v>
      </c>
      <c r="L3" s="201" t="s">
        <v>92</v>
      </c>
      <c r="M3" s="201" t="s">
        <v>93</v>
      </c>
    </row>
    <row r="4" spans="1:13" ht="14.4" customHeight="1" x14ac:dyDescent="0.3">
      <c r="A4" s="199" t="s">
        <v>81</v>
      </c>
      <c r="B4" s="202">
        <f>(B10+B8)/B6</f>
        <v>2.3229464334332772</v>
      </c>
      <c r="C4" s="202">
        <f t="shared" ref="C4:M4" si="0">(C10+C8)/C6</f>
        <v>2.7371443942937526</v>
      </c>
      <c r="D4" s="202">
        <f t="shared" si="0"/>
        <v>2.7076075165588618</v>
      </c>
      <c r="E4" s="202">
        <f t="shared" si="0"/>
        <v>2.7953402609646605</v>
      </c>
      <c r="F4" s="202">
        <f t="shared" si="0"/>
        <v>2.7953402609646605</v>
      </c>
      <c r="G4" s="202">
        <f t="shared" si="0"/>
        <v>2.7953402609646605</v>
      </c>
      <c r="H4" s="202">
        <f t="shared" si="0"/>
        <v>2.7953402609646605</v>
      </c>
      <c r="I4" s="202">
        <f t="shared" si="0"/>
        <v>2.7953402609646605</v>
      </c>
      <c r="J4" s="202">
        <f t="shared" si="0"/>
        <v>2.7953402609646605</v>
      </c>
      <c r="K4" s="202">
        <f t="shared" si="0"/>
        <v>2.7953402609646605</v>
      </c>
      <c r="L4" s="202">
        <f t="shared" si="0"/>
        <v>2.7953402609646605</v>
      </c>
      <c r="M4" s="202">
        <f t="shared" si="0"/>
        <v>2.7953402609646605</v>
      </c>
    </row>
    <row r="5" spans="1:13" ht="14.4" customHeight="1" x14ac:dyDescent="0.3">
      <c r="A5" s="203" t="s">
        <v>53</v>
      </c>
      <c r="B5" s="202">
        <f>IF(ISERROR(VLOOKUP($A5,'Man Tab'!$A:$Q,COLUMN()+2,0)),0,VLOOKUP($A5,'Man Tab'!$A:$Q,COLUMN()+2,0))</f>
        <v>1685.67813000001</v>
      </c>
      <c r="C5" s="202">
        <f>IF(ISERROR(VLOOKUP($A5,'Man Tab'!$A:$Q,COLUMN()+2,0)),0,VLOOKUP($A5,'Man Tab'!$A:$Q,COLUMN()+2,0))</f>
        <v>1651.2189000000001</v>
      </c>
      <c r="D5" s="202">
        <f>IF(ISERROR(VLOOKUP($A5,'Man Tab'!$A:$Q,COLUMN()+2,0)),0,VLOOKUP($A5,'Man Tab'!$A:$Q,COLUMN()+2,0))</f>
        <v>2087.6469299999999</v>
      </c>
      <c r="E5" s="202">
        <f>IF(ISERROR(VLOOKUP($A5,'Man Tab'!$A:$Q,COLUMN()+2,0)),0,VLOOKUP($A5,'Man Tab'!$A:$Q,COLUMN()+2,0))</f>
        <v>1561.3021900000001</v>
      </c>
      <c r="F5" s="202">
        <f>IF(ISERROR(VLOOKUP($A5,'Man Tab'!$A:$Q,COLUMN()+2,0)),0,VLOOKUP($A5,'Man Tab'!$A:$Q,COLUMN()+2,0))</f>
        <v>4.9406564584124654E-324</v>
      </c>
      <c r="G5" s="202">
        <f>IF(ISERROR(VLOOKUP($A5,'Man Tab'!$A:$Q,COLUMN()+2,0)),0,VLOOKUP($A5,'Man Tab'!$A:$Q,COLUMN()+2,0))</f>
        <v>4.9406564584124654E-324</v>
      </c>
      <c r="H5" s="202">
        <f>IF(ISERROR(VLOOKUP($A5,'Man Tab'!$A:$Q,COLUMN()+2,0)),0,VLOOKUP($A5,'Man Tab'!$A:$Q,COLUMN()+2,0))</f>
        <v>4.9406564584124654E-324</v>
      </c>
      <c r="I5" s="202">
        <f>IF(ISERROR(VLOOKUP($A5,'Man Tab'!$A:$Q,COLUMN()+2,0)),0,VLOOKUP($A5,'Man Tab'!$A:$Q,COLUMN()+2,0))</f>
        <v>4.9406564584124654E-324</v>
      </c>
      <c r="J5" s="202">
        <f>IF(ISERROR(VLOOKUP($A5,'Man Tab'!$A:$Q,COLUMN()+2,0)),0,VLOOKUP($A5,'Man Tab'!$A:$Q,COLUMN()+2,0))</f>
        <v>4.9406564584124654E-324</v>
      </c>
      <c r="K5" s="202">
        <f>IF(ISERROR(VLOOKUP($A5,'Man Tab'!$A:$Q,COLUMN()+2,0)),0,VLOOKUP($A5,'Man Tab'!$A:$Q,COLUMN()+2,0))</f>
        <v>4.9406564584124654E-324</v>
      </c>
      <c r="L5" s="202">
        <f>IF(ISERROR(VLOOKUP($A5,'Man Tab'!$A:$Q,COLUMN()+2,0)),0,VLOOKUP($A5,'Man Tab'!$A:$Q,COLUMN()+2,0))</f>
        <v>4.9406564584124654E-324</v>
      </c>
      <c r="M5" s="202">
        <f>IF(ISERROR(VLOOKUP($A5,'Man Tab'!$A:$Q,COLUMN()+2,0)),0,VLOOKUP($A5,'Man Tab'!$A:$Q,COLUMN()+2,0))</f>
        <v>4.9406564584124654E-324</v>
      </c>
    </row>
    <row r="6" spans="1:13" ht="14.4" customHeight="1" x14ac:dyDescent="0.3">
      <c r="A6" s="203" t="s">
        <v>77</v>
      </c>
      <c r="B6" s="204">
        <f>B5</f>
        <v>1685.67813000001</v>
      </c>
      <c r="C6" s="204">
        <f t="shared" ref="C6:M6" si="1">C5+B6</f>
        <v>3336.8970300000101</v>
      </c>
      <c r="D6" s="204">
        <f t="shared" si="1"/>
        <v>5424.54396000001</v>
      </c>
      <c r="E6" s="204">
        <f t="shared" si="1"/>
        <v>6985.8461500000103</v>
      </c>
      <c r="F6" s="204">
        <f t="shared" si="1"/>
        <v>6985.8461500000103</v>
      </c>
      <c r="G6" s="204">
        <f t="shared" si="1"/>
        <v>6985.8461500000103</v>
      </c>
      <c r="H6" s="204">
        <f t="shared" si="1"/>
        <v>6985.8461500000103</v>
      </c>
      <c r="I6" s="204">
        <f t="shared" si="1"/>
        <v>6985.8461500000103</v>
      </c>
      <c r="J6" s="204">
        <f t="shared" si="1"/>
        <v>6985.8461500000103</v>
      </c>
      <c r="K6" s="204">
        <f t="shared" si="1"/>
        <v>6985.8461500000103</v>
      </c>
      <c r="L6" s="204">
        <f t="shared" si="1"/>
        <v>6985.8461500000103</v>
      </c>
      <c r="M6" s="204">
        <f t="shared" si="1"/>
        <v>6985.8461500000103</v>
      </c>
    </row>
    <row r="7" spans="1:13" ht="14.4" customHeight="1" x14ac:dyDescent="0.3">
      <c r="A7" s="203" t="s">
        <v>103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</row>
    <row r="8" spans="1:13" ht="14.4" customHeight="1" x14ac:dyDescent="0.3">
      <c r="A8" s="203" t="s">
        <v>78</v>
      </c>
      <c r="B8" s="204">
        <f>B7*30</f>
        <v>0</v>
      </c>
      <c r="C8" s="204">
        <f t="shared" ref="C8:M8" si="2">C7*30</f>
        <v>0</v>
      </c>
      <c r="D8" s="204">
        <f t="shared" si="2"/>
        <v>0</v>
      </c>
      <c r="E8" s="204">
        <f t="shared" si="2"/>
        <v>0</v>
      </c>
      <c r="F8" s="204">
        <f t="shared" si="2"/>
        <v>0</v>
      </c>
      <c r="G8" s="204">
        <f t="shared" si="2"/>
        <v>0</v>
      </c>
      <c r="H8" s="204">
        <f t="shared" si="2"/>
        <v>0</v>
      </c>
      <c r="I8" s="204">
        <f t="shared" si="2"/>
        <v>0</v>
      </c>
      <c r="J8" s="204">
        <f t="shared" si="2"/>
        <v>0</v>
      </c>
      <c r="K8" s="204">
        <f t="shared" si="2"/>
        <v>0</v>
      </c>
      <c r="L8" s="204">
        <f t="shared" si="2"/>
        <v>0</v>
      </c>
      <c r="M8" s="204">
        <f t="shared" si="2"/>
        <v>0</v>
      </c>
    </row>
    <row r="9" spans="1:13" ht="14.4" customHeight="1" x14ac:dyDescent="0.3">
      <c r="A9" s="203" t="s">
        <v>104</v>
      </c>
      <c r="B9" s="203">
        <v>3915740</v>
      </c>
      <c r="C9" s="203">
        <v>5217829</v>
      </c>
      <c r="D9" s="203">
        <v>5553967</v>
      </c>
      <c r="E9" s="203">
        <v>4840281</v>
      </c>
      <c r="F9" s="203">
        <v>0</v>
      </c>
      <c r="G9" s="203">
        <v>0</v>
      </c>
      <c r="H9" s="203">
        <v>0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</row>
    <row r="10" spans="1:13" ht="14.4" customHeight="1" x14ac:dyDescent="0.3">
      <c r="A10" s="203" t="s">
        <v>79</v>
      </c>
      <c r="B10" s="204">
        <f>B9/1000</f>
        <v>3915.74</v>
      </c>
      <c r="C10" s="204">
        <f t="shared" ref="C10:M10" si="3">C9/1000+B10</f>
        <v>9133.5689999999995</v>
      </c>
      <c r="D10" s="204">
        <f t="shared" si="3"/>
        <v>14687.536</v>
      </c>
      <c r="E10" s="204">
        <f t="shared" si="3"/>
        <v>19527.816999999999</v>
      </c>
      <c r="F10" s="204">
        <f t="shared" si="3"/>
        <v>19527.816999999999</v>
      </c>
      <c r="G10" s="204">
        <f t="shared" si="3"/>
        <v>19527.816999999999</v>
      </c>
      <c r="H10" s="204">
        <f t="shared" si="3"/>
        <v>19527.816999999999</v>
      </c>
      <c r="I10" s="204">
        <f t="shared" si="3"/>
        <v>19527.816999999999</v>
      </c>
      <c r="J10" s="204">
        <f t="shared" si="3"/>
        <v>19527.816999999999</v>
      </c>
      <c r="K10" s="204">
        <f t="shared" si="3"/>
        <v>19527.816999999999</v>
      </c>
      <c r="L10" s="204">
        <f t="shared" si="3"/>
        <v>19527.816999999999</v>
      </c>
      <c r="M10" s="204">
        <f t="shared" si="3"/>
        <v>19527.816999999999</v>
      </c>
    </row>
    <row r="11" spans="1:13" ht="14.4" customHeight="1" x14ac:dyDescent="0.3">
      <c r="A11" s="199"/>
      <c r="B11" s="199" t="s">
        <v>94</v>
      </c>
      <c r="C11" s="199">
        <f ca="1">IF(MONTH(TODAY())=1,12,MONTH(TODAY())-1)</f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14.4" customHeight="1" x14ac:dyDescent="0.3">
      <c r="A12" s="199">
        <v>0</v>
      </c>
      <c r="B12" s="202">
        <f>IF(ISERROR(HI!F15),#REF!,HI!F15)</f>
        <v>2.2760794884653959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</row>
    <row r="13" spans="1:13" ht="14.4" customHeight="1" x14ac:dyDescent="0.3">
      <c r="A13" s="199">
        <v>1</v>
      </c>
      <c r="B13" s="202">
        <f>IF(ISERROR(HI!F15),#REF!,HI!F15)</f>
        <v>2.2760794884653959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5" customFormat="1" ht="18.600000000000001" customHeight="1" thickBot="1" x14ac:dyDescent="0.4">
      <c r="A1" s="314" t="s">
        <v>265</v>
      </c>
      <c r="B1" s="314"/>
      <c r="C1" s="314"/>
      <c r="D1" s="314"/>
      <c r="E1" s="314"/>
      <c r="F1" s="314"/>
      <c r="G1" s="314"/>
      <c r="H1" s="305"/>
      <c r="I1" s="305"/>
      <c r="J1" s="305"/>
      <c r="K1" s="305"/>
      <c r="L1" s="305"/>
      <c r="M1" s="305"/>
      <c r="N1" s="305"/>
      <c r="O1" s="305"/>
      <c r="P1" s="305"/>
      <c r="Q1" s="305"/>
    </row>
    <row r="2" spans="1:17" s="205" customFormat="1" ht="14.4" customHeight="1" thickBot="1" x14ac:dyDescent="0.3">
      <c r="A2" s="235" t="s">
        <v>263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4.4" customHeight="1" x14ac:dyDescent="0.3">
      <c r="A3" s="76"/>
      <c r="B3" s="315" t="s">
        <v>29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138"/>
      <c r="Q3" s="140"/>
    </row>
    <row r="4" spans="1:17" ht="14.4" customHeight="1" x14ac:dyDescent="0.3">
      <c r="A4" s="77"/>
      <c r="B4" s="20">
        <v>2014</v>
      </c>
      <c r="C4" s="139" t="s">
        <v>30</v>
      </c>
      <c r="D4" s="129" t="s">
        <v>164</v>
      </c>
      <c r="E4" s="129" t="s">
        <v>165</v>
      </c>
      <c r="F4" s="129" t="s">
        <v>166</v>
      </c>
      <c r="G4" s="129" t="s">
        <v>167</v>
      </c>
      <c r="H4" s="129" t="s">
        <v>168</v>
      </c>
      <c r="I4" s="129" t="s">
        <v>169</v>
      </c>
      <c r="J4" s="129" t="s">
        <v>170</v>
      </c>
      <c r="K4" s="129" t="s">
        <v>171</v>
      </c>
      <c r="L4" s="129" t="s">
        <v>172</v>
      </c>
      <c r="M4" s="129" t="s">
        <v>173</v>
      </c>
      <c r="N4" s="129" t="s">
        <v>174</v>
      </c>
      <c r="O4" s="129" t="s">
        <v>175</v>
      </c>
      <c r="P4" s="317" t="s">
        <v>3</v>
      </c>
      <c r="Q4" s="318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1.9762625833649862E-323</v>
      </c>
      <c r="Q6" s="94" t="s">
        <v>264</v>
      </c>
    </row>
    <row r="7" spans="1:17" ht="14.4" customHeight="1" x14ac:dyDescent="0.3">
      <c r="A7" s="15" t="s">
        <v>35</v>
      </c>
      <c r="B7" s="51">
        <v>93.808699516833002</v>
      </c>
      <c r="C7" s="52">
        <v>7.8173916264020002</v>
      </c>
      <c r="D7" s="52">
        <v>3.9129100000000001</v>
      </c>
      <c r="E7" s="52">
        <v>8.1569800000000008</v>
      </c>
      <c r="F7" s="52">
        <v>5.9600299999999997</v>
      </c>
      <c r="G7" s="52">
        <v>9.3713099999999994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27.401230000000002</v>
      </c>
      <c r="Q7" s="95">
        <v>0.87629068970500001</v>
      </c>
    </row>
    <row r="8" spans="1:17" ht="14.4" customHeight="1" x14ac:dyDescent="0.3">
      <c r="A8" s="15" t="s">
        <v>36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1.9762625833649862E-323</v>
      </c>
      <c r="Q8" s="95" t="s">
        <v>264</v>
      </c>
    </row>
    <row r="9" spans="1:17" ht="14.4" customHeight="1" x14ac:dyDescent="0.3">
      <c r="A9" s="15" t="s">
        <v>37</v>
      </c>
      <c r="B9" s="51">
        <v>3403.0763482306302</v>
      </c>
      <c r="C9" s="52">
        <v>283.589695685886</v>
      </c>
      <c r="D9" s="52">
        <v>165.94484000000099</v>
      </c>
      <c r="E9" s="52">
        <v>143.74386000000001</v>
      </c>
      <c r="F9" s="52">
        <v>222.52466000000001</v>
      </c>
      <c r="G9" s="52">
        <v>92.89434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625.10770000000105</v>
      </c>
      <c r="Q9" s="95">
        <v>0.55106700764200001</v>
      </c>
    </row>
    <row r="10" spans="1:17" ht="14.4" customHeight="1" x14ac:dyDescent="0.3">
      <c r="A10" s="15" t="s">
        <v>38</v>
      </c>
      <c r="B10" s="51">
        <v>4.9406564584124654E-324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1.9762625833649862E-323</v>
      </c>
      <c r="Q10" s="95" t="s">
        <v>264</v>
      </c>
    </row>
    <row r="11" spans="1:17" ht="14.4" customHeight="1" x14ac:dyDescent="0.3">
      <c r="A11" s="15" t="s">
        <v>39</v>
      </c>
      <c r="B11" s="51">
        <v>129.733234849436</v>
      </c>
      <c r="C11" s="52">
        <v>10.811102904119</v>
      </c>
      <c r="D11" s="52">
        <v>14.826779999999999</v>
      </c>
      <c r="E11" s="52">
        <v>13.942679999999999</v>
      </c>
      <c r="F11" s="52">
        <v>10.87458</v>
      </c>
      <c r="G11" s="52">
        <v>10.86782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50.511859999999999</v>
      </c>
      <c r="Q11" s="95">
        <v>1.168055203247</v>
      </c>
    </row>
    <row r="12" spans="1:17" ht="14.4" customHeight="1" x14ac:dyDescent="0.3">
      <c r="A12" s="15" t="s">
        <v>40</v>
      </c>
      <c r="B12" s="51">
        <v>10.535080868799</v>
      </c>
      <c r="C12" s="52">
        <v>0.87792340573299998</v>
      </c>
      <c r="D12" s="52">
        <v>4.9406564584124654E-324</v>
      </c>
      <c r="E12" s="52">
        <v>11.185499999999999</v>
      </c>
      <c r="F12" s="52">
        <v>5.9499999999999997E-2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11.244999999999999</v>
      </c>
      <c r="Q12" s="95">
        <v>3.202158618441</v>
      </c>
    </row>
    <row r="13" spans="1:17" ht="14.4" customHeight="1" x14ac:dyDescent="0.3">
      <c r="A13" s="15" t="s">
        <v>41</v>
      </c>
      <c r="B13" s="51">
        <v>21.868244685320999</v>
      </c>
      <c r="C13" s="52">
        <v>1.8223537237759999</v>
      </c>
      <c r="D13" s="52">
        <v>0.95774999999999999</v>
      </c>
      <c r="E13" s="52">
        <v>1.4386300000000001</v>
      </c>
      <c r="F13" s="52">
        <v>1.0442</v>
      </c>
      <c r="G13" s="52">
        <v>1.16232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4.6029</v>
      </c>
      <c r="Q13" s="95">
        <v>0.63144985794200004</v>
      </c>
    </row>
    <row r="14" spans="1:17" ht="14.4" customHeight="1" x14ac:dyDescent="0.3">
      <c r="A14" s="15" t="s">
        <v>42</v>
      </c>
      <c r="B14" s="51">
        <v>255.98500559919199</v>
      </c>
      <c r="C14" s="52">
        <v>21.332083799932001</v>
      </c>
      <c r="D14" s="52">
        <v>27.599</v>
      </c>
      <c r="E14" s="52">
        <v>22.687999999999999</v>
      </c>
      <c r="F14" s="52">
        <v>20.405000000000001</v>
      </c>
      <c r="G14" s="52">
        <v>19.251000000000001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89.942999999999998</v>
      </c>
      <c r="Q14" s="95">
        <v>1.0540812707689999</v>
      </c>
    </row>
    <row r="15" spans="1:17" ht="14.4" customHeight="1" x14ac:dyDescent="0.3">
      <c r="A15" s="15" t="s">
        <v>43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1.9762625833649862E-323</v>
      </c>
      <c r="Q15" s="95" t="s">
        <v>264</v>
      </c>
    </row>
    <row r="16" spans="1:17" ht="14.4" customHeight="1" x14ac:dyDescent="0.3">
      <c r="A16" s="15" t="s">
        <v>44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1.9762625833649862E-323</v>
      </c>
      <c r="Q16" s="95" t="s">
        <v>264</v>
      </c>
    </row>
    <row r="17" spans="1:17" ht="14.4" customHeight="1" x14ac:dyDescent="0.3">
      <c r="A17" s="15" t="s">
        <v>45</v>
      </c>
      <c r="B17" s="51">
        <v>679.88707680600999</v>
      </c>
      <c r="C17" s="52">
        <v>56.657256400500003</v>
      </c>
      <c r="D17" s="52">
        <v>0.30734</v>
      </c>
      <c r="E17" s="52">
        <v>5.4595200000000004</v>
      </c>
      <c r="F17" s="52">
        <v>328.25218000000001</v>
      </c>
      <c r="G17" s="52">
        <v>19.89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353.90904</v>
      </c>
      <c r="Q17" s="95">
        <v>1.5616227403339999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1.6459999999999999</v>
      </c>
      <c r="E18" s="52">
        <v>7.319</v>
      </c>
      <c r="F18" s="52">
        <v>0.13400000000000001</v>
      </c>
      <c r="G18" s="52">
        <v>0.19500000000000001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9.2940000000000005</v>
      </c>
      <c r="Q18" s="95" t="s">
        <v>264</v>
      </c>
    </row>
    <row r="19" spans="1:17" ht="14.4" customHeight="1" x14ac:dyDescent="0.3">
      <c r="A19" s="15" t="s">
        <v>47</v>
      </c>
      <c r="B19" s="51">
        <v>1402.6011094074199</v>
      </c>
      <c r="C19" s="52">
        <v>116.883425783951</v>
      </c>
      <c r="D19" s="52">
        <v>49.435549999999999</v>
      </c>
      <c r="E19" s="52">
        <v>30.741199999999999</v>
      </c>
      <c r="F19" s="52">
        <v>64.834370000000007</v>
      </c>
      <c r="G19" s="52">
        <v>18.455369999999998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163.46648999999999</v>
      </c>
      <c r="Q19" s="95">
        <v>0.34963573514200003</v>
      </c>
    </row>
    <row r="20" spans="1:17" ht="14.4" customHeight="1" x14ac:dyDescent="0.3">
      <c r="A20" s="15" t="s">
        <v>48</v>
      </c>
      <c r="B20" s="51">
        <v>15104.0746745999</v>
      </c>
      <c r="C20" s="52">
        <v>1258.67288955</v>
      </c>
      <c r="D20" s="52">
        <v>1178.65635000001</v>
      </c>
      <c r="E20" s="52">
        <v>1148.94849</v>
      </c>
      <c r="F20" s="52">
        <v>1158.2221099999999</v>
      </c>
      <c r="G20" s="52">
        <v>1150.94488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4636.7718300000097</v>
      </c>
      <c r="Q20" s="95">
        <v>0.92096442778999998</v>
      </c>
    </row>
    <row r="21" spans="1:17" ht="14.4" customHeight="1" x14ac:dyDescent="0.3">
      <c r="A21" s="16" t="s">
        <v>49</v>
      </c>
      <c r="B21" s="51">
        <v>2821.9811064957298</v>
      </c>
      <c r="C21" s="52">
        <v>235.16509220797801</v>
      </c>
      <c r="D21" s="52">
        <v>235.274000000001</v>
      </c>
      <c r="E21" s="52">
        <v>235.274</v>
      </c>
      <c r="F21" s="52">
        <v>235.27099999999999</v>
      </c>
      <c r="G21" s="52">
        <v>235.27099999999999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941.09000000000106</v>
      </c>
      <c r="Q21" s="95">
        <v>1.000456733569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4.9406564584124654E-324</v>
      </c>
      <c r="E22" s="52">
        <v>5.89</v>
      </c>
      <c r="F22" s="52">
        <v>13.119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19.009</v>
      </c>
      <c r="Q22" s="95" t="s">
        <v>264</v>
      </c>
    </row>
    <row r="23" spans="1:17" ht="14.4" customHeight="1" x14ac:dyDescent="0.3">
      <c r="A23" s="16" t="s">
        <v>51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7.9050503334599447E-323</v>
      </c>
      <c r="Q23" s="95" t="s">
        <v>264</v>
      </c>
    </row>
    <row r="24" spans="1:17" ht="14.4" customHeight="1" x14ac:dyDescent="0.3">
      <c r="A24" s="16" t="s">
        <v>52</v>
      </c>
      <c r="B24" s="51">
        <v>3.6379788070917101E-12</v>
      </c>
      <c r="C24" s="52">
        <v>2.2737367544323201E-13</v>
      </c>
      <c r="D24" s="52">
        <v>7.11761</v>
      </c>
      <c r="E24" s="52">
        <v>16.431039999999999</v>
      </c>
      <c r="F24" s="52">
        <v>26.946300000000001</v>
      </c>
      <c r="G24" s="52">
        <v>2.9991500000000002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53.494100000000003</v>
      </c>
      <c r="Q24" s="95"/>
    </row>
    <row r="25" spans="1:17" ht="14.4" customHeight="1" x14ac:dyDescent="0.3">
      <c r="A25" s="17" t="s">
        <v>53</v>
      </c>
      <c r="B25" s="54">
        <v>23923.550581059299</v>
      </c>
      <c r="C25" s="55">
        <v>1993.62921508828</v>
      </c>
      <c r="D25" s="55">
        <v>1685.67813000001</v>
      </c>
      <c r="E25" s="55">
        <v>1651.2189000000001</v>
      </c>
      <c r="F25" s="55">
        <v>2087.6469299999999</v>
      </c>
      <c r="G25" s="55">
        <v>1561.3021900000001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6985.8461500000103</v>
      </c>
      <c r="Q25" s="96">
        <v>0.87602124019899996</v>
      </c>
    </row>
    <row r="26" spans="1:17" ht="14.4" customHeight="1" x14ac:dyDescent="0.3">
      <c r="A26" s="15" t="s">
        <v>54</v>
      </c>
      <c r="B26" s="51">
        <v>2267.0007088176899</v>
      </c>
      <c r="C26" s="52">
        <v>188.91672573480801</v>
      </c>
      <c r="D26" s="52">
        <v>176.15778</v>
      </c>
      <c r="E26" s="52">
        <v>162.64164</v>
      </c>
      <c r="F26" s="52">
        <v>173.26581999999999</v>
      </c>
      <c r="G26" s="52">
        <v>163.28993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675.35517000000004</v>
      </c>
      <c r="Q26" s="95">
        <v>0.89372072188499996</v>
      </c>
    </row>
    <row r="27" spans="1:17" ht="14.4" customHeight="1" x14ac:dyDescent="0.3">
      <c r="A27" s="18" t="s">
        <v>55</v>
      </c>
      <c r="B27" s="54">
        <v>26190.551289876999</v>
      </c>
      <c r="C27" s="55">
        <v>2182.5459408230799</v>
      </c>
      <c r="D27" s="55">
        <v>1861.83591000001</v>
      </c>
      <c r="E27" s="55">
        <v>1813.8605399999999</v>
      </c>
      <c r="F27" s="55">
        <v>2260.91275</v>
      </c>
      <c r="G27" s="55">
        <v>1724.59212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7661.2013200000101</v>
      </c>
      <c r="Q27" s="96">
        <v>0.87755327123899995</v>
      </c>
    </row>
    <row r="28" spans="1:17" ht="14.4" customHeight="1" x14ac:dyDescent="0.3">
      <c r="A28" s="16" t="s">
        <v>56</v>
      </c>
      <c r="B28" s="51">
        <v>523.84315454924194</v>
      </c>
      <c r="C28" s="52">
        <v>43.653596212436</v>
      </c>
      <c r="D28" s="52">
        <v>50.317900000000002</v>
      </c>
      <c r="E28" s="52">
        <v>50.73592</v>
      </c>
      <c r="F28" s="52">
        <v>74.876450000000006</v>
      </c>
      <c r="G28" s="52">
        <v>37.687730000000002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213.61799999999999</v>
      </c>
      <c r="Q28" s="95">
        <v>1.2233700000359999</v>
      </c>
    </row>
    <row r="29" spans="1:17" ht="14.4" customHeight="1" x14ac:dyDescent="0.3">
      <c r="A29" s="16" t="s">
        <v>57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3.9525251667299724E-323</v>
      </c>
      <c r="Q29" s="95" t="s">
        <v>264</v>
      </c>
    </row>
    <row r="30" spans="1:17" ht="14.4" customHeight="1" x14ac:dyDescent="0.3">
      <c r="A30" s="16" t="s">
        <v>58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1.9762625833649862E-322</v>
      </c>
      <c r="Q30" s="95">
        <v>0</v>
      </c>
    </row>
    <row r="31" spans="1:17" ht="14.4" customHeight="1" thickBot="1" x14ac:dyDescent="0.35">
      <c r="A31" s="19" t="s">
        <v>59</v>
      </c>
      <c r="B31" s="57">
        <v>1.9762625833649862E-323</v>
      </c>
      <c r="C31" s="58">
        <v>0</v>
      </c>
      <c r="D31" s="58">
        <v>2.4703282292062327E-323</v>
      </c>
      <c r="E31" s="58">
        <v>5.89</v>
      </c>
      <c r="F31" s="58">
        <v>13.119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19.009</v>
      </c>
      <c r="Q31" s="97" t="s">
        <v>264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158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184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14" t="s">
        <v>61</v>
      </c>
      <c r="B1" s="314"/>
      <c r="C1" s="314"/>
      <c r="D1" s="314"/>
      <c r="E1" s="314"/>
      <c r="F1" s="314"/>
      <c r="G1" s="314"/>
      <c r="H1" s="319"/>
      <c r="I1" s="319"/>
      <c r="J1" s="319"/>
      <c r="K1" s="319"/>
    </row>
    <row r="2" spans="1:11" s="60" customFormat="1" ht="14.4" customHeight="1" thickBot="1" x14ac:dyDescent="0.35">
      <c r="A2" s="235" t="s">
        <v>263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15" t="s">
        <v>62</v>
      </c>
      <c r="C3" s="316"/>
      <c r="D3" s="316"/>
      <c r="E3" s="316"/>
      <c r="F3" s="322" t="s">
        <v>63</v>
      </c>
      <c r="G3" s="316"/>
      <c r="H3" s="316"/>
      <c r="I3" s="316"/>
      <c r="J3" s="316"/>
      <c r="K3" s="323"/>
    </row>
    <row r="4" spans="1:11" ht="14.4" customHeight="1" x14ac:dyDescent="0.3">
      <c r="A4" s="77"/>
      <c r="B4" s="320"/>
      <c r="C4" s="321"/>
      <c r="D4" s="321"/>
      <c r="E4" s="321"/>
      <c r="F4" s="324" t="s">
        <v>180</v>
      </c>
      <c r="G4" s="326" t="s">
        <v>64</v>
      </c>
      <c r="H4" s="141" t="s">
        <v>142</v>
      </c>
      <c r="I4" s="324" t="s">
        <v>65</v>
      </c>
      <c r="J4" s="326" t="s">
        <v>182</v>
      </c>
      <c r="K4" s="327" t="s">
        <v>183</v>
      </c>
    </row>
    <row r="5" spans="1:11" ht="42" thickBot="1" x14ac:dyDescent="0.35">
      <c r="A5" s="78"/>
      <c r="B5" s="24" t="s">
        <v>176</v>
      </c>
      <c r="C5" s="25" t="s">
        <v>177</v>
      </c>
      <c r="D5" s="26" t="s">
        <v>178</v>
      </c>
      <c r="E5" s="26" t="s">
        <v>179</v>
      </c>
      <c r="F5" s="325"/>
      <c r="G5" s="325"/>
      <c r="H5" s="25" t="s">
        <v>181</v>
      </c>
      <c r="I5" s="325"/>
      <c r="J5" s="325"/>
      <c r="K5" s="328"/>
    </row>
    <row r="6" spans="1:11" ht="14.4" customHeight="1" thickBot="1" x14ac:dyDescent="0.35">
      <c r="A6" s="405" t="s">
        <v>266</v>
      </c>
      <c r="B6" s="387">
        <v>20218.195616092202</v>
      </c>
      <c r="C6" s="387">
        <v>23207.29825</v>
      </c>
      <c r="D6" s="388">
        <v>2989.1026339078298</v>
      </c>
      <c r="E6" s="389">
        <v>1.147842205638</v>
      </c>
      <c r="F6" s="387">
        <v>23923.550581059299</v>
      </c>
      <c r="G6" s="388">
        <v>7974.5168603531101</v>
      </c>
      <c r="H6" s="390">
        <v>1561.3021900000001</v>
      </c>
      <c r="I6" s="387">
        <v>6985.8461500000103</v>
      </c>
      <c r="J6" s="388">
        <v>-988.67071035309698</v>
      </c>
      <c r="K6" s="391">
        <v>0.29200708006600001</v>
      </c>
    </row>
    <row r="7" spans="1:11" ht="14.4" customHeight="1" thickBot="1" x14ac:dyDescent="0.35">
      <c r="A7" s="406" t="s">
        <v>267</v>
      </c>
      <c r="B7" s="387">
        <v>2729.5379946778899</v>
      </c>
      <c r="C7" s="387">
        <v>2908.36589</v>
      </c>
      <c r="D7" s="388">
        <v>178.82789532211299</v>
      </c>
      <c r="E7" s="389">
        <v>1.06551581098</v>
      </c>
      <c r="F7" s="387">
        <v>3915.0066137502099</v>
      </c>
      <c r="G7" s="388">
        <v>1305.0022045834</v>
      </c>
      <c r="H7" s="390">
        <v>133.54594</v>
      </c>
      <c r="I7" s="387">
        <v>808.81090000000097</v>
      </c>
      <c r="J7" s="388">
        <v>-496.19130458340197</v>
      </c>
      <c r="K7" s="391">
        <v>0.206592473473</v>
      </c>
    </row>
    <row r="8" spans="1:11" ht="14.4" customHeight="1" thickBot="1" x14ac:dyDescent="0.35">
      <c r="A8" s="407" t="s">
        <v>268</v>
      </c>
      <c r="B8" s="387">
        <v>2469.9816061598499</v>
      </c>
      <c r="C8" s="387">
        <v>2654.9018900000001</v>
      </c>
      <c r="D8" s="388">
        <v>184.92028384014901</v>
      </c>
      <c r="E8" s="389">
        <v>1.074867069203</v>
      </c>
      <c r="F8" s="387">
        <v>3659.0216081510198</v>
      </c>
      <c r="G8" s="388">
        <v>1219.6738693836701</v>
      </c>
      <c r="H8" s="390">
        <v>114.29494</v>
      </c>
      <c r="I8" s="387">
        <v>718.86790000000099</v>
      </c>
      <c r="J8" s="388">
        <v>-500.80596938367199</v>
      </c>
      <c r="K8" s="391">
        <v>0.19646451346400001</v>
      </c>
    </row>
    <row r="9" spans="1:11" ht="14.4" customHeight="1" thickBot="1" x14ac:dyDescent="0.35">
      <c r="A9" s="408" t="s">
        <v>269</v>
      </c>
      <c r="B9" s="392">
        <v>4.9406564584124654E-324</v>
      </c>
      <c r="C9" s="392">
        <v>2.8600000000000001E-3</v>
      </c>
      <c r="D9" s="393">
        <v>2.8600000000000001E-3</v>
      </c>
      <c r="E9" s="394" t="s">
        <v>270</v>
      </c>
      <c r="F9" s="392">
        <v>0</v>
      </c>
      <c r="G9" s="393">
        <v>0</v>
      </c>
      <c r="H9" s="395">
        <v>-8.4999999999999995E-4</v>
      </c>
      <c r="I9" s="392">
        <v>-7.8999999900000002E-4</v>
      </c>
      <c r="J9" s="393">
        <v>-7.8999999900000002E-4</v>
      </c>
      <c r="K9" s="396" t="s">
        <v>264</v>
      </c>
    </row>
    <row r="10" spans="1:11" ht="14.4" customHeight="1" thickBot="1" x14ac:dyDescent="0.35">
      <c r="A10" s="409" t="s">
        <v>271</v>
      </c>
      <c r="B10" s="387">
        <v>4.9406564584124654E-324</v>
      </c>
      <c r="C10" s="387">
        <v>2.8600000000000001E-3</v>
      </c>
      <c r="D10" s="388">
        <v>2.8600000000000001E-3</v>
      </c>
      <c r="E10" s="397" t="s">
        <v>270</v>
      </c>
      <c r="F10" s="387">
        <v>0</v>
      </c>
      <c r="G10" s="388">
        <v>0</v>
      </c>
      <c r="H10" s="390">
        <v>-8.4999999999999995E-4</v>
      </c>
      <c r="I10" s="387">
        <v>-7.8999999900000002E-4</v>
      </c>
      <c r="J10" s="388">
        <v>-7.8999999900000002E-4</v>
      </c>
      <c r="K10" s="398" t="s">
        <v>264</v>
      </c>
    </row>
    <row r="11" spans="1:11" ht="14.4" customHeight="1" thickBot="1" x14ac:dyDescent="0.35">
      <c r="A11" s="408" t="s">
        <v>272</v>
      </c>
      <c r="B11" s="392">
        <v>88.444601140076998</v>
      </c>
      <c r="C11" s="392">
        <v>94.999160000000003</v>
      </c>
      <c r="D11" s="393">
        <v>6.5545588599220004</v>
      </c>
      <c r="E11" s="399">
        <v>1.0741092025450001</v>
      </c>
      <c r="F11" s="392">
        <v>93.808699516833002</v>
      </c>
      <c r="G11" s="393">
        <v>31.269566505610999</v>
      </c>
      <c r="H11" s="395">
        <v>9.3713099999999994</v>
      </c>
      <c r="I11" s="392">
        <v>27.401230000000002</v>
      </c>
      <c r="J11" s="393">
        <v>-3.8683365056099999</v>
      </c>
      <c r="K11" s="400">
        <v>0.29209689656799998</v>
      </c>
    </row>
    <row r="12" spans="1:11" ht="14.4" customHeight="1" thickBot="1" x14ac:dyDescent="0.35">
      <c r="A12" s="409" t="s">
        <v>273</v>
      </c>
      <c r="B12" s="387">
        <v>85.999838105546999</v>
      </c>
      <c r="C12" s="387">
        <v>88.754490000000004</v>
      </c>
      <c r="D12" s="388">
        <v>2.754651894452</v>
      </c>
      <c r="E12" s="389">
        <v>1.0320308962789999</v>
      </c>
      <c r="F12" s="387">
        <v>87.821719923201996</v>
      </c>
      <c r="G12" s="388">
        <v>29.273906641067001</v>
      </c>
      <c r="H12" s="390">
        <v>9.3713099999999994</v>
      </c>
      <c r="I12" s="387">
        <v>26.515509999999999</v>
      </c>
      <c r="J12" s="388">
        <v>-2.7583966410670002</v>
      </c>
      <c r="K12" s="391">
        <v>0.30192428505300001</v>
      </c>
    </row>
    <row r="13" spans="1:11" ht="14.4" customHeight="1" thickBot="1" x14ac:dyDescent="0.35">
      <c r="A13" s="409" t="s">
        <v>274</v>
      </c>
      <c r="B13" s="387">
        <v>0.39764808784900002</v>
      </c>
      <c r="C13" s="387">
        <v>0.22677</v>
      </c>
      <c r="D13" s="388">
        <v>-0.17087808784899999</v>
      </c>
      <c r="E13" s="389">
        <v>0.57027811003999995</v>
      </c>
      <c r="F13" s="387">
        <v>0.22952717267</v>
      </c>
      <c r="G13" s="388">
        <v>7.6509057556000001E-2</v>
      </c>
      <c r="H13" s="390">
        <v>4.9406564584124654E-324</v>
      </c>
      <c r="I13" s="387">
        <v>1.9762625833649862E-323</v>
      </c>
      <c r="J13" s="388">
        <v>-7.6509057556000001E-2</v>
      </c>
      <c r="K13" s="391">
        <v>8.3991159793011913E-323</v>
      </c>
    </row>
    <row r="14" spans="1:11" ht="14.4" customHeight="1" thickBot="1" x14ac:dyDescent="0.35">
      <c r="A14" s="409" t="s">
        <v>275</v>
      </c>
      <c r="B14" s="387">
        <v>2.0471149466790002</v>
      </c>
      <c r="C14" s="387">
        <v>6.0179</v>
      </c>
      <c r="D14" s="388">
        <v>3.9707850533200002</v>
      </c>
      <c r="E14" s="389">
        <v>2.9396981394520001</v>
      </c>
      <c r="F14" s="387">
        <v>5.7574524209589999</v>
      </c>
      <c r="G14" s="388">
        <v>1.9191508069859999</v>
      </c>
      <c r="H14" s="390">
        <v>4.9406564584124654E-324</v>
      </c>
      <c r="I14" s="387">
        <v>0.88571999999999995</v>
      </c>
      <c r="J14" s="388">
        <v>-1.0334308069860001</v>
      </c>
      <c r="K14" s="391">
        <v>0.15383887442499999</v>
      </c>
    </row>
    <row r="15" spans="1:11" ht="14.4" customHeight="1" thickBot="1" x14ac:dyDescent="0.35">
      <c r="A15" s="408" t="s">
        <v>276</v>
      </c>
      <c r="B15" s="392">
        <v>2223.07814333942</v>
      </c>
      <c r="C15" s="392">
        <v>2401.4325800000001</v>
      </c>
      <c r="D15" s="393">
        <v>178.354436660587</v>
      </c>
      <c r="E15" s="399">
        <v>1.0802285952899999</v>
      </c>
      <c r="F15" s="392">
        <v>3403.0763482306302</v>
      </c>
      <c r="G15" s="393">
        <v>1134.3587827435399</v>
      </c>
      <c r="H15" s="395">
        <v>92.89434</v>
      </c>
      <c r="I15" s="392">
        <v>625.10770000000105</v>
      </c>
      <c r="J15" s="393">
        <v>-509.25108274354102</v>
      </c>
      <c r="K15" s="400">
        <v>0.18368900254699999</v>
      </c>
    </row>
    <row r="16" spans="1:11" ht="14.4" customHeight="1" thickBot="1" x14ac:dyDescent="0.35">
      <c r="A16" s="409" t="s">
        <v>277</v>
      </c>
      <c r="B16" s="387">
        <v>1881.58167284659</v>
      </c>
      <c r="C16" s="387">
        <v>2117.59485</v>
      </c>
      <c r="D16" s="388">
        <v>236.01317715341</v>
      </c>
      <c r="E16" s="389">
        <v>1.1254333949769999</v>
      </c>
      <c r="F16" s="387">
        <v>2917.5926071455501</v>
      </c>
      <c r="G16" s="388">
        <v>972.53086904851705</v>
      </c>
      <c r="H16" s="390">
        <v>50.09807</v>
      </c>
      <c r="I16" s="387">
        <v>503.49037000000101</v>
      </c>
      <c r="J16" s="388">
        <v>-469.04049904851598</v>
      </c>
      <c r="K16" s="391">
        <v>0.172570484572</v>
      </c>
    </row>
    <row r="17" spans="1:11" ht="14.4" customHeight="1" thickBot="1" x14ac:dyDescent="0.35">
      <c r="A17" s="409" t="s">
        <v>278</v>
      </c>
      <c r="B17" s="387">
        <v>101.80173990303101</v>
      </c>
      <c r="C17" s="387">
        <v>94.560779999999994</v>
      </c>
      <c r="D17" s="388">
        <v>-7.2409599030310003</v>
      </c>
      <c r="E17" s="389">
        <v>0.92887194354500002</v>
      </c>
      <c r="F17" s="387">
        <v>102.566757964405</v>
      </c>
      <c r="G17" s="388">
        <v>34.188919321467999</v>
      </c>
      <c r="H17" s="390">
        <v>11.167009999999999</v>
      </c>
      <c r="I17" s="387">
        <v>48.938639999999999</v>
      </c>
      <c r="J17" s="388">
        <v>14.749720678531</v>
      </c>
      <c r="K17" s="391">
        <v>0.477139386788</v>
      </c>
    </row>
    <row r="18" spans="1:11" ht="14.4" customHeight="1" thickBot="1" x14ac:dyDescent="0.35">
      <c r="A18" s="409" t="s">
        <v>279</v>
      </c>
      <c r="B18" s="387">
        <v>47.244154737792002</v>
      </c>
      <c r="C18" s="387">
        <v>23.70346</v>
      </c>
      <c r="D18" s="388">
        <v>-23.540694737791998</v>
      </c>
      <c r="E18" s="389">
        <v>0.50172259682800002</v>
      </c>
      <c r="F18" s="387">
        <v>29.757362349459999</v>
      </c>
      <c r="G18" s="388">
        <v>9.9191207831529997</v>
      </c>
      <c r="H18" s="390">
        <v>1.0120199999999999</v>
      </c>
      <c r="I18" s="387">
        <v>4.7647899999999996</v>
      </c>
      <c r="J18" s="388">
        <v>-5.1543307831530001</v>
      </c>
      <c r="K18" s="391">
        <v>0.160121382535</v>
      </c>
    </row>
    <row r="19" spans="1:11" ht="14.4" customHeight="1" thickBot="1" x14ac:dyDescent="0.35">
      <c r="A19" s="409" t="s">
        <v>280</v>
      </c>
      <c r="B19" s="387">
        <v>159.42202992537099</v>
      </c>
      <c r="C19" s="387">
        <v>135.62766999999999</v>
      </c>
      <c r="D19" s="388">
        <v>-23.794359925369999</v>
      </c>
      <c r="E19" s="389">
        <v>0.85074609866299999</v>
      </c>
      <c r="F19" s="387">
        <v>305.62664827062201</v>
      </c>
      <c r="G19" s="388">
        <v>101.875549423541</v>
      </c>
      <c r="H19" s="390">
        <v>29.217040000000001</v>
      </c>
      <c r="I19" s="387">
        <v>62.553759999999997</v>
      </c>
      <c r="J19" s="388">
        <v>-39.321789423539997</v>
      </c>
      <c r="K19" s="391">
        <v>0.20467377551599999</v>
      </c>
    </row>
    <row r="20" spans="1:11" ht="14.4" customHeight="1" thickBot="1" x14ac:dyDescent="0.35">
      <c r="A20" s="409" t="s">
        <v>281</v>
      </c>
      <c r="B20" s="387">
        <v>21.802429111466999</v>
      </c>
      <c r="C20" s="387">
        <v>14.00778</v>
      </c>
      <c r="D20" s="388">
        <v>-7.7946491114669998</v>
      </c>
      <c r="E20" s="389">
        <v>0.64248712509799999</v>
      </c>
      <c r="F20" s="387">
        <v>16.369401562176002</v>
      </c>
      <c r="G20" s="388">
        <v>5.4564671873919997</v>
      </c>
      <c r="H20" s="390">
        <v>0.06</v>
      </c>
      <c r="I20" s="387">
        <v>1.4315</v>
      </c>
      <c r="J20" s="388">
        <v>-4.0249671873919999</v>
      </c>
      <c r="K20" s="391">
        <v>8.7449745462999995E-2</v>
      </c>
    </row>
    <row r="21" spans="1:11" ht="14.4" customHeight="1" thickBot="1" x14ac:dyDescent="0.35">
      <c r="A21" s="409" t="s">
        <v>282</v>
      </c>
      <c r="B21" s="387">
        <v>11.226116815159999</v>
      </c>
      <c r="C21" s="387">
        <v>15.938040000000001</v>
      </c>
      <c r="D21" s="388">
        <v>4.7119231848389997</v>
      </c>
      <c r="E21" s="389">
        <v>1.4197286793299999</v>
      </c>
      <c r="F21" s="387">
        <v>31.163570938414001</v>
      </c>
      <c r="G21" s="388">
        <v>10.387856979471</v>
      </c>
      <c r="H21" s="390">
        <v>1.3402000000000001</v>
      </c>
      <c r="I21" s="387">
        <v>3.9286400000000001</v>
      </c>
      <c r="J21" s="388">
        <v>-6.4592169794709999</v>
      </c>
      <c r="K21" s="391">
        <v>0.12606514214100001</v>
      </c>
    </row>
    <row r="22" spans="1:11" ht="14.4" customHeight="1" thickBot="1" x14ac:dyDescent="0.35">
      <c r="A22" s="408" t="s">
        <v>283</v>
      </c>
      <c r="B22" s="392">
        <v>121.43684975246001</v>
      </c>
      <c r="C22" s="392">
        <v>124.56731000000001</v>
      </c>
      <c r="D22" s="393">
        <v>3.1304602475399999</v>
      </c>
      <c r="E22" s="399">
        <v>1.0257785034269999</v>
      </c>
      <c r="F22" s="392">
        <v>129.733234849436</v>
      </c>
      <c r="G22" s="393">
        <v>43.244411616477997</v>
      </c>
      <c r="H22" s="395">
        <v>10.86782</v>
      </c>
      <c r="I22" s="392">
        <v>50.511859999999999</v>
      </c>
      <c r="J22" s="393">
        <v>7.2674483835209998</v>
      </c>
      <c r="K22" s="400">
        <v>0.38935173441499998</v>
      </c>
    </row>
    <row r="23" spans="1:11" ht="14.4" customHeight="1" thickBot="1" x14ac:dyDescent="0.35">
      <c r="A23" s="409" t="s">
        <v>284</v>
      </c>
      <c r="B23" s="387">
        <v>42.001901266691</v>
      </c>
      <c r="C23" s="387">
        <v>2.0089999999999999</v>
      </c>
      <c r="D23" s="388">
        <v>-39.992901266691</v>
      </c>
      <c r="E23" s="389">
        <v>4.7831168099000003E-2</v>
      </c>
      <c r="F23" s="387">
        <v>2.318597316405</v>
      </c>
      <c r="G23" s="388">
        <v>0.77286577213499996</v>
      </c>
      <c r="H23" s="390">
        <v>4.9406564584124654E-324</v>
      </c>
      <c r="I23" s="387">
        <v>1.9762625833649862E-323</v>
      </c>
      <c r="J23" s="388">
        <v>-0.77286577213499996</v>
      </c>
      <c r="K23" s="391">
        <v>9.8813129168249309E-324</v>
      </c>
    </row>
    <row r="24" spans="1:11" ht="14.4" customHeight="1" thickBot="1" x14ac:dyDescent="0.35">
      <c r="A24" s="409" t="s">
        <v>285</v>
      </c>
      <c r="B24" s="387">
        <v>2.2382350860289999</v>
      </c>
      <c r="C24" s="387">
        <v>3.22601</v>
      </c>
      <c r="D24" s="388">
        <v>0.98777491396999995</v>
      </c>
      <c r="E24" s="389">
        <v>1.4413186622509999</v>
      </c>
      <c r="F24" s="387">
        <v>3.247166154326</v>
      </c>
      <c r="G24" s="388">
        <v>1.0823887181080001</v>
      </c>
      <c r="H24" s="390">
        <v>0.17122999999999999</v>
      </c>
      <c r="I24" s="387">
        <v>0.88251999999999997</v>
      </c>
      <c r="J24" s="388">
        <v>-0.199868718108</v>
      </c>
      <c r="K24" s="391">
        <v>0.27178159603000002</v>
      </c>
    </row>
    <row r="25" spans="1:11" ht="14.4" customHeight="1" thickBot="1" x14ac:dyDescent="0.35">
      <c r="A25" s="409" t="s">
        <v>286</v>
      </c>
      <c r="B25" s="387">
        <v>8.0559604235559998</v>
      </c>
      <c r="C25" s="387">
        <v>7.29026</v>
      </c>
      <c r="D25" s="388">
        <v>-0.76570042355599999</v>
      </c>
      <c r="E25" s="389">
        <v>0.90495231067399995</v>
      </c>
      <c r="F25" s="387">
        <v>7.4991124676799998</v>
      </c>
      <c r="G25" s="388">
        <v>2.4997041558930002</v>
      </c>
      <c r="H25" s="390">
        <v>1.04478</v>
      </c>
      <c r="I25" s="387">
        <v>3.45241</v>
      </c>
      <c r="J25" s="388">
        <v>0.95270584410600001</v>
      </c>
      <c r="K25" s="391">
        <v>0.46037581312100001</v>
      </c>
    </row>
    <row r="26" spans="1:11" ht="14.4" customHeight="1" thickBot="1" x14ac:dyDescent="0.35">
      <c r="A26" s="409" t="s">
        <v>287</v>
      </c>
      <c r="B26" s="387">
        <v>40.663497180324001</v>
      </c>
      <c r="C26" s="387">
        <v>35.465949999999999</v>
      </c>
      <c r="D26" s="388">
        <v>-5.1975471803240003</v>
      </c>
      <c r="E26" s="389">
        <v>0.87218150083599999</v>
      </c>
      <c r="F26" s="387">
        <v>38.923525075736002</v>
      </c>
      <c r="G26" s="388">
        <v>12.974508358579</v>
      </c>
      <c r="H26" s="390">
        <v>3.3121499999999999</v>
      </c>
      <c r="I26" s="387">
        <v>10.110709999999999</v>
      </c>
      <c r="J26" s="388">
        <v>-2.8637983585779998</v>
      </c>
      <c r="K26" s="391">
        <v>0.259758333304</v>
      </c>
    </row>
    <row r="27" spans="1:11" ht="14.4" customHeight="1" thickBot="1" x14ac:dyDescent="0.35">
      <c r="A27" s="409" t="s">
        <v>288</v>
      </c>
      <c r="B27" s="387">
        <v>5.611225015024</v>
      </c>
      <c r="C27" s="387">
        <v>1.34114</v>
      </c>
      <c r="D27" s="388">
        <v>-4.2700850150239997</v>
      </c>
      <c r="E27" s="389">
        <v>0.23901019766699999</v>
      </c>
      <c r="F27" s="387">
        <v>2.9997569216720001</v>
      </c>
      <c r="G27" s="388">
        <v>0.99991897388999995</v>
      </c>
      <c r="H27" s="390">
        <v>4.9406564584124654E-324</v>
      </c>
      <c r="I27" s="387">
        <v>0.58140000000000003</v>
      </c>
      <c r="J27" s="388">
        <v>-0.41851897388999998</v>
      </c>
      <c r="K27" s="391">
        <v>0.193815704132</v>
      </c>
    </row>
    <row r="28" spans="1:11" ht="14.4" customHeight="1" thickBot="1" x14ac:dyDescent="0.35">
      <c r="A28" s="409" t="s">
        <v>289</v>
      </c>
      <c r="B28" s="387">
        <v>4.9406564584124654E-324</v>
      </c>
      <c r="C28" s="387">
        <v>1.95E-2</v>
      </c>
      <c r="D28" s="388">
        <v>1.95E-2</v>
      </c>
      <c r="E28" s="397" t="s">
        <v>270</v>
      </c>
      <c r="F28" s="387">
        <v>3.3862470025999999E-2</v>
      </c>
      <c r="G28" s="388">
        <v>1.1287490008000001E-2</v>
      </c>
      <c r="H28" s="390">
        <v>4.9406564584124654E-324</v>
      </c>
      <c r="I28" s="387">
        <v>1.9762625833649862E-323</v>
      </c>
      <c r="J28" s="388">
        <v>-1.1287490008000001E-2</v>
      </c>
      <c r="K28" s="391">
        <v>5.8299746209267092E-322</v>
      </c>
    </row>
    <row r="29" spans="1:11" ht="14.4" customHeight="1" thickBot="1" x14ac:dyDescent="0.35">
      <c r="A29" s="409" t="s">
        <v>290</v>
      </c>
      <c r="B29" s="387">
        <v>3.9539959664E-2</v>
      </c>
      <c r="C29" s="387">
        <v>0.13339000000000001</v>
      </c>
      <c r="D29" s="388">
        <v>9.3850040334999996E-2</v>
      </c>
      <c r="E29" s="389">
        <v>3.3735492178580002</v>
      </c>
      <c r="F29" s="387">
        <v>7.4461075476000005E-2</v>
      </c>
      <c r="G29" s="388">
        <v>2.4820358492E-2</v>
      </c>
      <c r="H29" s="390">
        <v>4.9406564584124654E-324</v>
      </c>
      <c r="I29" s="387">
        <v>1.9762625833649862E-323</v>
      </c>
      <c r="J29" s="388">
        <v>-2.4820358492E-2</v>
      </c>
      <c r="K29" s="391">
        <v>2.6679544875427313E-322</v>
      </c>
    </row>
    <row r="30" spans="1:11" ht="14.4" customHeight="1" thickBot="1" x14ac:dyDescent="0.35">
      <c r="A30" s="409" t="s">
        <v>291</v>
      </c>
      <c r="B30" s="387">
        <v>1.3603005507629999</v>
      </c>
      <c r="C30" s="387">
        <v>0.87119999999999997</v>
      </c>
      <c r="D30" s="388">
        <v>-0.48910055076300002</v>
      </c>
      <c r="E30" s="389">
        <v>0.64044670092199996</v>
      </c>
      <c r="F30" s="387">
        <v>0.89250420355500004</v>
      </c>
      <c r="G30" s="388">
        <v>0.29750140118500001</v>
      </c>
      <c r="H30" s="390">
        <v>4.9406564584124654E-324</v>
      </c>
      <c r="I30" s="387">
        <v>1.9762625833649862E-323</v>
      </c>
      <c r="J30" s="388">
        <v>-0.29750140118500001</v>
      </c>
      <c r="K30" s="391">
        <v>1.9762625833649862E-323</v>
      </c>
    </row>
    <row r="31" spans="1:11" ht="14.4" customHeight="1" thickBot="1" x14ac:dyDescent="0.35">
      <c r="A31" s="409" t="s">
        <v>292</v>
      </c>
      <c r="B31" s="387">
        <v>21.466190270405001</v>
      </c>
      <c r="C31" s="387">
        <v>38.219630000000002</v>
      </c>
      <c r="D31" s="388">
        <v>16.753439729594</v>
      </c>
      <c r="E31" s="389">
        <v>1.78045705915</v>
      </c>
      <c r="F31" s="387">
        <v>42.733019277259999</v>
      </c>
      <c r="G31" s="388">
        <v>14.244339759087</v>
      </c>
      <c r="H31" s="390">
        <v>3.6004700000000001</v>
      </c>
      <c r="I31" s="387">
        <v>20.601420000000001</v>
      </c>
      <c r="J31" s="388">
        <v>6.3570802409129996</v>
      </c>
      <c r="K31" s="391">
        <v>0.48209605472299999</v>
      </c>
    </row>
    <row r="32" spans="1:11" ht="14.4" customHeight="1" thickBot="1" x14ac:dyDescent="0.35">
      <c r="A32" s="409" t="s">
        <v>293</v>
      </c>
      <c r="B32" s="387">
        <v>4.9406564584124654E-324</v>
      </c>
      <c r="C32" s="387">
        <v>33.334069999999997</v>
      </c>
      <c r="D32" s="388">
        <v>33.334069999999997</v>
      </c>
      <c r="E32" s="397" t="s">
        <v>270</v>
      </c>
      <c r="F32" s="387">
        <v>28.124744832874999</v>
      </c>
      <c r="G32" s="388">
        <v>9.3749149442909996</v>
      </c>
      <c r="H32" s="390">
        <v>1.85347</v>
      </c>
      <c r="I32" s="387">
        <v>10.454800000000001</v>
      </c>
      <c r="J32" s="388">
        <v>1.079885055708</v>
      </c>
      <c r="K32" s="391">
        <v>0.37172959477900003</v>
      </c>
    </row>
    <row r="33" spans="1:11" ht="14.4" customHeight="1" thickBot="1" x14ac:dyDescent="0.35">
      <c r="A33" s="409" t="s">
        <v>294</v>
      </c>
      <c r="B33" s="387">
        <v>0</v>
      </c>
      <c r="C33" s="387">
        <v>2.6571600000000002</v>
      </c>
      <c r="D33" s="388">
        <v>2.6571600000000002</v>
      </c>
      <c r="E33" s="397" t="s">
        <v>264</v>
      </c>
      <c r="F33" s="387">
        <v>2.8864850544179999</v>
      </c>
      <c r="G33" s="388">
        <v>0.96216168480599995</v>
      </c>
      <c r="H33" s="390">
        <v>0.88571999999999995</v>
      </c>
      <c r="I33" s="387">
        <v>4.4286000000000003</v>
      </c>
      <c r="J33" s="388">
        <v>3.4664383151929998</v>
      </c>
      <c r="K33" s="391">
        <v>1.534253570175</v>
      </c>
    </row>
    <row r="34" spans="1:11" ht="14.4" customHeight="1" thickBot="1" x14ac:dyDescent="0.35">
      <c r="A34" s="408" t="s">
        <v>295</v>
      </c>
      <c r="B34" s="392">
        <v>14.499916119238</v>
      </c>
      <c r="C34" s="392">
        <v>10.94514</v>
      </c>
      <c r="D34" s="393">
        <v>-3.5547761192379999</v>
      </c>
      <c r="E34" s="399">
        <v>0.75484160804699996</v>
      </c>
      <c r="F34" s="392">
        <v>10.535080868799</v>
      </c>
      <c r="G34" s="393">
        <v>3.511693622933</v>
      </c>
      <c r="H34" s="395">
        <v>4.9406564584124654E-324</v>
      </c>
      <c r="I34" s="392">
        <v>11.244999999999999</v>
      </c>
      <c r="J34" s="393">
        <v>7.7333063770660004</v>
      </c>
      <c r="K34" s="400">
        <v>1.0673862061470001</v>
      </c>
    </row>
    <row r="35" spans="1:11" ht="14.4" customHeight="1" thickBot="1" x14ac:dyDescent="0.35">
      <c r="A35" s="409" t="s">
        <v>296</v>
      </c>
      <c r="B35" s="387">
        <v>11.866344165272</v>
      </c>
      <c r="C35" s="387">
        <v>10.536</v>
      </c>
      <c r="D35" s="388">
        <v>-1.3303441652720001</v>
      </c>
      <c r="E35" s="389">
        <v>0.88788929878099998</v>
      </c>
      <c r="F35" s="387">
        <v>8.5347078727689993</v>
      </c>
      <c r="G35" s="388">
        <v>2.844902624256</v>
      </c>
      <c r="H35" s="390">
        <v>4.9406564584124654E-324</v>
      </c>
      <c r="I35" s="387">
        <v>1.9762625833649862E-323</v>
      </c>
      <c r="J35" s="388">
        <v>-2.844902624256</v>
      </c>
      <c r="K35" s="391">
        <v>0</v>
      </c>
    </row>
    <row r="36" spans="1:11" ht="14.4" customHeight="1" thickBot="1" x14ac:dyDescent="0.35">
      <c r="A36" s="409" t="s">
        <v>297</v>
      </c>
      <c r="B36" s="387">
        <v>4.9406564584124654E-324</v>
      </c>
      <c r="C36" s="387">
        <v>4.9406564584124654E-324</v>
      </c>
      <c r="D36" s="388">
        <v>0</v>
      </c>
      <c r="E36" s="389">
        <v>1</v>
      </c>
      <c r="F36" s="387">
        <v>4.9406564584124654E-324</v>
      </c>
      <c r="G36" s="388">
        <v>0</v>
      </c>
      <c r="H36" s="390">
        <v>4.9406564584124654E-324</v>
      </c>
      <c r="I36" s="387">
        <v>11</v>
      </c>
      <c r="J36" s="388">
        <v>11</v>
      </c>
      <c r="K36" s="398" t="s">
        <v>270</v>
      </c>
    </row>
    <row r="37" spans="1:11" ht="14.4" customHeight="1" thickBot="1" x14ac:dyDescent="0.35">
      <c r="A37" s="409" t="s">
        <v>298</v>
      </c>
      <c r="B37" s="387">
        <v>2.398164938206</v>
      </c>
      <c r="C37" s="387">
        <v>0.40914</v>
      </c>
      <c r="D37" s="388">
        <v>-1.9890249382059999</v>
      </c>
      <c r="E37" s="389">
        <v>0.17060544647299999</v>
      </c>
      <c r="F37" s="387">
        <v>2.0003729960299999</v>
      </c>
      <c r="G37" s="388">
        <v>0.666790998676</v>
      </c>
      <c r="H37" s="390">
        <v>4.9406564584124654E-324</v>
      </c>
      <c r="I37" s="387">
        <v>0.245</v>
      </c>
      <c r="J37" s="388">
        <v>-0.42179099867600001</v>
      </c>
      <c r="K37" s="391">
        <v>0.122477158253</v>
      </c>
    </row>
    <row r="38" spans="1:11" ht="14.4" customHeight="1" thickBot="1" x14ac:dyDescent="0.35">
      <c r="A38" s="408" t="s">
        <v>299</v>
      </c>
      <c r="B38" s="392">
        <v>22.522095808663</v>
      </c>
      <c r="C38" s="392">
        <v>22.954840000000001</v>
      </c>
      <c r="D38" s="393">
        <v>0.43274419133600001</v>
      </c>
      <c r="E38" s="399">
        <v>1.0192142061289999</v>
      </c>
      <c r="F38" s="392">
        <v>21.868244685320999</v>
      </c>
      <c r="G38" s="393">
        <v>7.2894148951069999</v>
      </c>
      <c r="H38" s="395">
        <v>1.16232</v>
      </c>
      <c r="I38" s="392">
        <v>4.6029</v>
      </c>
      <c r="J38" s="393">
        <v>-2.6865148951069999</v>
      </c>
      <c r="K38" s="400">
        <v>0.21048328597999999</v>
      </c>
    </row>
    <row r="39" spans="1:11" ht="14.4" customHeight="1" thickBot="1" x14ac:dyDescent="0.35">
      <c r="A39" s="409" t="s">
        <v>300</v>
      </c>
      <c r="B39" s="387">
        <v>7.7591193320120002</v>
      </c>
      <c r="C39" s="387">
        <v>9.9156999999999993</v>
      </c>
      <c r="D39" s="388">
        <v>2.1565806679869999</v>
      </c>
      <c r="E39" s="389">
        <v>1.277941422951</v>
      </c>
      <c r="F39" s="387">
        <v>8.8698950268579999</v>
      </c>
      <c r="G39" s="388">
        <v>2.9566316756190001</v>
      </c>
      <c r="H39" s="390">
        <v>0.46826000000000001</v>
      </c>
      <c r="I39" s="387">
        <v>1.3225</v>
      </c>
      <c r="J39" s="388">
        <v>-1.6341316756190001</v>
      </c>
      <c r="K39" s="391">
        <v>0.14909984796799999</v>
      </c>
    </row>
    <row r="40" spans="1:11" ht="14.4" customHeight="1" thickBot="1" x14ac:dyDescent="0.35">
      <c r="A40" s="409" t="s">
        <v>301</v>
      </c>
      <c r="B40" s="387">
        <v>14.762976476651</v>
      </c>
      <c r="C40" s="387">
        <v>13.03914</v>
      </c>
      <c r="D40" s="388">
        <v>-1.7238364766509999</v>
      </c>
      <c r="E40" s="389">
        <v>0.88323245794100003</v>
      </c>
      <c r="F40" s="387">
        <v>0</v>
      </c>
      <c r="G40" s="388">
        <v>0</v>
      </c>
      <c r="H40" s="390">
        <v>4.9406564584124654E-324</v>
      </c>
      <c r="I40" s="387">
        <v>1.9762625833649862E-323</v>
      </c>
      <c r="J40" s="388">
        <v>1.9762625833649862E-323</v>
      </c>
      <c r="K40" s="398" t="s">
        <v>264</v>
      </c>
    </row>
    <row r="41" spans="1:11" ht="14.4" customHeight="1" thickBot="1" x14ac:dyDescent="0.35">
      <c r="A41" s="409" t="s">
        <v>302</v>
      </c>
      <c r="B41" s="387">
        <v>4.9406564584124654E-324</v>
      </c>
      <c r="C41" s="387">
        <v>4.9406564584124654E-324</v>
      </c>
      <c r="D41" s="388">
        <v>0</v>
      </c>
      <c r="E41" s="389">
        <v>1</v>
      </c>
      <c r="F41" s="387">
        <v>0.99998058253599997</v>
      </c>
      <c r="G41" s="388">
        <v>0.33332686084500002</v>
      </c>
      <c r="H41" s="390">
        <v>4.9406564584124654E-324</v>
      </c>
      <c r="I41" s="387">
        <v>1.9762625833649862E-323</v>
      </c>
      <c r="J41" s="388">
        <v>-0.33332686084500002</v>
      </c>
      <c r="K41" s="391">
        <v>1.9762625833649862E-323</v>
      </c>
    </row>
    <row r="42" spans="1:11" ht="14.4" customHeight="1" thickBot="1" x14ac:dyDescent="0.35">
      <c r="A42" s="409" t="s">
        <v>303</v>
      </c>
      <c r="B42" s="387">
        <v>4.9406564584124654E-324</v>
      </c>
      <c r="C42" s="387">
        <v>4.9406564584124654E-324</v>
      </c>
      <c r="D42" s="388">
        <v>0</v>
      </c>
      <c r="E42" s="389">
        <v>1</v>
      </c>
      <c r="F42" s="387">
        <v>11.998369075926</v>
      </c>
      <c r="G42" s="388">
        <v>3.999456358642</v>
      </c>
      <c r="H42" s="390">
        <v>0.69406000000000001</v>
      </c>
      <c r="I42" s="387">
        <v>3.2804000000000002</v>
      </c>
      <c r="J42" s="388">
        <v>-0.71905635864200002</v>
      </c>
      <c r="K42" s="391">
        <v>0.27340382507299998</v>
      </c>
    </row>
    <row r="43" spans="1:11" ht="14.4" customHeight="1" thickBot="1" x14ac:dyDescent="0.35">
      <c r="A43" s="407" t="s">
        <v>42</v>
      </c>
      <c r="B43" s="387">
        <v>259.55638851803701</v>
      </c>
      <c r="C43" s="387">
        <v>253.464</v>
      </c>
      <c r="D43" s="388">
        <v>-6.0923885180359996</v>
      </c>
      <c r="E43" s="389">
        <v>0.97652768805699997</v>
      </c>
      <c r="F43" s="387">
        <v>255.98500559919199</v>
      </c>
      <c r="G43" s="388">
        <v>85.328335199730006</v>
      </c>
      <c r="H43" s="390">
        <v>19.251000000000001</v>
      </c>
      <c r="I43" s="387">
        <v>89.942999999999998</v>
      </c>
      <c r="J43" s="388">
        <v>4.6146648002689998</v>
      </c>
      <c r="K43" s="391">
        <v>0.35136042358899999</v>
      </c>
    </row>
    <row r="44" spans="1:11" ht="14.4" customHeight="1" thickBot="1" x14ac:dyDescent="0.35">
      <c r="A44" s="408" t="s">
        <v>304</v>
      </c>
      <c r="B44" s="392">
        <v>259.55638851803701</v>
      </c>
      <c r="C44" s="392">
        <v>253.464</v>
      </c>
      <c r="D44" s="393">
        <v>-6.0923885180359996</v>
      </c>
      <c r="E44" s="399">
        <v>0.97652768805699997</v>
      </c>
      <c r="F44" s="392">
        <v>255.98500559919199</v>
      </c>
      <c r="G44" s="393">
        <v>85.328335199730006</v>
      </c>
      <c r="H44" s="395">
        <v>19.251000000000001</v>
      </c>
      <c r="I44" s="392">
        <v>89.942999999999998</v>
      </c>
      <c r="J44" s="393">
        <v>4.6146648002689998</v>
      </c>
      <c r="K44" s="400">
        <v>0.35136042358899999</v>
      </c>
    </row>
    <row r="45" spans="1:11" ht="14.4" customHeight="1" thickBot="1" x14ac:dyDescent="0.35">
      <c r="A45" s="409" t="s">
        <v>305</v>
      </c>
      <c r="B45" s="387">
        <v>73.544772511204002</v>
      </c>
      <c r="C45" s="387">
        <v>74.358999999999995</v>
      </c>
      <c r="D45" s="388">
        <v>0.81422748879499995</v>
      </c>
      <c r="E45" s="389">
        <v>1.0110711810090001</v>
      </c>
      <c r="F45" s="387">
        <v>73.803256557899999</v>
      </c>
      <c r="G45" s="388">
        <v>24.6010855193</v>
      </c>
      <c r="H45" s="390">
        <v>4.87</v>
      </c>
      <c r="I45" s="387">
        <v>20.081</v>
      </c>
      <c r="J45" s="388">
        <v>-4.5200855193000002</v>
      </c>
      <c r="K45" s="391">
        <v>0.27208826461800001</v>
      </c>
    </row>
    <row r="46" spans="1:11" ht="14.4" customHeight="1" thickBot="1" x14ac:dyDescent="0.35">
      <c r="A46" s="409" t="s">
        <v>306</v>
      </c>
      <c r="B46" s="387">
        <v>78.003352435707995</v>
      </c>
      <c r="C46" s="387">
        <v>76.366</v>
      </c>
      <c r="D46" s="388">
        <v>-1.637352435708</v>
      </c>
      <c r="E46" s="389">
        <v>0.97900920428899996</v>
      </c>
      <c r="F46" s="387">
        <v>78.006303281255001</v>
      </c>
      <c r="G46" s="388">
        <v>26.002101093751001</v>
      </c>
      <c r="H46" s="390">
        <v>7.0140000000000002</v>
      </c>
      <c r="I46" s="387">
        <v>25.54</v>
      </c>
      <c r="J46" s="388">
        <v>-0.462101093751</v>
      </c>
      <c r="K46" s="391">
        <v>0.327409439054</v>
      </c>
    </row>
    <row r="47" spans="1:11" ht="14.4" customHeight="1" thickBot="1" x14ac:dyDescent="0.35">
      <c r="A47" s="409" t="s">
        <v>307</v>
      </c>
      <c r="B47" s="387">
        <v>108.008263571123</v>
      </c>
      <c r="C47" s="387">
        <v>102.739</v>
      </c>
      <c r="D47" s="388">
        <v>-5.2692635711219999</v>
      </c>
      <c r="E47" s="389">
        <v>0.95121425530799997</v>
      </c>
      <c r="F47" s="387">
        <v>104.175445760036</v>
      </c>
      <c r="G47" s="388">
        <v>34.725148586678003</v>
      </c>
      <c r="H47" s="390">
        <v>7.367</v>
      </c>
      <c r="I47" s="387">
        <v>44.322000000000003</v>
      </c>
      <c r="J47" s="388">
        <v>9.5968514133209997</v>
      </c>
      <c r="K47" s="391">
        <v>0.42545534292300002</v>
      </c>
    </row>
    <row r="48" spans="1:11" ht="14.4" customHeight="1" thickBot="1" x14ac:dyDescent="0.35">
      <c r="A48" s="410" t="s">
        <v>308</v>
      </c>
      <c r="B48" s="392">
        <v>930.66133483214401</v>
      </c>
      <c r="C48" s="392">
        <v>2073.7488400000002</v>
      </c>
      <c r="D48" s="393">
        <v>1143.0875051678599</v>
      </c>
      <c r="E48" s="399">
        <v>2.2282529233620001</v>
      </c>
      <c r="F48" s="392">
        <v>2082.4881862134298</v>
      </c>
      <c r="G48" s="393">
        <v>694.16272873780895</v>
      </c>
      <c r="H48" s="395">
        <v>38.540370000000003</v>
      </c>
      <c r="I48" s="392">
        <v>526.66953000000001</v>
      </c>
      <c r="J48" s="393">
        <v>-167.493198737808</v>
      </c>
      <c r="K48" s="400">
        <v>0.25290397010900001</v>
      </c>
    </row>
    <row r="49" spans="1:11" ht="14.4" customHeight="1" thickBot="1" x14ac:dyDescent="0.35">
      <c r="A49" s="407" t="s">
        <v>45</v>
      </c>
      <c r="B49" s="387">
        <v>107.24972122446</v>
      </c>
      <c r="C49" s="387">
        <v>687.43282999999997</v>
      </c>
      <c r="D49" s="388">
        <v>580.18310877554097</v>
      </c>
      <c r="E49" s="389">
        <v>6.409646777181</v>
      </c>
      <c r="F49" s="387">
        <v>679.88707680600999</v>
      </c>
      <c r="G49" s="388">
        <v>226.629025602003</v>
      </c>
      <c r="H49" s="390">
        <v>19.89</v>
      </c>
      <c r="I49" s="387">
        <v>353.90904</v>
      </c>
      <c r="J49" s="388">
        <v>127.28001439799699</v>
      </c>
      <c r="K49" s="391">
        <v>0.520540913444</v>
      </c>
    </row>
    <row r="50" spans="1:11" ht="14.4" customHeight="1" thickBot="1" x14ac:dyDescent="0.35">
      <c r="A50" s="411" t="s">
        <v>309</v>
      </c>
      <c r="B50" s="387">
        <v>107.24972122446</v>
      </c>
      <c r="C50" s="387">
        <v>687.43282999999997</v>
      </c>
      <c r="D50" s="388">
        <v>580.18310877554097</v>
      </c>
      <c r="E50" s="389">
        <v>6.409646777181</v>
      </c>
      <c r="F50" s="387">
        <v>679.88707680600999</v>
      </c>
      <c r="G50" s="388">
        <v>226.629025602003</v>
      </c>
      <c r="H50" s="390">
        <v>19.89</v>
      </c>
      <c r="I50" s="387">
        <v>353.90904</v>
      </c>
      <c r="J50" s="388">
        <v>127.28001439799699</v>
      </c>
      <c r="K50" s="391">
        <v>0.520540913444</v>
      </c>
    </row>
    <row r="51" spans="1:11" ht="14.4" customHeight="1" thickBot="1" x14ac:dyDescent="0.35">
      <c r="A51" s="409" t="s">
        <v>310</v>
      </c>
      <c r="B51" s="387">
        <v>32.669930261422003</v>
      </c>
      <c r="C51" s="387">
        <v>635.48226999999997</v>
      </c>
      <c r="D51" s="388">
        <v>602.81233973857798</v>
      </c>
      <c r="E51" s="389">
        <v>19.451595547187001</v>
      </c>
      <c r="F51" s="387">
        <v>586.00353261079397</v>
      </c>
      <c r="G51" s="388">
        <v>195.33451087026501</v>
      </c>
      <c r="H51" s="390">
        <v>19.89</v>
      </c>
      <c r="I51" s="387">
        <v>344.3999</v>
      </c>
      <c r="J51" s="388">
        <v>149.065389129735</v>
      </c>
      <c r="K51" s="391">
        <v>0.58770959701400005</v>
      </c>
    </row>
    <row r="52" spans="1:11" ht="14.4" customHeight="1" thickBot="1" x14ac:dyDescent="0.35">
      <c r="A52" s="409" t="s">
        <v>311</v>
      </c>
      <c r="B52" s="387">
        <v>24.997983976722001</v>
      </c>
      <c r="C52" s="387">
        <v>13.61553</v>
      </c>
      <c r="D52" s="388">
        <v>-11.382453976721999</v>
      </c>
      <c r="E52" s="389">
        <v>0.54466512230200004</v>
      </c>
      <c r="F52" s="387">
        <v>54.999907143310999</v>
      </c>
      <c r="G52" s="388">
        <v>18.333302381103</v>
      </c>
      <c r="H52" s="390">
        <v>4.9406564584124654E-324</v>
      </c>
      <c r="I52" s="387">
        <v>1.31986</v>
      </c>
      <c r="J52" s="388">
        <v>-17.013442381103001</v>
      </c>
      <c r="K52" s="391">
        <v>2.3997495059999999E-2</v>
      </c>
    </row>
    <row r="53" spans="1:11" ht="14.4" customHeight="1" thickBot="1" x14ac:dyDescent="0.35">
      <c r="A53" s="409" t="s">
        <v>312</v>
      </c>
      <c r="B53" s="387">
        <v>27.997934731592999</v>
      </c>
      <c r="C53" s="387">
        <v>38.335030000000003</v>
      </c>
      <c r="D53" s="388">
        <v>10.337095268406999</v>
      </c>
      <c r="E53" s="389">
        <v>1.369209206589</v>
      </c>
      <c r="F53" s="387">
        <v>38.883637051904003</v>
      </c>
      <c r="G53" s="388">
        <v>12.961212350634</v>
      </c>
      <c r="H53" s="390">
        <v>4.9406564584124654E-324</v>
      </c>
      <c r="I53" s="387">
        <v>8.1892800000000001</v>
      </c>
      <c r="J53" s="388">
        <v>-4.7719323506339997</v>
      </c>
      <c r="K53" s="391">
        <v>0.21060992800299999</v>
      </c>
    </row>
    <row r="54" spans="1:11" ht="14.4" customHeight="1" thickBot="1" x14ac:dyDescent="0.35">
      <c r="A54" s="412" t="s">
        <v>46</v>
      </c>
      <c r="B54" s="392">
        <v>0</v>
      </c>
      <c r="C54" s="392">
        <v>106.889</v>
      </c>
      <c r="D54" s="393">
        <v>106.889</v>
      </c>
      <c r="E54" s="394" t="s">
        <v>264</v>
      </c>
      <c r="F54" s="392">
        <v>0</v>
      </c>
      <c r="G54" s="393">
        <v>0</v>
      </c>
      <c r="H54" s="395">
        <v>0.19500000000000001</v>
      </c>
      <c r="I54" s="392">
        <v>9.2940000000000005</v>
      </c>
      <c r="J54" s="393">
        <v>9.2940000000000005</v>
      </c>
      <c r="K54" s="396" t="s">
        <v>264</v>
      </c>
    </row>
    <row r="55" spans="1:11" ht="14.4" customHeight="1" thickBot="1" x14ac:dyDescent="0.35">
      <c r="A55" s="408" t="s">
        <v>313</v>
      </c>
      <c r="B55" s="392">
        <v>0</v>
      </c>
      <c r="C55" s="392">
        <v>56.401000000000003</v>
      </c>
      <c r="D55" s="393">
        <v>56.401000000000003</v>
      </c>
      <c r="E55" s="394" t="s">
        <v>264</v>
      </c>
      <c r="F55" s="392">
        <v>0</v>
      </c>
      <c r="G55" s="393">
        <v>0</v>
      </c>
      <c r="H55" s="395">
        <v>0.19500000000000001</v>
      </c>
      <c r="I55" s="392">
        <v>9.2940000000000005</v>
      </c>
      <c r="J55" s="393">
        <v>9.2940000000000005</v>
      </c>
      <c r="K55" s="396" t="s">
        <v>264</v>
      </c>
    </row>
    <row r="56" spans="1:11" ht="14.4" customHeight="1" thickBot="1" x14ac:dyDescent="0.35">
      <c r="A56" s="409" t="s">
        <v>314</v>
      </c>
      <c r="B56" s="387">
        <v>0</v>
      </c>
      <c r="C56" s="387">
        <v>55.201000000000001</v>
      </c>
      <c r="D56" s="388">
        <v>55.201000000000001</v>
      </c>
      <c r="E56" s="397" t="s">
        <v>264</v>
      </c>
      <c r="F56" s="387">
        <v>0</v>
      </c>
      <c r="G56" s="388">
        <v>0</v>
      </c>
      <c r="H56" s="390">
        <v>0.19500000000000001</v>
      </c>
      <c r="I56" s="387">
        <v>8.8940000000000001</v>
      </c>
      <c r="J56" s="388">
        <v>8.8940000000000001</v>
      </c>
      <c r="K56" s="398" t="s">
        <v>264</v>
      </c>
    </row>
    <row r="57" spans="1:11" ht="14.4" customHeight="1" thickBot="1" x14ac:dyDescent="0.35">
      <c r="A57" s="409" t="s">
        <v>315</v>
      </c>
      <c r="B57" s="387">
        <v>0</v>
      </c>
      <c r="C57" s="387">
        <v>1.2</v>
      </c>
      <c r="D57" s="388">
        <v>1.2</v>
      </c>
      <c r="E57" s="397" t="s">
        <v>264</v>
      </c>
      <c r="F57" s="387">
        <v>0</v>
      </c>
      <c r="G57" s="388">
        <v>0</v>
      </c>
      <c r="H57" s="390">
        <v>4.9406564584124654E-324</v>
      </c>
      <c r="I57" s="387">
        <v>0.4</v>
      </c>
      <c r="J57" s="388">
        <v>0.4</v>
      </c>
      <c r="K57" s="398" t="s">
        <v>264</v>
      </c>
    </row>
    <row r="58" spans="1:11" ht="14.4" customHeight="1" thickBot="1" x14ac:dyDescent="0.35">
      <c r="A58" s="408" t="s">
        <v>316</v>
      </c>
      <c r="B58" s="392">
        <v>0</v>
      </c>
      <c r="C58" s="392">
        <v>50.488</v>
      </c>
      <c r="D58" s="393">
        <v>50.488</v>
      </c>
      <c r="E58" s="394" t="s">
        <v>264</v>
      </c>
      <c r="F58" s="392">
        <v>0</v>
      </c>
      <c r="G58" s="393">
        <v>0</v>
      </c>
      <c r="H58" s="395">
        <v>4.9406564584124654E-324</v>
      </c>
      <c r="I58" s="392">
        <v>1.9762625833649862E-323</v>
      </c>
      <c r="J58" s="393">
        <v>1.9762625833649862E-323</v>
      </c>
      <c r="K58" s="396" t="s">
        <v>264</v>
      </c>
    </row>
    <row r="59" spans="1:11" ht="14.4" customHeight="1" thickBot="1" x14ac:dyDescent="0.35">
      <c r="A59" s="409" t="s">
        <v>317</v>
      </c>
      <c r="B59" s="387">
        <v>0</v>
      </c>
      <c r="C59" s="387">
        <v>50.488</v>
      </c>
      <c r="D59" s="388">
        <v>50.488</v>
      </c>
      <c r="E59" s="397" t="s">
        <v>264</v>
      </c>
      <c r="F59" s="387">
        <v>0</v>
      </c>
      <c r="G59" s="388">
        <v>0</v>
      </c>
      <c r="H59" s="390">
        <v>4.9406564584124654E-324</v>
      </c>
      <c r="I59" s="387">
        <v>1.9762625833649862E-323</v>
      </c>
      <c r="J59" s="388">
        <v>1.9762625833649862E-323</v>
      </c>
      <c r="K59" s="398" t="s">
        <v>264</v>
      </c>
    </row>
    <row r="60" spans="1:11" ht="14.4" customHeight="1" thickBot="1" x14ac:dyDescent="0.35">
      <c r="A60" s="407" t="s">
        <v>47</v>
      </c>
      <c r="B60" s="387">
        <v>823.41161360768501</v>
      </c>
      <c r="C60" s="387">
        <v>1279.4270100000001</v>
      </c>
      <c r="D60" s="388">
        <v>456.01539639231601</v>
      </c>
      <c r="E60" s="389">
        <v>1.553812198973</v>
      </c>
      <c r="F60" s="387">
        <v>1402.6011094074199</v>
      </c>
      <c r="G60" s="388">
        <v>467.53370313580501</v>
      </c>
      <c r="H60" s="390">
        <v>18.455369999999998</v>
      </c>
      <c r="I60" s="387">
        <v>163.46648999999999</v>
      </c>
      <c r="J60" s="388">
        <v>-304.06721313580499</v>
      </c>
      <c r="K60" s="391">
        <v>0.11654524504700001</v>
      </c>
    </row>
    <row r="61" spans="1:11" ht="14.4" customHeight="1" thickBot="1" x14ac:dyDescent="0.35">
      <c r="A61" s="408" t="s">
        <v>318</v>
      </c>
      <c r="B61" s="392">
        <v>26.294098037716999</v>
      </c>
      <c r="C61" s="392">
        <v>55.501080000000002</v>
      </c>
      <c r="D61" s="393">
        <v>29.206981962282001</v>
      </c>
      <c r="E61" s="399">
        <v>2.1107809030140001</v>
      </c>
      <c r="F61" s="392">
        <v>22.183714264195</v>
      </c>
      <c r="G61" s="393">
        <v>7.3945714213980001</v>
      </c>
      <c r="H61" s="395">
        <v>1.694</v>
      </c>
      <c r="I61" s="392">
        <v>12.493399999999999</v>
      </c>
      <c r="J61" s="393">
        <v>5.0988285786010001</v>
      </c>
      <c r="K61" s="400">
        <v>0.56317890914000002</v>
      </c>
    </row>
    <row r="62" spans="1:11" ht="14.4" customHeight="1" thickBot="1" x14ac:dyDescent="0.35">
      <c r="A62" s="409" t="s">
        <v>319</v>
      </c>
      <c r="B62" s="387">
        <v>26.294098037716999</v>
      </c>
      <c r="C62" s="387">
        <v>55.501080000000002</v>
      </c>
      <c r="D62" s="388">
        <v>29.206981962282001</v>
      </c>
      <c r="E62" s="389">
        <v>2.1107809030140001</v>
      </c>
      <c r="F62" s="387">
        <v>22.183714264195</v>
      </c>
      <c r="G62" s="388">
        <v>7.3945714213980001</v>
      </c>
      <c r="H62" s="390">
        <v>1.694</v>
      </c>
      <c r="I62" s="387">
        <v>12.493399999999999</v>
      </c>
      <c r="J62" s="388">
        <v>5.0988285786010001</v>
      </c>
      <c r="K62" s="391">
        <v>0.56317890914000002</v>
      </c>
    </row>
    <row r="63" spans="1:11" ht="14.4" customHeight="1" thickBot="1" x14ac:dyDescent="0.35">
      <c r="A63" s="408" t="s">
        <v>320</v>
      </c>
      <c r="B63" s="392">
        <v>69.914047366019005</v>
      </c>
      <c r="C63" s="392">
        <v>80.575019999999995</v>
      </c>
      <c r="D63" s="393">
        <v>10.66097263398</v>
      </c>
      <c r="E63" s="399">
        <v>1.1524868468580001</v>
      </c>
      <c r="F63" s="392">
        <v>80.446835715874002</v>
      </c>
      <c r="G63" s="393">
        <v>26.815611905291</v>
      </c>
      <c r="H63" s="395">
        <v>2.5093000000000001</v>
      </c>
      <c r="I63" s="392">
        <v>21.963380000000001</v>
      </c>
      <c r="J63" s="393">
        <v>-4.8522319052910001</v>
      </c>
      <c r="K63" s="400">
        <v>0.273017326344</v>
      </c>
    </row>
    <row r="64" spans="1:11" ht="14.4" customHeight="1" thickBot="1" x14ac:dyDescent="0.35">
      <c r="A64" s="409" t="s">
        <v>321</v>
      </c>
      <c r="B64" s="387">
        <v>53.25177214024</v>
      </c>
      <c r="C64" s="387">
        <v>56.9422</v>
      </c>
      <c r="D64" s="388">
        <v>3.6904278597590001</v>
      </c>
      <c r="E64" s="389">
        <v>1.0693015032440001</v>
      </c>
      <c r="F64" s="387">
        <v>58.251086377274</v>
      </c>
      <c r="G64" s="388">
        <v>19.417028792423999</v>
      </c>
      <c r="H64" s="390">
        <v>3.7667999999999999</v>
      </c>
      <c r="I64" s="387">
        <v>15.595499999999999</v>
      </c>
      <c r="J64" s="388">
        <v>-3.821528792424</v>
      </c>
      <c r="K64" s="391">
        <v>0.26772891236700003</v>
      </c>
    </row>
    <row r="65" spans="1:11" ht="14.4" customHeight="1" thickBot="1" x14ac:dyDescent="0.35">
      <c r="A65" s="409" t="s">
        <v>322</v>
      </c>
      <c r="B65" s="387">
        <v>16.662275225778998</v>
      </c>
      <c r="C65" s="387">
        <v>23.632819999999999</v>
      </c>
      <c r="D65" s="388">
        <v>6.9705447742209996</v>
      </c>
      <c r="E65" s="389">
        <v>1.418342914143</v>
      </c>
      <c r="F65" s="387">
        <v>22.195749338599999</v>
      </c>
      <c r="G65" s="388">
        <v>7.3985831128659996</v>
      </c>
      <c r="H65" s="390">
        <v>-1.2575000000000001</v>
      </c>
      <c r="I65" s="387">
        <v>6.3678800000000004</v>
      </c>
      <c r="J65" s="388">
        <v>-1.030703112866</v>
      </c>
      <c r="K65" s="391">
        <v>0.28689637384400002</v>
      </c>
    </row>
    <row r="66" spans="1:11" ht="14.4" customHeight="1" thickBot="1" x14ac:dyDescent="0.35">
      <c r="A66" s="408" t="s">
        <v>323</v>
      </c>
      <c r="B66" s="392">
        <v>20.029938410267</v>
      </c>
      <c r="C66" s="392">
        <v>30.831679999999999</v>
      </c>
      <c r="D66" s="393">
        <v>10.801741589732</v>
      </c>
      <c r="E66" s="399">
        <v>1.53927982046</v>
      </c>
      <c r="F66" s="392">
        <v>29.441547892029</v>
      </c>
      <c r="G66" s="393">
        <v>9.8138492973419993</v>
      </c>
      <c r="H66" s="395">
        <v>3.7032799999999999</v>
      </c>
      <c r="I66" s="392">
        <v>12.662800000000001</v>
      </c>
      <c r="J66" s="393">
        <v>2.848950702657</v>
      </c>
      <c r="K66" s="400">
        <v>0.43009966889000001</v>
      </c>
    </row>
    <row r="67" spans="1:11" ht="14.4" customHeight="1" thickBot="1" x14ac:dyDescent="0.35">
      <c r="A67" s="409" t="s">
        <v>324</v>
      </c>
      <c r="B67" s="387">
        <v>3.7371913255770002</v>
      </c>
      <c r="C67" s="387">
        <v>3.78</v>
      </c>
      <c r="D67" s="388">
        <v>4.2808674422000002E-2</v>
      </c>
      <c r="E67" s="389">
        <v>1.0114547719639999</v>
      </c>
      <c r="F67" s="387">
        <v>4.678425385862</v>
      </c>
      <c r="G67" s="388">
        <v>1.5594751286199999</v>
      </c>
      <c r="H67" s="390">
        <v>1.08</v>
      </c>
      <c r="I67" s="387">
        <v>2.16</v>
      </c>
      <c r="J67" s="388">
        <v>0.60052487137900001</v>
      </c>
      <c r="K67" s="391">
        <v>0.46169380119300002</v>
      </c>
    </row>
    <row r="68" spans="1:11" ht="14.4" customHeight="1" thickBot="1" x14ac:dyDescent="0.35">
      <c r="A68" s="409" t="s">
        <v>325</v>
      </c>
      <c r="B68" s="387">
        <v>16.292747084689999</v>
      </c>
      <c r="C68" s="387">
        <v>27.051680000000001</v>
      </c>
      <c r="D68" s="388">
        <v>10.758932915309</v>
      </c>
      <c r="E68" s="389">
        <v>1.6603510666050001</v>
      </c>
      <c r="F68" s="387">
        <v>24.763122506165999</v>
      </c>
      <c r="G68" s="388">
        <v>8.2543741687220002</v>
      </c>
      <c r="H68" s="390">
        <v>2.6232799999999998</v>
      </c>
      <c r="I68" s="387">
        <v>10.502800000000001</v>
      </c>
      <c r="J68" s="388">
        <v>2.2484258312769998</v>
      </c>
      <c r="K68" s="391">
        <v>0.424130680506</v>
      </c>
    </row>
    <row r="69" spans="1:11" ht="14.4" customHeight="1" thickBot="1" x14ac:dyDescent="0.35">
      <c r="A69" s="408" t="s">
        <v>326</v>
      </c>
      <c r="B69" s="392">
        <v>333.94389081759402</v>
      </c>
      <c r="C69" s="392">
        <v>354.00261999999998</v>
      </c>
      <c r="D69" s="393">
        <v>20.058729182404999</v>
      </c>
      <c r="E69" s="399">
        <v>1.0600661660049999</v>
      </c>
      <c r="F69" s="392">
        <v>353.36730038098898</v>
      </c>
      <c r="G69" s="393">
        <v>117.789100126996</v>
      </c>
      <c r="H69" s="395">
        <v>2.5777899999999998</v>
      </c>
      <c r="I69" s="392">
        <v>67.264449999999997</v>
      </c>
      <c r="J69" s="393">
        <v>-50.524650126996001</v>
      </c>
      <c r="K69" s="400">
        <v>0.19035278569200001</v>
      </c>
    </row>
    <row r="70" spans="1:11" ht="14.4" customHeight="1" thickBot="1" x14ac:dyDescent="0.35">
      <c r="A70" s="409" t="s">
        <v>327</v>
      </c>
      <c r="B70" s="387">
        <v>297.00030157967899</v>
      </c>
      <c r="C70" s="387">
        <v>320.02782100000002</v>
      </c>
      <c r="D70" s="388">
        <v>23.027519420320999</v>
      </c>
      <c r="E70" s="389">
        <v>1.077533656692</v>
      </c>
      <c r="F70" s="387">
        <v>320.08345529921701</v>
      </c>
      <c r="G70" s="388">
        <v>106.694485099739</v>
      </c>
      <c r="H70" s="390">
        <v>4.9406564584124654E-324</v>
      </c>
      <c r="I70" s="387">
        <v>54.531149999999997</v>
      </c>
      <c r="J70" s="388">
        <v>-52.163335099737999</v>
      </c>
      <c r="K70" s="391">
        <v>0.170365412823</v>
      </c>
    </row>
    <row r="71" spans="1:11" ht="14.4" customHeight="1" thickBot="1" x14ac:dyDescent="0.35">
      <c r="A71" s="409" t="s">
        <v>328</v>
      </c>
      <c r="B71" s="387">
        <v>0.17856760082299999</v>
      </c>
      <c r="C71" s="387">
        <v>0.36399999999999999</v>
      </c>
      <c r="D71" s="388">
        <v>0.18543239917599999</v>
      </c>
      <c r="E71" s="389">
        <v>2.0384436948300002</v>
      </c>
      <c r="F71" s="387">
        <v>0.31176629998099997</v>
      </c>
      <c r="G71" s="388">
        <v>0.10392209999300001</v>
      </c>
      <c r="H71" s="390">
        <v>4.9406564584124654E-324</v>
      </c>
      <c r="I71" s="387">
        <v>1.4550000000000001</v>
      </c>
      <c r="J71" s="388">
        <v>1.351077900006</v>
      </c>
      <c r="K71" s="391">
        <v>4.6669572692300001</v>
      </c>
    </row>
    <row r="72" spans="1:11" ht="14.4" customHeight="1" thickBot="1" x14ac:dyDescent="0.35">
      <c r="A72" s="409" t="s">
        <v>329</v>
      </c>
      <c r="B72" s="387">
        <v>36.765021637091003</v>
      </c>
      <c r="C72" s="387">
        <v>33.610799</v>
      </c>
      <c r="D72" s="388">
        <v>-3.1542226370909998</v>
      </c>
      <c r="E72" s="389">
        <v>0.91420588111599999</v>
      </c>
      <c r="F72" s="387">
        <v>32.972078781790003</v>
      </c>
      <c r="G72" s="388">
        <v>10.990692927263</v>
      </c>
      <c r="H72" s="390">
        <v>2.5777899999999998</v>
      </c>
      <c r="I72" s="387">
        <v>11.2783</v>
      </c>
      <c r="J72" s="388">
        <v>0.287607072736</v>
      </c>
      <c r="K72" s="391">
        <v>0.34205607946700001</v>
      </c>
    </row>
    <row r="73" spans="1:11" ht="14.4" customHeight="1" thickBot="1" x14ac:dyDescent="0.35">
      <c r="A73" s="408" t="s">
        <v>330</v>
      </c>
      <c r="B73" s="392">
        <v>373.15439503096701</v>
      </c>
      <c r="C73" s="392">
        <v>723.67143999999996</v>
      </c>
      <c r="D73" s="393">
        <v>350.51704496903398</v>
      </c>
      <c r="E73" s="399">
        <v>1.9393351643079999</v>
      </c>
      <c r="F73" s="392">
        <v>717.16171115433099</v>
      </c>
      <c r="G73" s="393">
        <v>239.05390371811001</v>
      </c>
      <c r="H73" s="395">
        <v>7.9710000000000001</v>
      </c>
      <c r="I73" s="392">
        <v>49.082459999999998</v>
      </c>
      <c r="J73" s="393">
        <v>-189.97144371811001</v>
      </c>
      <c r="K73" s="400">
        <v>6.8439877974999994E-2</v>
      </c>
    </row>
    <row r="74" spans="1:11" ht="14.4" customHeight="1" thickBot="1" x14ac:dyDescent="0.35">
      <c r="A74" s="409" t="s">
        <v>331</v>
      </c>
      <c r="B74" s="387">
        <v>237.58369627406501</v>
      </c>
      <c r="C74" s="387">
        <v>533.69094000000098</v>
      </c>
      <c r="D74" s="388">
        <v>296.10724372593597</v>
      </c>
      <c r="E74" s="389">
        <v>2.2463281292850001</v>
      </c>
      <c r="F74" s="387">
        <v>527.64078254500305</v>
      </c>
      <c r="G74" s="388">
        <v>175.88026084833399</v>
      </c>
      <c r="H74" s="390">
        <v>6.5339999999999998</v>
      </c>
      <c r="I74" s="387">
        <v>36.473129999999998</v>
      </c>
      <c r="J74" s="388">
        <v>-139.40713084833399</v>
      </c>
      <c r="K74" s="391">
        <v>6.9124925909000004E-2</v>
      </c>
    </row>
    <row r="75" spans="1:11" ht="14.4" customHeight="1" thickBot="1" x14ac:dyDescent="0.35">
      <c r="A75" s="409" t="s">
        <v>332</v>
      </c>
      <c r="B75" s="387">
        <v>29.984533709773</v>
      </c>
      <c r="C75" s="387">
        <v>20.439399999999999</v>
      </c>
      <c r="D75" s="388">
        <v>-9.5451337097729994</v>
      </c>
      <c r="E75" s="389">
        <v>0.68166476083399996</v>
      </c>
      <c r="F75" s="387">
        <v>29.010568085477001</v>
      </c>
      <c r="G75" s="388">
        <v>9.6701893618250008</v>
      </c>
      <c r="H75" s="390">
        <v>1.4370000000000001</v>
      </c>
      <c r="I75" s="387">
        <v>4.0990000000000002</v>
      </c>
      <c r="J75" s="388">
        <v>-5.5711893618249997</v>
      </c>
      <c r="K75" s="391">
        <v>0.141293337928</v>
      </c>
    </row>
    <row r="76" spans="1:11" ht="14.4" customHeight="1" thickBot="1" x14ac:dyDescent="0.35">
      <c r="A76" s="409" t="s">
        <v>333</v>
      </c>
      <c r="B76" s="387">
        <v>105.58616504712801</v>
      </c>
      <c r="C76" s="387">
        <v>168.12278000000001</v>
      </c>
      <c r="D76" s="388">
        <v>62.536614952870998</v>
      </c>
      <c r="E76" s="389">
        <v>1.592280389433</v>
      </c>
      <c r="F76" s="387">
        <v>158.837481986006</v>
      </c>
      <c r="G76" s="388">
        <v>52.945827328668003</v>
      </c>
      <c r="H76" s="390">
        <v>4.9406564584124654E-324</v>
      </c>
      <c r="I76" s="387">
        <v>8.5103299999999997</v>
      </c>
      <c r="J76" s="388">
        <v>-44.435497328667999</v>
      </c>
      <c r="K76" s="391">
        <v>5.3578852380999999E-2</v>
      </c>
    </row>
    <row r="77" spans="1:11" ht="14.4" customHeight="1" thickBot="1" x14ac:dyDescent="0.35">
      <c r="A77" s="409" t="s">
        <v>334</v>
      </c>
      <c r="B77" s="387">
        <v>4.9406564584124654E-324</v>
      </c>
      <c r="C77" s="387">
        <v>1.41832</v>
      </c>
      <c r="D77" s="388">
        <v>1.41832</v>
      </c>
      <c r="E77" s="397" t="s">
        <v>270</v>
      </c>
      <c r="F77" s="387">
        <v>1.6728785378440001</v>
      </c>
      <c r="G77" s="388">
        <v>0.557626179281</v>
      </c>
      <c r="H77" s="390">
        <v>4.9406564584124654E-324</v>
      </c>
      <c r="I77" s="387">
        <v>1.9762625833649862E-323</v>
      </c>
      <c r="J77" s="388">
        <v>-0.557626179281</v>
      </c>
      <c r="K77" s="391">
        <v>9.8813129168249309E-324</v>
      </c>
    </row>
    <row r="78" spans="1:11" ht="14.4" customHeight="1" thickBot="1" x14ac:dyDescent="0.35">
      <c r="A78" s="408" t="s">
        <v>335</v>
      </c>
      <c r="B78" s="392">
        <v>7.5243945118999997E-2</v>
      </c>
      <c r="C78" s="392">
        <v>34.845170000000003</v>
      </c>
      <c r="D78" s="393">
        <v>34.769926054880003</v>
      </c>
      <c r="E78" s="399">
        <v>463.09599988193003</v>
      </c>
      <c r="F78" s="392">
        <v>199.99999999999699</v>
      </c>
      <c r="G78" s="393">
        <v>66.666666666664995</v>
      </c>
      <c r="H78" s="395">
        <v>4.9406564584124654E-324</v>
      </c>
      <c r="I78" s="392">
        <v>1.9762625833649862E-323</v>
      </c>
      <c r="J78" s="393">
        <v>-66.666666666664995</v>
      </c>
      <c r="K78" s="400">
        <v>0</v>
      </c>
    </row>
    <row r="79" spans="1:11" ht="14.4" customHeight="1" thickBot="1" x14ac:dyDescent="0.35">
      <c r="A79" s="409" t="s">
        <v>336</v>
      </c>
      <c r="B79" s="387">
        <v>4.9406564584124654E-324</v>
      </c>
      <c r="C79" s="387">
        <v>34.845170000000003</v>
      </c>
      <c r="D79" s="388">
        <v>34.845170000000003</v>
      </c>
      <c r="E79" s="397" t="s">
        <v>270</v>
      </c>
      <c r="F79" s="387">
        <v>149.99999999999699</v>
      </c>
      <c r="G79" s="388">
        <v>49.999999999998998</v>
      </c>
      <c r="H79" s="390">
        <v>4.9406564584124654E-324</v>
      </c>
      <c r="I79" s="387">
        <v>1.9762625833649862E-323</v>
      </c>
      <c r="J79" s="388">
        <v>-49.999999999998998</v>
      </c>
      <c r="K79" s="391">
        <v>0</v>
      </c>
    </row>
    <row r="80" spans="1:11" ht="14.4" customHeight="1" thickBot="1" x14ac:dyDescent="0.35">
      <c r="A80" s="409" t="s">
        <v>337</v>
      </c>
      <c r="B80" s="387">
        <v>0</v>
      </c>
      <c r="C80" s="387">
        <v>4.9406564584124654E-324</v>
      </c>
      <c r="D80" s="388">
        <v>4.9406564584124654E-324</v>
      </c>
      <c r="E80" s="397" t="s">
        <v>264</v>
      </c>
      <c r="F80" s="387">
        <v>49.999999999998998</v>
      </c>
      <c r="G80" s="388">
        <v>16.666666666666</v>
      </c>
      <c r="H80" s="390">
        <v>4.9406564584124654E-324</v>
      </c>
      <c r="I80" s="387">
        <v>1.9762625833649862E-323</v>
      </c>
      <c r="J80" s="388">
        <v>-16.666666666666</v>
      </c>
      <c r="K80" s="391">
        <v>0</v>
      </c>
    </row>
    <row r="81" spans="1:11" ht="14.4" customHeight="1" thickBot="1" x14ac:dyDescent="0.35">
      <c r="A81" s="406" t="s">
        <v>48</v>
      </c>
      <c r="B81" s="387">
        <v>13788.9962865823</v>
      </c>
      <c r="C81" s="387">
        <v>15172.78686</v>
      </c>
      <c r="D81" s="388">
        <v>1383.79057341772</v>
      </c>
      <c r="E81" s="389">
        <v>1.100354699113</v>
      </c>
      <c r="F81" s="387">
        <v>15104.0746745999</v>
      </c>
      <c r="G81" s="388">
        <v>5034.6915581999801</v>
      </c>
      <c r="H81" s="390">
        <v>1150.94488</v>
      </c>
      <c r="I81" s="387">
        <v>4636.7718300000097</v>
      </c>
      <c r="J81" s="388">
        <v>-397.91972819997699</v>
      </c>
      <c r="K81" s="391">
        <v>0.30698814259599999</v>
      </c>
    </row>
    <row r="82" spans="1:11" ht="14.4" customHeight="1" thickBot="1" x14ac:dyDescent="0.35">
      <c r="A82" s="412" t="s">
        <v>338</v>
      </c>
      <c r="B82" s="392">
        <v>10226.9999999994</v>
      </c>
      <c r="C82" s="392">
        <v>11244.948</v>
      </c>
      <c r="D82" s="393">
        <v>1017.94800000057</v>
      </c>
      <c r="E82" s="399">
        <v>1.099535347609</v>
      </c>
      <c r="F82" s="392">
        <v>11196.9999999998</v>
      </c>
      <c r="G82" s="393">
        <v>3732.3333333332698</v>
      </c>
      <c r="H82" s="395">
        <v>852.553</v>
      </c>
      <c r="I82" s="392">
        <v>3437.5650000000001</v>
      </c>
      <c r="J82" s="393">
        <v>-294.76833333326101</v>
      </c>
      <c r="K82" s="400">
        <v>0.30700768062799999</v>
      </c>
    </row>
    <row r="83" spans="1:11" ht="14.4" customHeight="1" thickBot="1" x14ac:dyDescent="0.35">
      <c r="A83" s="408" t="s">
        <v>339</v>
      </c>
      <c r="B83" s="392">
        <v>10226.9999999994</v>
      </c>
      <c r="C83" s="392">
        <v>11221.867</v>
      </c>
      <c r="D83" s="393">
        <v>994.86700000056805</v>
      </c>
      <c r="E83" s="399">
        <v>1.097278478537</v>
      </c>
      <c r="F83" s="392">
        <v>11160.9999999998</v>
      </c>
      <c r="G83" s="393">
        <v>3720.3333333332698</v>
      </c>
      <c r="H83" s="395">
        <v>852.553</v>
      </c>
      <c r="I83" s="392">
        <v>3423.05</v>
      </c>
      <c r="J83" s="393">
        <v>-297.28333333326202</v>
      </c>
      <c r="K83" s="400">
        <v>0.30669742854499998</v>
      </c>
    </row>
    <row r="84" spans="1:11" ht="14.4" customHeight="1" thickBot="1" x14ac:dyDescent="0.35">
      <c r="A84" s="409" t="s">
        <v>340</v>
      </c>
      <c r="B84" s="387">
        <v>10226.9999999994</v>
      </c>
      <c r="C84" s="387">
        <v>11221.867</v>
      </c>
      <c r="D84" s="388">
        <v>994.86700000056805</v>
      </c>
      <c r="E84" s="389">
        <v>1.097278478537</v>
      </c>
      <c r="F84" s="387">
        <v>11160.9999999998</v>
      </c>
      <c r="G84" s="388">
        <v>3720.3333333332698</v>
      </c>
      <c r="H84" s="390">
        <v>852.553</v>
      </c>
      <c r="I84" s="387">
        <v>3423.05</v>
      </c>
      <c r="J84" s="388">
        <v>-297.28333333326202</v>
      </c>
      <c r="K84" s="391">
        <v>0.30669742854499998</v>
      </c>
    </row>
    <row r="85" spans="1:11" ht="14.4" customHeight="1" thickBot="1" x14ac:dyDescent="0.35">
      <c r="A85" s="408" t="s">
        <v>341</v>
      </c>
      <c r="B85" s="392">
        <v>4.9406564584124654E-324</v>
      </c>
      <c r="C85" s="392">
        <v>1.5</v>
      </c>
      <c r="D85" s="393">
        <v>1.5</v>
      </c>
      <c r="E85" s="394" t="s">
        <v>270</v>
      </c>
      <c r="F85" s="392">
        <v>0</v>
      </c>
      <c r="G85" s="393">
        <v>0</v>
      </c>
      <c r="H85" s="395">
        <v>4.9406564584124654E-324</v>
      </c>
      <c r="I85" s="392">
        <v>12.4</v>
      </c>
      <c r="J85" s="393">
        <v>12.4</v>
      </c>
      <c r="K85" s="396" t="s">
        <v>264</v>
      </c>
    </row>
    <row r="86" spans="1:11" ht="14.4" customHeight="1" thickBot="1" x14ac:dyDescent="0.35">
      <c r="A86" s="409" t="s">
        <v>342</v>
      </c>
      <c r="B86" s="387">
        <v>4.9406564584124654E-324</v>
      </c>
      <c r="C86" s="387">
        <v>1.5</v>
      </c>
      <c r="D86" s="388">
        <v>1.5</v>
      </c>
      <c r="E86" s="397" t="s">
        <v>270</v>
      </c>
      <c r="F86" s="387">
        <v>0</v>
      </c>
      <c r="G86" s="388">
        <v>0</v>
      </c>
      <c r="H86" s="390">
        <v>4.9406564584124654E-324</v>
      </c>
      <c r="I86" s="387">
        <v>12.4</v>
      </c>
      <c r="J86" s="388">
        <v>12.4</v>
      </c>
      <c r="K86" s="398" t="s">
        <v>264</v>
      </c>
    </row>
    <row r="87" spans="1:11" ht="14.4" customHeight="1" thickBot="1" x14ac:dyDescent="0.35">
      <c r="A87" s="408" t="s">
        <v>343</v>
      </c>
      <c r="B87" s="392">
        <v>0</v>
      </c>
      <c r="C87" s="392">
        <v>21.581</v>
      </c>
      <c r="D87" s="393">
        <v>21.581</v>
      </c>
      <c r="E87" s="394" t="s">
        <v>264</v>
      </c>
      <c r="F87" s="392">
        <v>35.999999999998998</v>
      </c>
      <c r="G87" s="393">
        <v>11.999999999999</v>
      </c>
      <c r="H87" s="395">
        <v>4.9406564584124654E-324</v>
      </c>
      <c r="I87" s="392">
        <v>2.1150000000000002</v>
      </c>
      <c r="J87" s="393">
        <v>-9.8849999999989997</v>
      </c>
      <c r="K87" s="400">
        <v>5.8749999999999997E-2</v>
      </c>
    </row>
    <row r="88" spans="1:11" ht="14.4" customHeight="1" thickBot="1" x14ac:dyDescent="0.35">
      <c r="A88" s="409" t="s">
        <v>344</v>
      </c>
      <c r="B88" s="387">
        <v>0</v>
      </c>
      <c r="C88" s="387">
        <v>21.581</v>
      </c>
      <c r="D88" s="388">
        <v>21.581</v>
      </c>
      <c r="E88" s="397" t="s">
        <v>264</v>
      </c>
      <c r="F88" s="387">
        <v>35.999999999998998</v>
      </c>
      <c r="G88" s="388">
        <v>11.999999999999</v>
      </c>
      <c r="H88" s="390">
        <v>4.9406564584124654E-324</v>
      </c>
      <c r="I88" s="387">
        <v>2.1150000000000002</v>
      </c>
      <c r="J88" s="388">
        <v>-9.8849999999989997</v>
      </c>
      <c r="K88" s="391">
        <v>5.8749999999999997E-2</v>
      </c>
    </row>
    <row r="89" spans="1:11" ht="14.4" customHeight="1" thickBot="1" x14ac:dyDescent="0.35">
      <c r="A89" s="407" t="s">
        <v>345</v>
      </c>
      <c r="B89" s="387">
        <v>3459.9962865828602</v>
      </c>
      <c r="C89" s="387">
        <v>3815.3982000000001</v>
      </c>
      <c r="D89" s="388">
        <v>355.401913417142</v>
      </c>
      <c r="E89" s="389">
        <v>1.1027174262570001</v>
      </c>
      <c r="F89" s="387">
        <v>3795.07467460015</v>
      </c>
      <c r="G89" s="388">
        <v>1265.02489153338</v>
      </c>
      <c r="H89" s="390">
        <v>289.86599999999999</v>
      </c>
      <c r="I89" s="387">
        <v>1164.9545900000001</v>
      </c>
      <c r="J89" s="388">
        <v>-100.07030153338199</v>
      </c>
      <c r="K89" s="391">
        <v>0.30696486627699998</v>
      </c>
    </row>
    <row r="90" spans="1:11" ht="14.4" customHeight="1" thickBot="1" x14ac:dyDescent="0.35">
      <c r="A90" s="408" t="s">
        <v>346</v>
      </c>
      <c r="B90" s="392">
        <v>915.99999294962402</v>
      </c>
      <c r="C90" s="392">
        <v>1009.95647</v>
      </c>
      <c r="D90" s="393">
        <v>93.956477050375995</v>
      </c>
      <c r="E90" s="399">
        <v>1.1025725739879999</v>
      </c>
      <c r="F90" s="392">
        <v>1004.07467460021</v>
      </c>
      <c r="G90" s="393">
        <v>334.69155820006898</v>
      </c>
      <c r="H90" s="395">
        <v>76.727760000000004</v>
      </c>
      <c r="I90" s="392">
        <v>308.36712999999997</v>
      </c>
      <c r="J90" s="393">
        <v>-26.324428200067999</v>
      </c>
      <c r="K90" s="400">
        <v>0.30711573332199998</v>
      </c>
    </row>
    <row r="91" spans="1:11" ht="14.4" customHeight="1" thickBot="1" x14ac:dyDescent="0.35">
      <c r="A91" s="409" t="s">
        <v>347</v>
      </c>
      <c r="B91" s="387">
        <v>915.99999294962402</v>
      </c>
      <c r="C91" s="387">
        <v>1009.95647</v>
      </c>
      <c r="D91" s="388">
        <v>93.956477050375995</v>
      </c>
      <c r="E91" s="389">
        <v>1.1025725739879999</v>
      </c>
      <c r="F91" s="387">
        <v>1004.07467460021</v>
      </c>
      <c r="G91" s="388">
        <v>334.69155820006898</v>
      </c>
      <c r="H91" s="390">
        <v>76.727760000000004</v>
      </c>
      <c r="I91" s="387">
        <v>308.36712999999997</v>
      </c>
      <c r="J91" s="388">
        <v>-26.324428200067999</v>
      </c>
      <c r="K91" s="391">
        <v>0.30711573332199998</v>
      </c>
    </row>
    <row r="92" spans="1:11" ht="14.4" customHeight="1" thickBot="1" x14ac:dyDescent="0.35">
      <c r="A92" s="408" t="s">
        <v>348</v>
      </c>
      <c r="B92" s="392">
        <v>2543.9962936332399</v>
      </c>
      <c r="C92" s="392">
        <v>2805.44173</v>
      </c>
      <c r="D92" s="393">
        <v>261.44543636676599</v>
      </c>
      <c r="E92" s="399">
        <v>1.102769582259</v>
      </c>
      <c r="F92" s="392">
        <v>2790.99999999994</v>
      </c>
      <c r="G92" s="393">
        <v>930.33333333331495</v>
      </c>
      <c r="H92" s="395">
        <v>213.13824</v>
      </c>
      <c r="I92" s="392">
        <v>856.58746000000099</v>
      </c>
      <c r="J92" s="393">
        <v>-73.745873333313</v>
      </c>
      <c r="K92" s="400">
        <v>0.30691059118500003</v>
      </c>
    </row>
    <row r="93" spans="1:11" ht="14.4" customHeight="1" thickBot="1" x14ac:dyDescent="0.35">
      <c r="A93" s="409" t="s">
        <v>349</v>
      </c>
      <c r="B93" s="387">
        <v>2543.9962936332399</v>
      </c>
      <c r="C93" s="387">
        <v>2805.44173</v>
      </c>
      <c r="D93" s="388">
        <v>261.44543636676599</v>
      </c>
      <c r="E93" s="389">
        <v>1.102769582259</v>
      </c>
      <c r="F93" s="387">
        <v>2790.99999999994</v>
      </c>
      <c r="G93" s="388">
        <v>930.33333333331495</v>
      </c>
      <c r="H93" s="390">
        <v>213.13824</v>
      </c>
      <c r="I93" s="387">
        <v>856.58746000000099</v>
      </c>
      <c r="J93" s="388">
        <v>-73.745873333313</v>
      </c>
      <c r="K93" s="391">
        <v>0.30691059118500003</v>
      </c>
    </row>
    <row r="94" spans="1:11" ht="14.4" customHeight="1" thickBot="1" x14ac:dyDescent="0.35">
      <c r="A94" s="407" t="s">
        <v>350</v>
      </c>
      <c r="B94" s="387">
        <v>101.999999999994</v>
      </c>
      <c r="C94" s="387">
        <v>112.44065999999999</v>
      </c>
      <c r="D94" s="388">
        <v>10.440660000005</v>
      </c>
      <c r="E94" s="389">
        <v>1.1023594117640001</v>
      </c>
      <c r="F94" s="387">
        <v>111.999999999998</v>
      </c>
      <c r="G94" s="388">
        <v>37.333333333332</v>
      </c>
      <c r="H94" s="390">
        <v>8.5258800000000008</v>
      </c>
      <c r="I94" s="387">
        <v>34.25224</v>
      </c>
      <c r="J94" s="388">
        <v>-3.0810933333319999</v>
      </c>
      <c r="K94" s="391">
        <v>0.30582357142799999</v>
      </c>
    </row>
    <row r="95" spans="1:11" ht="14.4" customHeight="1" thickBot="1" x14ac:dyDescent="0.35">
      <c r="A95" s="408" t="s">
        <v>351</v>
      </c>
      <c r="B95" s="392">
        <v>101.999999999994</v>
      </c>
      <c r="C95" s="392">
        <v>112.44065999999999</v>
      </c>
      <c r="D95" s="393">
        <v>10.440660000005</v>
      </c>
      <c r="E95" s="399">
        <v>1.1023594117640001</v>
      </c>
      <c r="F95" s="392">
        <v>111.999999999998</v>
      </c>
      <c r="G95" s="393">
        <v>37.333333333332</v>
      </c>
      <c r="H95" s="395">
        <v>8.5258800000000008</v>
      </c>
      <c r="I95" s="392">
        <v>34.25224</v>
      </c>
      <c r="J95" s="393">
        <v>-3.0810933333319999</v>
      </c>
      <c r="K95" s="400">
        <v>0.30582357142799999</v>
      </c>
    </row>
    <row r="96" spans="1:11" ht="14.4" customHeight="1" thickBot="1" x14ac:dyDescent="0.35">
      <c r="A96" s="409" t="s">
        <v>352</v>
      </c>
      <c r="B96" s="387">
        <v>101.999999999994</v>
      </c>
      <c r="C96" s="387">
        <v>112.44065999999999</v>
      </c>
      <c r="D96" s="388">
        <v>10.440660000005</v>
      </c>
      <c r="E96" s="389">
        <v>1.1023594117640001</v>
      </c>
      <c r="F96" s="387">
        <v>111.999999999998</v>
      </c>
      <c r="G96" s="388">
        <v>37.333333333332</v>
      </c>
      <c r="H96" s="390">
        <v>8.5258800000000008</v>
      </c>
      <c r="I96" s="387">
        <v>34.25224</v>
      </c>
      <c r="J96" s="388">
        <v>-3.0810933333319999</v>
      </c>
      <c r="K96" s="391">
        <v>0.30582357142799999</v>
      </c>
    </row>
    <row r="97" spans="1:11" ht="14.4" customHeight="1" thickBot="1" x14ac:dyDescent="0.35">
      <c r="A97" s="406" t="s">
        <v>353</v>
      </c>
      <c r="B97" s="387">
        <v>0</v>
      </c>
      <c r="C97" s="387">
        <v>79.657390000000007</v>
      </c>
      <c r="D97" s="388">
        <v>79.657390000000007</v>
      </c>
      <c r="E97" s="397" t="s">
        <v>264</v>
      </c>
      <c r="F97" s="387">
        <v>0</v>
      </c>
      <c r="G97" s="388">
        <v>0</v>
      </c>
      <c r="H97" s="390">
        <v>3</v>
      </c>
      <c r="I97" s="387">
        <v>52.856070000000003</v>
      </c>
      <c r="J97" s="388">
        <v>52.856070000000003</v>
      </c>
      <c r="K97" s="398" t="s">
        <v>264</v>
      </c>
    </row>
    <row r="98" spans="1:11" ht="14.4" customHeight="1" thickBot="1" x14ac:dyDescent="0.35">
      <c r="A98" s="407" t="s">
        <v>354</v>
      </c>
      <c r="B98" s="387">
        <v>4.9406564584124654E-324</v>
      </c>
      <c r="C98" s="387">
        <v>2.3916400000000002</v>
      </c>
      <c r="D98" s="388">
        <v>2.3916400000000002</v>
      </c>
      <c r="E98" s="397" t="s">
        <v>270</v>
      </c>
      <c r="F98" s="387">
        <v>0</v>
      </c>
      <c r="G98" s="388">
        <v>0</v>
      </c>
      <c r="H98" s="390">
        <v>4.9406564584124654E-324</v>
      </c>
      <c r="I98" s="387">
        <v>1.9762625833649862E-323</v>
      </c>
      <c r="J98" s="388">
        <v>1.9762625833649862E-323</v>
      </c>
      <c r="K98" s="398" t="s">
        <v>264</v>
      </c>
    </row>
    <row r="99" spans="1:11" ht="14.4" customHeight="1" thickBot="1" x14ac:dyDescent="0.35">
      <c r="A99" s="408" t="s">
        <v>355</v>
      </c>
      <c r="B99" s="392">
        <v>4.9406564584124654E-324</v>
      </c>
      <c r="C99" s="392">
        <v>2.3916400000000002</v>
      </c>
      <c r="D99" s="393">
        <v>2.3916400000000002</v>
      </c>
      <c r="E99" s="394" t="s">
        <v>270</v>
      </c>
      <c r="F99" s="392">
        <v>0</v>
      </c>
      <c r="G99" s="393">
        <v>0</v>
      </c>
      <c r="H99" s="395">
        <v>4.9406564584124654E-324</v>
      </c>
      <c r="I99" s="392">
        <v>1.9762625833649862E-323</v>
      </c>
      <c r="J99" s="393">
        <v>1.9762625833649862E-323</v>
      </c>
      <c r="K99" s="396" t="s">
        <v>264</v>
      </c>
    </row>
    <row r="100" spans="1:11" ht="14.4" customHeight="1" thickBot="1" x14ac:dyDescent="0.35">
      <c r="A100" s="409" t="s">
        <v>356</v>
      </c>
      <c r="B100" s="387">
        <v>4.9406564584124654E-324</v>
      </c>
      <c r="C100" s="387">
        <v>2.3916400000000002</v>
      </c>
      <c r="D100" s="388">
        <v>2.3916400000000002</v>
      </c>
      <c r="E100" s="397" t="s">
        <v>270</v>
      </c>
      <c r="F100" s="387">
        <v>0</v>
      </c>
      <c r="G100" s="388">
        <v>0</v>
      </c>
      <c r="H100" s="390">
        <v>4.9406564584124654E-324</v>
      </c>
      <c r="I100" s="387">
        <v>1.9762625833649862E-323</v>
      </c>
      <c r="J100" s="388">
        <v>1.9762625833649862E-323</v>
      </c>
      <c r="K100" s="398" t="s">
        <v>264</v>
      </c>
    </row>
    <row r="101" spans="1:11" ht="14.4" customHeight="1" thickBot="1" x14ac:dyDescent="0.35">
      <c r="A101" s="407" t="s">
        <v>357</v>
      </c>
      <c r="B101" s="387">
        <v>0</v>
      </c>
      <c r="C101" s="387">
        <v>77.265749999999997</v>
      </c>
      <c r="D101" s="388">
        <v>77.265749999999997</v>
      </c>
      <c r="E101" s="397" t="s">
        <v>264</v>
      </c>
      <c r="F101" s="387">
        <v>0</v>
      </c>
      <c r="G101" s="388">
        <v>0</v>
      </c>
      <c r="H101" s="390">
        <v>3</v>
      </c>
      <c r="I101" s="387">
        <v>52.856070000000003</v>
      </c>
      <c r="J101" s="388">
        <v>52.856070000000003</v>
      </c>
      <c r="K101" s="398" t="s">
        <v>264</v>
      </c>
    </row>
    <row r="102" spans="1:11" ht="14.4" customHeight="1" thickBot="1" x14ac:dyDescent="0.35">
      <c r="A102" s="408" t="s">
        <v>358</v>
      </c>
      <c r="B102" s="392">
        <v>0</v>
      </c>
      <c r="C102" s="392">
        <v>36.530749999999998</v>
      </c>
      <c r="D102" s="393">
        <v>36.530749999999998</v>
      </c>
      <c r="E102" s="394" t="s">
        <v>264</v>
      </c>
      <c r="F102" s="392">
        <v>0</v>
      </c>
      <c r="G102" s="393">
        <v>0</v>
      </c>
      <c r="H102" s="395">
        <v>3</v>
      </c>
      <c r="I102" s="392">
        <v>44.191070000000003</v>
      </c>
      <c r="J102" s="393">
        <v>44.191070000000003</v>
      </c>
      <c r="K102" s="396" t="s">
        <v>264</v>
      </c>
    </row>
    <row r="103" spans="1:11" ht="14.4" customHeight="1" thickBot="1" x14ac:dyDescent="0.35">
      <c r="A103" s="409" t="s">
        <v>359</v>
      </c>
      <c r="B103" s="387">
        <v>0</v>
      </c>
      <c r="C103" s="387">
        <v>1.7669999999999999</v>
      </c>
      <c r="D103" s="388">
        <v>1.7669999999999999</v>
      </c>
      <c r="E103" s="397" t="s">
        <v>264</v>
      </c>
      <c r="F103" s="387">
        <v>0</v>
      </c>
      <c r="G103" s="388">
        <v>0</v>
      </c>
      <c r="H103" s="390">
        <v>4.9406564584124654E-324</v>
      </c>
      <c r="I103" s="387">
        <v>1.9762625833649862E-323</v>
      </c>
      <c r="J103" s="388">
        <v>1.9762625833649862E-323</v>
      </c>
      <c r="K103" s="398" t="s">
        <v>264</v>
      </c>
    </row>
    <row r="104" spans="1:11" ht="14.4" customHeight="1" thickBot="1" x14ac:dyDescent="0.35">
      <c r="A104" s="409" t="s">
        <v>360</v>
      </c>
      <c r="B104" s="387">
        <v>0</v>
      </c>
      <c r="C104" s="387">
        <v>7.829999999999</v>
      </c>
      <c r="D104" s="388">
        <v>7.829999999999</v>
      </c>
      <c r="E104" s="397" t="s">
        <v>264</v>
      </c>
      <c r="F104" s="387">
        <v>0</v>
      </c>
      <c r="G104" s="388">
        <v>0</v>
      </c>
      <c r="H104" s="390">
        <v>4.9406564584124654E-324</v>
      </c>
      <c r="I104" s="387">
        <v>8.2349999999999994</v>
      </c>
      <c r="J104" s="388">
        <v>8.2349999999999994</v>
      </c>
      <c r="K104" s="398" t="s">
        <v>264</v>
      </c>
    </row>
    <row r="105" spans="1:11" ht="14.4" customHeight="1" thickBot="1" x14ac:dyDescent="0.35">
      <c r="A105" s="409" t="s">
        <v>361</v>
      </c>
      <c r="B105" s="387">
        <v>0</v>
      </c>
      <c r="C105" s="387">
        <v>26.93375</v>
      </c>
      <c r="D105" s="388">
        <v>26.93375</v>
      </c>
      <c r="E105" s="397" t="s">
        <v>264</v>
      </c>
      <c r="F105" s="387">
        <v>0</v>
      </c>
      <c r="G105" s="388">
        <v>0</v>
      </c>
      <c r="H105" s="390">
        <v>3</v>
      </c>
      <c r="I105" s="387">
        <v>29.91498</v>
      </c>
      <c r="J105" s="388">
        <v>29.91498</v>
      </c>
      <c r="K105" s="398" t="s">
        <v>264</v>
      </c>
    </row>
    <row r="106" spans="1:11" ht="14.4" customHeight="1" thickBot="1" x14ac:dyDescent="0.35">
      <c r="A106" s="409" t="s">
        <v>362</v>
      </c>
      <c r="B106" s="387">
        <v>0</v>
      </c>
      <c r="C106" s="387">
        <v>4.9406564584124654E-324</v>
      </c>
      <c r="D106" s="388">
        <v>4.9406564584124654E-324</v>
      </c>
      <c r="E106" s="397" t="s">
        <v>264</v>
      </c>
      <c r="F106" s="387">
        <v>4.9406564584124654E-324</v>
      </c>
      <c r="G106" s="388">
        <v>0</v>
      </c>
      <c r="H106" s="390">
        <v>4.9406564584124654E-324</v>
      </c>
      <c r="I106" s="387">
        <v>0.60499999999999998</v>
      </c>
      <c r="J106" s="388">
        <v>0.60499999999999998</v>
      </c>
      <c r="K106" s="398" t="s">
        <v>270</v>
      </c>
    </row>
    <row r="107" spans="1:11" ht="14.4" customHeight="1" thickBot="1" x14ac:dyDescent="0.35">
      <c r="A107" s="409" t="s">
        <v>363</v>
      </c>
      <c r="B107" s="387">
        <v>4.9406564584124654E-324</v>
      </c>
      <c r="C107" s="387">
        <v>4.9406564584124654E-324</v>
      </c>
      <c r="D107" s="388">
        <v>0</v>
      </c>
      <c r="E107" s="389">
        <v>1</v>
      </c>
      <c r="F107" s="387">
        <v>4.9406564584124654E-324</v>
      </c>
      <c r="G107" s="388">
        <v>0</v>
      </c>
      <c r="H107" s="390">
        <v>4.9406564584124654E-324</v>
      </c>
      <c r="I107" s="387">
        <v>5.4360900000000001</v>
      </c>
      <c r="J107" s="388">
        <v>5.4360900000000001</v>
      </c>
      <c r="K107" s="398" t="s">
        <v>270</v>
      </c>
    </row>
    <row r="108" spans="1:11" ht="14.4" customHeight="1" thickBot="1" x14ac:dyDescent="0.35">
      <c r="A108" s="411" t="s">
        <v>364</v>
      </c>
      <c r="B108" s="387">
        <v>0</v>
      </c>
      <c r="C108" s="387">
        <v>22.85</v>
      </c>
      <c r="D108" s="388">
        <v>22.85</v>
      </c>
      <c r="E108" s="397" t="s">
        <v>264</v>
      </c>
      <c r="F108" s="387">
        <v>0</v>
      </c>
      <c r="G108" s="388">
        <v>0</v>
      </c>
      <c r="H108" s="390">
        <v>4.9406564584124654E-324</v>
      </c>
      <c r="I108" s="387">
        <v>3.3</v>
      </c>
      <c r="J108" s="388">
        <v>3.3</v>
      </c>
      <c r="K108" s="398" t="s">
        <v>264</v>
      </c>
    </row>
    <row r="109" spans="1:11" ht="14.4" customHeight="1" thickBot="1" x14ac:dyDescent="0.35">
      <c r="A109" s="409" t="s">
        <v>365</v>
      </c>
      <c r="B109" s="387">
        <v>0</v>
      </c>
      <c r="C109" s="387">
        <v>22.85</v>
      </c>
      <c r="D109" s="388">
        <v>22.85</v>
      </c>
      <c r="E109" s="397" t="s">
        <v>264</v>
      </c>
      <c r="F109" s="387">
        <v>0</v>
      </c>
      <c r="G109" s="388">
        <v>0</v>
      </c>
      <c r="H109" s="390">
        <v>4.9406564584124654E-324</v>
      </c>
      <c r="I109" s="387">
        <v>3.3</v>
      </c>
      <c r="J109" s="388">
        <v>3.3</v>
      </c>
      <c r="K109" s="398" t="s">
        <v>264</v>
      </c>
    </row>
    <row r="110" spans="1:11" ht="14.4" customHeight="1" thickBot="1" x14ac:dyDescent="0.35">
      <c r="A110" s="411" t="s">
        <v>366</v>
      </c>
      <c r="B110" s="387">
        <v>4.9406564584124654E-324</v>
      </c>
      <c r="C110" s="387">
        <v>13.859</v>
      </c>
      <c r="D110" s="388">
        <v>13.859</v>
      </c>
      <c r="E110" s="397" t="s">
        <v>270</v>
      </c>
      <c r="F110" s="387">
        <v>0</v>
      </c>
      <c r="G110" s="388">
        <v>0</v>
      </c>
      <c r="H110" s="390">
        <v>4.9406564584124654E-324</v>
      </c>
      <c r="I110" s="387">
        <v>5.3650000000000002</v>
      </c>
      <c r="J110" s="388">
        <v>5.3650000000000002</v>
      </c>
      <c r="K110" s="398" t="s">
        <v>264</v>
      </c>
    </row>
    <row r="111" spans="1:11" ht="14.4" customHeight="1" thickBot="1" x14ac:dyDescent="0.35">
      <c r="A111" s="409" t="s">
        <v>367</v>
      </c>
      <c r="B111" s="387">
        <v>4.9406564584124654E-324</v>
      </c>
      <c r="C111" s="387">
        <v>13.859</v>
      </c>
      <c r="D111" s="388">
        <v>13.859</v>
      </c>
      <c r="E111" s="397" t="s">
        <v>270</v>
      </c>
      <c r="F111" s="387">
        <v>0</v>
      </c>
      <c r="G111" s="388">
        <v>0</v>
      </c>
      <c r="H111" s="390">
        <v>4.9406564584124654E-324</v>
      </c>
      <c r="I111" s="387">
        <v>5.3650000000000002</v>
      </c>
      <c r="J111" s="388">
        <v>5.3650000000000002</v>
      </c>
      <c r="K111" s="398" t="s">
        <v>264</v>
      </c>
    </row>
    <row r="112" spans="1:11" ht="14.4" customHeight="1" thickBot="1" x14ac:dyDescent="0.35">
      <c r="A112" s="408" t="s">
        <v>368</v>
      </c>
      <c r="B112" s="392">
        <v>0</v>
      </c>
      <c r="C112" s="392">
        <v>4.0259999999999998</v>
      </c>
      <c r="D112" s="393">
        <v>4.0259999999999998</v>
      </c>
      <c r="E112" s="394" t="s">
        <v>264</v>
      </c>
      <c r="F112" s="392">
        <v>0</v>
      </c>
      <c r="G112" s="393">
        <v>0</v>
      </c>
      <c r="H112" s="395">
        <v>4.9406564584124654E-324</v>
      </c>
      <c r="I112" s="392">
        <v>1.9762625833649862E-323</v>
      </c>
      <c r="J112" s="393">
        <v>1.9762625833649862E-323</v>
      </c>
      <c r="K112" s="396" t="s">
        <v>264</v>
      </c>
    </row>
    <row r="113" spans="1:11" ht="14.4" customHeight="1" thickBot="1" x14ac:dyDescent="0.35">
      <c r="A113" s="409" t="s">
        <v>369</v>
      </c>
      <c r="B113" s="387">
        <v>4.9406564584124654E-324</v>
      </c>
      <c r="C113" s="387">
        <v>4.0259999999999998</v>
      </c>
      <c r="D113" s="388">
        <v>4.0259999999999998</v>
      </c>
      <c r="E113" s="397" t="s">
        <v>270</v>
      </c>
      <c r="F113" s="387">
        <v>0</v>
      </c>
      <c r="G113" s="388">
        <v>0</v>
      </c>
      <c r="H113" s="390">
        <v>4.9406564584124654E-324</v>
      </c>
      <c r="I113" s="387">
        <v>1.9762625833649862E-323</v>
      </c>
      <c r="J113" s="388">
        <v>1.9762625833649862E-323</v>
      </c>
      <c r="K113" s="398" t="s">
        <v>264</v>
      </c>
    </row>
    <row r="114" spans="1:11" ht="14.4" customHeight="1" thickBot="1" x14ac:dyDescent="0.35">
      <c r="A114" s="406" t="s">
        <v>370</v>
      </c>
      <c r="B114" s="387">
        <v>2768.9999999998499</v>
      </c>
      <c r="C114" s="387">
        <v>2971.6813000000002</v>
      </c>
      <c r="D114" s="388">
        <v>202.68130000015299</v>
      </c>
      <c r="E114" s="389">
        <v>1.0731965691580001</v>
      </c>
      <c r="F114" s="387">
        <v>2821.9811064957298</v>
      </c>
      <c r="G114" s="388">
        <v>940.660368831911</v>
      </c>
      <c r="H114" s="390">
        <v>235.27099999999999</v>
      </c>
      <c r="I114" s="387">
        <v>960.09900000000096</v>
      </c>
      <c r="J114" s="388">
        <v>19.438631168090001</v>
      </c>
      <c r="K114" s="391">
        <v>0.340221625789</v>
      </c>
    </row>
    <row r="115" spans="1:11" ht="14.4" customHeight="1" thickBot="1" x14ac:dyDescent="0.35">
      <c r="A115" s="407" t="s">
        <v>371</v>
      </c>
      <c r="B115" s="387">
        <v>2768.9999999998499</v>
      </c>
      <c r="C115" s="387">
        <v>2813.3939999999998</v>
      </c>
      <c r="D115" s="388">
        <v>44.394000000153</v>
      </c>
      <c r="E115" s="389">
        <v>1.0160325027079999</v>
      </c>
      <c r="F115" s="387">
        <v>2821.9811064957298</v>
      </c>
      <c r="G115" s="388">
        <v>940.660368831911</v>
      </c>
      <c r="H115" s="390">
        <v>235.27099999999999</v>
      </c>
      <c r="I115" s="387">
        <v>941.09000000000106</v>
      </c>
      <c r="J115" s="388">
        <v>0.42963116809000002</v>
      </c>
      <c r="K115" s="391">
        <v>0.33348557785600003</v>
      </c>
    </row>
    <row r="116" spans="1:11" ht="14.4" customHeight="1" thickBot="1" x14ac:dyDescent="0.35">
      <c r="A116" s="408" t="s">
        <v>372</v>
      </c>
      <c r="B116" s="392">
        <v>2768.9999999998499</v>
      </c>
      <c r="C116" s="392">
        <v>2813.3939999999998</v>
      </c>
      <c r="D116" s="393">
        <v>44.394000000153</v>
      </c>
      <c r="E116" s="399">
        <v>1.0160325027079999</v>
      </c>
      <c r="F116" s="392">
        <v>2821.9811064957298</v>
      </c>
      <c r="G116" s="393">
        <v>940.660368831911</v>
      </c>
      <c r="H116" s="395">
        <v>235.27099999999999</v>
      </c>
      <c r="I116" s="392">
        <v>941.09000000000106</v>
      </c>
      <c r="J116" s="393">
        <v>0.42963116809000002</v>
      </c>
      <c r="K116" s="400">
        <v>0.33348557785600003</v>
      </c>
    </row>
    <row r="117" spans="1:11" ht="14.4" customHeight="1" thickBot="1" x14ac:dyDescent="0.35">
      <c r="A117" s="409" t="s">
        <v>373</v>
      </c>
      <c r="B117" s="387">
        <v>48.999999999997002</v>
      </c>
      <c r="C117" s="387">
        <v>49.436</v>
      </c>
      <c r="D117" s="388">
        <v>0.43600000000200001</v>
      </c>
      <c r="E117" s="389">
        <v>1.0088979591830001</v>
      </c>
      <c r="F117" s="387">
        <v>41.999999999998998</v>
      </c>
      <c r="G117" s="388">
        <v>13.999999999999</v>
      </c>
      <c r="H117" s="390">
        <v>3.528</v>
      </c>
      <c r="I117" s="387">
        <v>14.112</v>
      </c>
      <c r="J117" s="388">
        <v>0.112</v>
      </c>
      <c r="K117" s="391">
        <v>0.33600000000000002</v>
      </c>
    </row>
    <row r="118" spans="1:11" ht="14.4" customHeight="1" thickBot="1" x14ac:dyDescent="0.35">
      <c r="A118" s="409" t="s">
        <v>374</v>
      </c>
      <c r="B118" s="387">
        <v>414.99999999997698</v>
      </c>
      <c r="C118" s="387">
        <v>464.714</v>
      </c>
      <c r="D118" s="388">
        <v>49.714000000022999</v>
      </c>
      <c r="E118" s="389">
        <v>1.1197927710840001</v>
      </c>
      <c r="F118" s="387">
        <v>473.98116808502499</v>
      </c>
      <c r="G118" s="388">
        <v>157.99372269500799</v>
      </c>
      <c r="H118" s="390">
        <v>39.518999999999998</v>
      </c>
      <c r="I118" s="387">
        <v>158.07599999999999</v>
      </c>
      <c r="J118" s="388">
        <v>8.2277304991E-2</v>
      </c>
      <c r="K118" s="391">
        <v>0.33350692104200003</v>
      </c>
    </row>
    <row r="119" spans="1:11" ht="14.4" customHeight="1" thickBot="1" x14ac:dyDescent="0.35">
      <c r="A119" s="409" t="s">
        <v>375</v>
      </c>
      <c r="B119" s="387">
        <v>2299.9999999998699</v>
      </c>
      <c r="C119" s="387">
        <v>2294.0770000000002</v>
      </c>
      <c r="D119" s="388">
        <v>-5.9229999998730003</v>
      </c>
      <c r="E119" s="389">
        <v>0.99742478260800005</v>
      </c>
      <c r="F119" s="387">
        <v>2300.99999999996</v>
      </c>
      <c r="G119" s="388">
        <v>766.99999999998602</v>
      </c>
      <c r="H119" s="390">
        <v>191.78399999999999</v>
      </c>
      <c r="I119" s="387">
        <v>767.14200000000096</v>
      </c>
      <c r="J119" s="388">
        <v>0.14200000001400001</v>
      </c>
      <c r="K119" s="391">
        <v>0.33339504563200001</v>
      </c>
    </row>
    <row r="120" spans="1:11" ht="14.4" customHeight="1" thickBot="1" x14ac:dyDescent="0.35">
      <c r="A120" s="409" t="s">
        <v>376</v>
      </c>
      <c r="B120" s="387">
        <v>4.9999999999989999</v>
      </c>
      <c r="C120" s="387">
        <v>5.1669999999999998</v>
      </c>
      <c r="D120" s="388">
        <v>0.16700000000000001</v>
      </c>
      <c r="E120" s="389">
        <v>1.0334000000000001</v>
      </c>
      <c r="F120" s="387">
        <v>4.9999384107499996</v>
      </c>
      <c r="G120" s="388">
        <v>1.6666461369159999</v>
      </c>
      <c r="H120" s="390">
        <v>0.44</v>
      </c>
      <c r="I120" s="387">
        <v>1.76</v>
      </c>
      <c r="J120" s="388">
        <v>9.3353863083000005E-2</v>
      </c>
      <c r="K120" s="391">
        <v>0.352004335936</v>
      </c>
    </row>
    <row r="121" spans="1:11" ht="14.4" customHeight="1" thickBot="1" x14ac:dyDescent="0.35">
      <c r="A121" s="407" t="s">
        <v>377</v>
      </c>
      <c r="B121" s="387">
        <v>0</v>
      </c>
      <c r="C121" s="387">
        <v>158.28730000000101</v>
      </c>
      <c r="D121" s="388">
        <v>158.28730000000101</v>
      </c>
      <c r="E121" s="397" t="s">
        <v>264</v>
      </c>
      <c r="F121" s="387">
        <v>0</v>
      </c>
      <c r="G121" s="388">
        <v>0</v>
      </c>
      <c r="H121" s="390">
        <v>4.9406564584124654E-324</v>
      </c>
      <c r="I121" s="387">
        <v>19.009</v>
      </c>
      <c r="J121" s="388">
        <v>19.009</v>
      </c>
      <c r="K121" s="398" t="s">
        <v>264</v>
      </c>
    </row>
    <row r="122" spans="1:11" ht="14.4" customHeight="1" thickBot="1" x14ac:dyDescent="0.35">
      <c r="A122" s="408" t="s">
        <v>378</v>
      </c>
      <c r="B122" s="392">
        <v>0</v>
      </c>
      <c r="C122" s="392">
        <v>141.040300000001</v>
      </c>
      <c r="D122" s="393">
        <v>141.040300000001</v>
      </c>
      <c r="E122" s="394" t="s">
        <v>264</v>
      </c>
      <c r="F122" s="392">
        <v>0</v>
      </c>
      <c r="G122" s="393">
        <v>0</v>
      </c>
      <c r="H122" s="395">
        <v>4.9406564584124654E-324</v>
      </c>
      <c r="I122" s="392">
        <v>1.9762625833649862E-323</v>
      </c>
      <c r="J122" s="393">
        <v>1.9762625833649862E-323</v>
      </c>
      <c r="K122" s="396" t="s">
        <v>264</v>
      </c>
    </row>
    <row r="123" spans="1:11" ht="14.4" customHeight="1" thickBot="1" x14ac:dyDescent="0.35">
      <c r="A123" s="409" t="s">
        <v>379</v>
      </c>
      <c r="B123" s="387">
        <v>0</v>
      </c>
      <c r="C123" s="387">
        <v>141.040300000001</v>
      </c>
      <c r="D123" s="388">
        <v>141.040300000001</v>
      </c>
      <c r="E123" s="397" t="s">
        <v>264</v>
      </c>
      <c r="F123" s="387">
        <v>0</v>
      </c>
      <c r="G123" s="388">
        <v>0</v>
      </c>
      <c r="H123" s="390">
        <v>4.9406564584124654E-324</v>
      </c>
      <c r="I123" s="387">
        <v>1.9762625833649862E-323</v>
      </c>
      <c r="J123" s="388">
        <v>1.9762625833649862E-323</v>
      </c>
      <c r="K123" s="398" t="s">
        <v>264</v>
      </c>
    </row>
    <row r="124" spans="1:11" ht="14.4" customHeight="1" thickBot="1" x14ac:dyDescent="0.35">
      <c r="A124" s="408" t="s">
        <v>380</v>
      </c>
      <c r="B124" s="392">
        <v>0</v>
      </c>
      <c r="C124" s="392">
        <v>17.247</v>
      </c>
      <c r="D124" s="393">
        <v>17.247</v>
      </c>
      <c r="E124" s="394" t="s">
        <v>264</v>
      </c>
      <c r="F124" s="392">
        <v>0</v>
      </c>
      <c r="G124" s="393">
        <v>0</v>
      </c>
      <c r="H124" s="395">
        <v>4.9406564584124654E-324</v>
      </c>
      <c r="I124" s="392">
        <v>19.009</v>
      </c>
      <c r="J124" s="393">
        <v>19.009</v>
      </c>
      <c r="K124" s="396" t="s">
        <v>264</v>
      </c>
    </row>
    <row r="125" spans="1:11" ht="14.4" customHeight="1" thickBot="1" x14ac:dyDescent="0.35">
      <c r="A125" s="409" t="s">
        <v>381</v>
      </c>
      <c r="B125" s="387">
        <v>0</v>
      </c>
      <c r="C125" s="387">
        <v>17.247</v>
      </c>
      <c r="D125" s="388">
        <v>17.247</v>
      </c>
      <c r="E125" s="397" t="s">
        <v>264</v>
      </c>
      <c r="F125" s="387">
        <v>0</v>
      </c>
      <c r="G125" s="388">
        <v>0</v>
      </c>
      <c r="H125" s="390">
        <v>4.9406564584124654E-324</v>
      </c>
      <c r="I125" s="387">
        <v>19.009</v>
      </c>
      <c r="J125" s="388">
        <v>19.009</v>
      </c>
      <c r="K125" s="398" t="s">
        <v>264</v>
      </c>
    </row>
    <row r="126" spans="1:11" ht="14.4" customHeight="1" thickBot="1" x14ac:dyDescent="0.35">
      <c r="A126" s="406" t="s">
        <v>382</v>
      </c>
      <c r="B126" s="387">
        <v>0</v>
      </c>
      <c r="C126" s="387">
        <v>1.0579700000000001</v>
      </c>
      <c r="D126" s="388">
        <v>1.0579700000000001</v>
      </c>
      <c r="E126" s="397" t="s">
        <v>264</v>
      </c>
      <c r="F126" s="387">
        <v>0</v>
      </c>
      <c r="G126" s="388">
        <v>0</v>
      </c>
      <c r="H126" s="390">
        <v>4.9406564584124654E-324</v>
      </c>
      <c r="I126" s="387">
        <v>0.63882000000000005</v>
      </c>
      <c r="J126" s="388">
        <v>0.63882000000000005</v>
      </c>
      <c r="K126" s="398" t="s">
        <v>264</v>
      </c>
    </row>
    <row r="127" spans="1:11" ht="14.4" customHeight="1" thickBot="1" x14ac:dyDescent="0.35">
      <c r="A127" s="407" t="s">
        <v>383</v>
      </c>
      <c r="B127" s="387">
        <v>0</v>
      </c>
      <c r="C127" s="387">
        <v>1.0579700000000001</v>
      </c>
      <c r="D127" s="388">
        <v>1.0579700000000001</v>
      </c>
      <c r="E127" s="397" t="s">
        <v>264</v>
      </c>
      <c r="F127" s="387">
        <v>0</v>
      </c>
      <c r="G127" s="388">
        <v>0</v>
      </c>
      <c r="H127" s="390">
        <v>4.9406564584124654E-324</v>
      </c>
      <c r="I127" s="387">
        <v>0.63882000000000005</v>
      </c>
      <c r="J127" s="388">
        <v>0.63882000000000005</v>
      </c>
      <c r="K127" s="398" t="s">
        <v>264</v>
      </c>
    </row>
    <row r="128" spans="1:11" ht="14.4" customHeight="1" thickBot="1" x14ac:dyDescent="0.35">
      <c r="A128" s="408" t="s">
        <v>384</v>
      </c>
      <c r="B128" s="392">
        <v>0</v>
      </c>
      <c r="C128" s="392">
        <v>1.0579700000000001</v>
      </c>
      <c r="D128" s="393">
        <v>1.0579700000000001</v>
      </c>
      <c r="E128" s="394" t="s">
        <v>264</v>
      </c>
      <c r="F128" s="392">
        <v>0</v>
      </c>
      <c r="G128" s="393">
        <v>0</v>
      </c>
      <c r="H128" s="395">
        <v>4.9406564584124654E-324</v>
      </c>
      <c r="I128" s="392">
        <v>0.63882000000000005</v>
      </c>
      <c r="J128" s="393">
        <v>0.63882000000000005</v>
      </c>
      <c r="K128" s="396" t="s">
        <v>264</v>
      </c>
    </row>
    <row r="129" spans="1:11" ht="14.4" customHeight="1" thickBot="1" x14ac:dyDescent="0.35">
      <c r="A129" s="409" t="s">
        <v>385</v>
      </c>
      <c r="B129" s="387">
        <v>0</v>
      </c>
      <c r="C129" s="387">
        <v>1.0579700000000001</v>
      </c>
      <c r="D129" s="388">
        <v>1.0579700000000001</v>
      </c>
      <c r="E129" s="397" t="s">
        <v>264</v>
      </c>
      <c r="F129" s="387">
        <v>0</v>
      </c>
      <c r="G129" s="388">
        <v>0</v>
      </c>
      <c r="H129" s="390">
        <v>4.9406564584124654E-324</v>
      </c>
      <c r="I129" s="387">
        <v>0.63882000000000005</v>
      </c>
      <c r="J129" s="388">
        <v>0.63882000000000005</v>
      </c>
      <c r="K129" s="398" t="s">
        <v>264</v>
      </c>
    </row>
    <row r="130" spans="1:11" ht="14.4" customHeight="1" thickBot="1" x14ac:dyDescent="0.35">
      <c r="A130" s="405" t="s">
        <v>386</v>
      </c>
      <c r="B130" s="387">
        <v>49583.175138640603</v>
      </c>
      <c r="C130" s="387">
        <v>51664.219680000002</v>
      </c>
      <c r="D130" s="388">
        <v>2081.0445413594298</v>
      </c>
      <c r="E130" s="389">
        <v>1.0419707801189999</v>
      </c>
      <c r="F130" s="387">
        <v>52299.513625355699</v>
      </c>
      <c r="G130" s="388">
        <v>17433.171208451899</v>
      </c>
      <c r="H130" s="390">
        <v>4549.44373</v>
      </c>
      <c r="I130" s="387">
        <v>19604.254959999998</v>
      </c>
      <c r="J130" s="388">
        <v>2171.0837515481098</v>
      </c>
      <c r="K130" s="391">
        <v>0.37484583700700003</v>
      </c>
    </row>
    <row r="131" spans="1:11" ht="14.4" customHeight="1" thickBot="1" x14ac:dyDescent="0.35">
      <c r="A131" s="406" t="s">
        <v>387</v>
      </c>
      <c r="B131" s="387">
        <v>49416.8747250948</v>
      </c>
      <c r="C131" s="387">
        <v>51005.718200000003</v>
      </c>
      <c r="D131" s="388">
        <v>1588.8434749052401</v>
      </c>
      <c r="E131" s="389">
        <v>1.032151840514</v>
      </c>
      <c r="F131" s="387">
        <v>52281.843154549199</v>
      </c>
      <c r="G131" s="388">
        <v>17427.281051516398</v>
      </c>
      <c r="H131" s="390">
        <v>4544.9648699999998</v>
      </c>
      <c r="I131" s="387">
        <v>19561.739290000001</v>
      </c>
      <c r="J131" s="388">
        <v>2134.4582384835799</v>
      </c>
      <c r="K131" s="391">
        <v>0.37415932778299998</v>
      </c>
    </row>
    <row r="132" spans="1:11" ht="14.4" customHeight="1" thickBot="1" x14ac:dyDescent="0.35">
      <c r="A132" s="407" t="s">
        <v>388</v>
      </c>
      <c r="B132" s="387">
        <v>49416.8747250948</v>
      </c>
      <c r="C132" s="387">
        <v>51005.718200000003</v>
      </c>
      <c r="D132" s="388">
        <v>1588.8434749052401</v>
      </c>
      <c r="E132" s="389">
        <v>1.032151840514</v>
      </c>
      <c r="F132" s="387">
        <v>52281.843154549199</v>
      </c>
      <c r="G132" s="388">
        <v>17427.281051516398</v>
      </c>
      <c r="H132" s="390">
        <v>4544.9648699999998</v>
      </c>
      <c r="I132" s="387">
        <v>19561.739290000001</v>
      </c>
      <c r="J132" s="388">
        <v>2134.4582384835799</v>
      </c>
      <c r="K132" s="391">
        <v>0.37415932778299998</v>
      </c>
    </row>
    <row r="133" spans="1:11" ht="14.4" customHeight="1" thickBot="1" x14ac:dyDescent="0.35">
      <c r="A133" s="408" t="s">
        <v>389</v>
      </c>
      <c r="B133" s="392">
        <v>175.87510833331399</v>
      </c>
      <c r="C133" s="392">
        <v>678.56201999999996</v>
      </c>
      <c r="D133" s="393">
        <v>502.686911666686</v>
      </c>
      <c r="E133" s="399">
        <v>3.858203849483</v>
      </c>
      <c r="F133" s="392">
        <v>523.84315454924194</v>
      </c>
      <c r="G133" s="393">
        <v>174.61438484974701</v>
      </c>
      <c r="H133" s="395">
        <v>37.687730000000002</v>
      </c>
      <c r="I133" s="392">
        <v>213.61799999999999</v>
      </c>
      <c r="J133" s="393">
        <v>39.003615150252003</v>
      </c>
      <c r="K133" s="400">
        <v>0.407790000012</v>
      </c>
    </row>
    <row r="134" spans="1:11" ht="14.4" customHeight="1" thickBot="1" x14ac:dyDescent="0.35">
      <c r="A134" s="409" t="s">
        <v>390</v>
      </c>
      <c r="B134" s="387">
        <v>32.230134261220996</v>
      </c>
      <c r="C134" s="387">
        <v>382.94152000000003</v>
      </c>
      <c r="D134" s="388">
        <v>350.71138573877801</v>
      </c>
      <c r="E134" s="389">
        <v>11.881474550999</v>
      </c>
      <c r="F134" s="387">
        <v>286.764656544758</v>
      </c>
      <c r="G134" s="388">
        <v>95.588218848251998</v>
      </c>
      <c r="H134" s="390">
        <v>7.1999999999999995E-2</v>
      </c>
      <c r="I134" s="387">
        <v>146.15299999999999</v>
      </c>
      <c r="J134" s="388">
        <v>50.564781151746999</v>
      </c>
      <c r="K134" s="391">
        <v>0.50966183127599995</v>
      </c>
    </row>
    <row r="135" spans="1:11" ht="14.4" customHeight="1" thickBot="1" x14ac:dyDescent="0.35">
      <c r="A135" s="409" t="s">
        <v>391</v>
      </c>
      <c r="B135" s="387">
        <v>4.0272381247729996</v>
      </c>
      <c r="C135" s="387">
        <v>4.1294399999999998</v>
      </c>
      <c r="D135" s="388">
        <v>0.10220187522599999</v>
      </c>
      <c r="E135" s="389">
        <v>1.0253776588470001</v>
      </c>
      <c r="F135" s="387">
        <v>4.8157673596199997</v>
      </c>
      <c r="G135" s="388">
        <v>1.6052557865399999</v>
      </c>
      <c r="H135" s="390">
        <v>4.9406564584124654E-324</v>
      </c>
      <c r="I135" s="387">
        <v>1.9762625833649862E-323</v>
      </c>
      <c r="J135" s="388">
        <v>-1.6052557865399999</v>
      </c>
      <c r="K135" s="391">
        <v>4.9406564584124654E-324</v>
      </c>
    </row>
    <row r="136" spans="1:11" ht="14.4" customHeight="1" thickBot="1" x14ac:dyDescent="0.35">
      <c r="A136" s="409" t="s">
        <v>392</v>
      </c>
      <c r="B136" s="387">
        <v>139.61773594731901</v>
      </c>
      <c r="C136" s="387">
        <v>291.49106</v>
      </c>
      <c r="D136" s="388">
        <v>151.873324052681</v>
      </c>
      <c r="E136" s="389">
        <v>2.087779593489</v>
      </c>
      <c r="F136" s="387">
        <v>232.26273064486401</v>
      </c>
      <c r="G136" s="388">
        <v>77.420910214954006</v>
      </c>
      <c r="H136" s="390">
        <v>37.615729999999999</v>
      </c>
      <c r="I136" s="387">
        <v>67.465000000000003</v>
      </c>
      <c r="J136" s="388">
        <v>-9.9559102149540006</v>
      </c>
      <c r="K136" s="391">
        <v>0.29046846996300002</v>
      </c>
    </row>
    <row r="137" spans="1:11" ht="14.4" customHeight="1" thickBot="1" x14ac:dyDescent="0.35">
      <c r="A137" s="408" t="s">
        <v>393</v>
      </c>
      <c r="B137" s="392">
        <v>6.0000267389689999</v>
      </c>
      <c r="C137" s="392">
        <v>60.861170000000001</v>
      </c>
      <c r="D137" s="393">
        <v>54.861143261030001</v>
      </c>
      <c r="E137" s="399">
        <v>10.143483128951001</v>
      </c>
      <c r="F137" s="392">
        <v>0</v>
      </c>
      <c r="G137" s="393">
        <v>0</v>
      </c>
      <c r="H137" s="395">
        <v>9.9940000000000001E-2</v>
      </c>
      <c r="I137" s="392">
        <v>3.0580400000000001</v>
      </c>
      <c r="J137" s="393">
        <v>3.0580400000000001</v>
      </c>
      <c r="K137" s="396" t="s">
        <v>264</v>
      </c>
    </row>
    <row r="138" spans="1:11" ht="14.4" customHeight="1" thickBot="1" x14ac:dyDescent="0.35">
      <c r="A138" s="409" t="s">
        <v>394</v>
      </c>
      <c r="B138" s="387">
        <v>2.000027896173</v>
      </c>
      <c r="C138" s="387">
        <v>59.094569999999997</v>
      </c>
      <c r="D138" s="388">
        <v>57.094542103826001</v>
      </c>
      <c r="E138" s="389">
        <v>29.546872877651001</v>
      </c>
      <c r="F138" s="387">
        <v>0</v>
      </c>
      <c r="G138" s="388">
        <v>0</v>
      </c>
      <c r="H138" s="390">
        <v>9.9940000000000001E-2</v>
      </c>
      <c r="I138" s="387">
        <v>3.0580400000000001</v>
      </c>
      <c r="J138" s="388">
        <v>3.0580400000000001</v>
      </c>
      <c r="K138" s="398" t="s">
        <v>264</v>
      </c>
    </row>
    <row r="139" spans="1:11" ht="14.4" customHeight="1" thickBot="1" x14ac:dyDescent="0.35">
      <c r="A139" s="409" t="s">
        <v>395</v>
      </c>
      <c r="B139" s="387">
        <v>3.9999988427959998</v>
      </c>
      <c r="C139" s="387">
        <v>1.7665999999999999</v>
      </c>
      <c r="D139" s="388">
        <v>-2.2333988427959999</v>
      </c>
      <c r="E139" s="389">
        <v>0.44165012776899998</v>
      </c>
      <c r="F139" s="387">
        <v>0</v>
      </c>
      <c r="G139" s="388">
        <v>0</v>
      </c>
      <c r="H139" s="390">
        <v>4.9406564584124654E-324</v>
      </c>
      <c r="I139" s="387">
        <v>1.9762625833649862E-323</v>
      </c>
      <c r="J139" s="388">
        <v>1.9762625833649862E-323</v>
      </c>
      <c r="K139" s="398" t="s">
        <v>264</v>
      </c>
    </row>
    <row r="140" spans="1:11" ht="14.4" customHeight="1" thickBot="1" x14ac:dyDescent="0.35">
      <c r="A140" s="408" t="s">
        <v>396</v>
      </c>
      <c r="B140" s="392">
        <v>13.999758106966</v>
      </c>
      <c r="C140" s="392">
        <v>90.196690000000004</v>
      </c>
      <c r="D140" s="393">
        <v>76.196931893032996</v>
      </c>
      <c r="E140" s="399">
        <v>6.4427320322849999</v>
      </c>
      <c r="F140" s="392">
        <v>0</v>
      </c>
      <c r="G140" s="393">
        <v>0</v>
      </c>
      <c r="H140" s="395">
        <v>0.3906</v>
      </c>
      <c r="I140" s="392">
        <v>35.56823</v>
      </c>
      <c r="J140" s="393">
        <v>35.56823</v>
      </c>
      <c r="K140" s="396" t="s">
        <v>264</v>
      </c>
    </row>
    <row r="141" spans="1:11" ht="14.4" customHeight="1" thickBot="1" x14ac:dyDescent="0.35">
      <c r="A141" s="409" t="s">
        <v>397</v>
      </c>
      <c r="B141" s="387">
        <v>12.999560239277001</v>
      </c>
      <c r="C141" s="387">
        <v>26.203769999999999</v>
      </c>
      <c r="D141" s="388">
        <v>13.204209760722</v>
      </c>
      <c r="E141" s="389">
        <v>2.0157428034240001</v>
      </c>
      <c r="F141" s="387">
        <v>0</v>
      </c>
      <c r="G141" s="388">
        <v>0</v>
      </c>
      <c r="H141" s="390">
        <v>4.9406564584124654E-324</v>
      </c>
      <c r="I141" s="387">
        <v>2.2799999999999998</v>
      </c>
      <c r="J141" s="388">
        <v>2.2799999999999998</v>
      </c>
      <c r="K141" s="398" t="s">
        <v>264</v>
      </c>
    </row>
    <row r="142" spans="1:11" ht="14.4" customHeight="1" thickBot="1" x14ac:dyDescent="0.35">
      <c r="A142" s="409" t="s">
        <v>398</v>
      </c>
      <c r="B142" s="387">
        <v>1.000197867689</v>
      </c>
      <c r="C142" s="387">
        <v>63.992919999999998</v>
      </c>
      <c r="D142" s="388">
        <v>62.99272213231</v>
      </c>
      <c r="E142" s="389">
        <v>63.980260373729998</v>
      </c>
      <c r="F142" s="387">
        <v>0</v>
      </c>
      <c r="G142" s="388">
        <v>0</v>
      </c>
      <c r="H142" s="390">
        <v>0.3906</v>
      </c>
      <c r="I142" s="387">
        <v>33.288229999999999</v>
      </c>
      <c r="J142" s="388">
        <v>33.288229999999999</v>
      </c>
      <c r="K142" s="398" t="s">
        <v>264</v>
      </c>
    </row>
    <row r="143" spans="1:11" ht="14.4" customHeight="1" thickBot="1" x14ac:dyDescent="0.35">
      <c r="A143" s="408" t="s">
        <v>399</v>
      </c>
      <c r="B143" s="392">
        <v>4.9406564584124654E-324</v>
      </c>
      <c r="C143" s="392">
        <v>-1.06456</v>
      </c>
      <c r="D143" s="393">
        <v>-1.06456</v>
      </c>
      <c r="E143" s="394" t="s">
        <v>270</v>
      </c>
      <c r="F143" s="392">
        <v>0</v>
      </c>
      <c r="G143" s="393">
        <v>0</v>
      </c>
      <c r="H143" s="395">
        <v>4.9406564584124654E-324</v>
      </c>
      <c r="I143" s="392">
        <v>1.9762625833649862E-323</v>
      </c>
      <c r="J143" s="393">
        <v>1.9762625833649862E-323</v>
      </c>
      <c r="K143" s="396" t="s">
        <v>264</v>
      </c>
    </row>
    <row r="144" spans="1:11" ht="14.4" customHeight="1" thickBot="1" x14ac:dyDescent="0.35">
      <c r="A144" s="409" t="s">
        <v>400</v>
      </c>
      <c r="B144" s="387">
        <v>4.9406564584124654E-324</v>
      </c>
      <c r="C144" s="387">
        <v>-1.06456</v>
      </c>
      <c r="D144" s="388">
        <v>-1.06456</v>
      </c>
      <c r="E144" s="397" t="s">
        <v>270</v>
      </c>
      <c r="F144" s="387">
        <v>0</v>
      </c>
      <c r="G144" s="388">
        <v>0</v>
      </c>
      <c r="H144" s="390">
        <v>4.9406564584124654E-324</v>
      </c>
      <c r="I144" s="387">
        <v>1.9762625833649862E-323</v>
      </c>
      <c r="J144" s="388">
        <v>1.9762625833649862E-323</v>
      </c>
      <c r="K144" s="398" t="s">
        <v>264</v>
      </c>
    </row>
    <row r="145" spans="1:11" ht="14.4" customHeight="1" thickBot="1" x14ac:dyDescent="0.35">
      <c r="A145" s="408" t="s">
        <v>401</v>
      </c>
      <c r="B145" s="392">
        <v>49220.999831915498</v>
      </c>
      <c r="C145" s="392">
        <v>47636.517059999998</v>
      </c>
      <c r="D145" s="393">
        <v>-1584.4827719155101</v>
      </c>
      <c r="E145" s="399">
        <v>0.96780880564500005</v>
      </c>
      <c r="F145" s="392">
        <v>51758</v>
      </c>
      <c r="G145" s="393">
        <v>17252.666666666701</v>
      </c>
      <c r="H145" s="395">
        <v>4506.7866000000004</v>
      </c>
      <c r="I145" s="392">
        <v>19054.045740000001</v>
      </c>
      <c r="J145" s="393">
        <v>1801.3790733333301</v>
      </c>
      <c r="K145" s="400">
        <v>0.368137210479</v>
      </c>
    </row>
    <row r="146" spans="1:11" ht="14.4" customHeight="1" thickBot="1" x14ac:dyDescent="0.35">
      <c r="A146" s="409" t="s">
        <v>402</v>
      </c>
      <c r="B146" s="387">
        <v>16832.999949252699</v>
      </c>
      <c r="C146" s="387">
        <v>17519.613160000001</v>
      </c>
      <c r="D146" s="388">
        <v>686.61321074733098</v>
      </c>
      <c r="E146" s="389">
        <v>1.040789711448</v>
      </c>
      <c r="F146" s="387">
        <v>18476</v>
      </c>
      <c r="G146" s="388">
        <v>6158.6666666666697</v>
      </c>
      <c r="H146" s="390">
        <v>1648.0317600000001</v>
      </c>
      <c r="I146" s="387">
        <v>6373.8146800000004</v>
      </c>
      <c r="J146" s="388">
        <v>215.14801333333099</v>
      </c>
      <c r="K146" s="391">
        <v>0.34497806235099998</v>
      </c>
    </row>
    <row r="147" spans="1:11" ht="14.4" customHeight="1" thickBot="1" x14ac:dyDescent="0.35">
      <c r="A147" s="409" t="s">
        <v>403</v>
      </c>
      <c r="B147" s="387">
        <v>32387.9998826628</v>
      </c>
      <c r="C147" s="387">
        <v>30116.903900000001</v>
      </c>
      <c r="D147" s="388">
        <v>-2271.09598266285</v>
      </c>
      <c r="E147" s="389">
        <v>0.92987847378900002</v>
      </c>
      <c r="F147" s="387">
        <v>33282</v>
      </c>
      <c r="G147" s="388">
        <v>11094</v>
      </c>
      <c r="H147" s="390">
        <v>2858.7548400000001</v>
      </c>
      <c r="I147" s="387">
        <v>12680.23106</v>
      </c>
      <c r="J147" s="388">
        <v>1586.2310600000001</v>
      </c>
      <c r="K147" s="391">
        <v>0.38099366203899998</v>
      </c>
    </row>
    <row r="148" spans="1:11" ht="14.4" customHeight="1" thickBot="1" x14ac:dyDescent="0.35">
      <c r="A148" s="408" t="s">
        <v>404</v>
      </c>
      <c r="B148" s="392">
        <v>0</v>
      </c>
      <c r="C148" s="392">
        <v>2540.6458200000002</v>
      </c>
      <c r="D148" s="393">
        <v>2540.6458200000002</v>
      </c>
      <c r="E148" s="394" t="s">
        <v>264</v>
      </c>
      <c r="F148" s="392">
        <v>0</v>
      </c>
      <c r="G148" s="393">
        <v>0</v>
      </c>
      <c r="H148" s="395">
        <v>4.9406564584124654E-324</v>
      </c>
      <c r="I148" s="392">
        <v>255.44927999999999</v>
      </c>
      <c r="J148" s="393">
        <v>255.44927999999999</v>
      </c>
      <c r="K148" s="396" t="s">
        <v>264</v>
      </c>
    </row>
    <row r="149" spans="1:11" ht="14.4" customHeight="1" thickBot="1" x14ac:dyDescent="0.35">
      <c r="A149" s="409" t="s">
        <v>405</v>
      </c>
      <c r="B149" s="387">
        <v>4.9406564584124654E-324</v>
      </c>
      <c r="C149" s="387">
        <v>1387.2119700000001</v>
      </c>
      <c r="D149" s="388">
        <v>1387.2119700000001</v>
      </c>
      <c r="E149" s="397" t="s">
        <v>270</v>
      </c>
      <c r="F149" s="387">
        <v>0</v>
      </c>
      <c r="G149" s="388">
        <v>0</v>
      </c>
      <c r="H149" s="390">
        <v>4.9406564584124654E-324</v>
      </c>
      <c r="I149" s="387">
        <v>101.23718</v>
      </c>
      <c r="J149" s="388">
        <v>101.23718</v>
      </c>
      <c r="K149" s="398" t="s">
        <v>264</v>
      </c>
    </row>
    <row r="150" spans="1:11" ht="14.4" customHeight="1" thickBot="1" x14ac:dyDescent="0.35">
      <c r="A150" s="409" t="s">
        <v>406</v>
      </c>
      <c r="B150" s="387">
        <v>0</v>
      </c>
      <c r="C150" s="387">
        <v>1153.4338499999999</v>
      </c>
      <c r="D150" s="388">
        <v>1153.4338499999999</v>
      </c>
      <c r="E150" s="397" t="s">
        <v>264</v>
      </c>
      <c r="F150" s="387">
        <v>0</v>
      </c>
      <c r="G150" s="388">
        <v>0</v>
      </c>
      <c r="H150" s="390">
        <v>4.9406564584124654E-324</v>
      </c>
      <c r="I150" s="387">
        <v>154.21209999999999</v>
      </c>
      <c r="J150" s="388">
        <v>154.21209999999999</v>
      </c>
      <c r="K150" s="398" t="s">
        <v>264</v>
      </c>
    </row>
    <row r="151" spans="1:11" ht="14.4" customHeight="1" thickBot="1" x14ac:dyDescent="0.35">
      <c r="A151" s="406" t="s">
        <v>407</v>
      </c>
      <c r="B151" s="387">
        <v>123.30041354581</v>
      </c>
      <c r="C151" s="387">
        <v>658.50148000000002</v>
      </c>
      <c r="D151" s="388">
        <v>535.20106645419003</v>
      </c>
      <c r="E151" s="389">
        <v>5.3406266942920002</v>
      </c>
      <c r="F151" s="387">
        <v>17.670470806421999</v>
      </c>
      <c r="G151" s="388">
        <v>5.8901569354739998</v>
      </c>
      <c r="H151" s="390">
        <v>4.4788600000000001</v>
      </c>
      <c r="I151" s="387">
        <v>42.492249999999999</v>
      </c>
      <c r="J151" s="388">
        <v>36.602093064525</v>
      </c>
      <c r="K151" s="391">
        <v>2.4047038964320002</v>
      </c>
    </row>
    <row r="152" spans="1:11" ht="14.4" customHeight="1" thickBot="1" x14ac:dyDescent="0.35">
      <c r="A152" s="407" t="s">
        <v>408</v>
      </c>
      <c r="B152" s="387">
        <v>107.582339403258</v>
      </c>
      <c r="C152" s="387">
        <v>624.51260000000002</v>
      </c>
      <c r="D152" s="388">
        <v>516.93026059674196</v>
      </c>
      <c r="E152" s="389">
        <v>5.804973227614</v>
      </c>
      <c r="F152" s="387">
        <v>0</v>
      </c>
      <c r="G152" s="388">
        <v>0</v>
      </c>
      <c r="H152" s="390">
        <v>4.9406564584124654E-324</v>
      </c>
      <c r="I152" s="387">
        <v>1.9762625833649862E-323</v>
      </c>
      <c r="J152" s="388">
        <v>1.9762625833649862E-323</v>
      </c>
      <c r="K152" s="398" t="s">
        <v>264</v>
      </c>
    </row>
    <row r="153" spans="1:11" ht="14.4" customHeight="1" thickBot="1" x14ac:dyDescent="0.35">
      <c r="A153" s="408" t="s">
        <v>409</v>
      </c>
      <c r="B153" s="392">
        <v>107.582339403258</v>
      </c>
      <c r="C153" s="392">
        <v>624.51260000000002</v>
      </c>
      <c r="D153" s="393">
        <v>516.93026059674196</v>
      </c>
      <c r="E153" s="399">
        <v>5.804973227614</v>
      </c>
      <c r="F153" s="392">
        <v>0</v>
      </c>
      <c r="G153" s="393">
        <v>0</v>
      </c>
      <c r="H153" s="395">
        <v>4.9406564584124654E-324</v>
      </c>
      <c r="I153" s="392">
        <v>1.9762625833649862E-323</v>
      </c>
      <c r="J153" s="393">
        <v>1.9762625833649862E-323</v>
      </c>
      <c r="K153" s="396" t="s">
        <v>264</v>
      </c>
    </row>
    <row r="154" spans="1:11" ht="14.4" customHeight="1" thickBot="1" x14ac:dyDescent="0.35">
      <c r="A154" s="409" t="s">
        <v>410</v>
      </c>
      <c r="B154" s="387">
        <v>0</v>
      </c>
      <c r="C154" s="387">
        <v>575.29179999999997</v>
      </c>
      <c r="D154" s="388">
        <v>575.29179999999997</v>
      </c>
      <c r="E154" s="397" t="s">
        <v>264</v>
      </c>
      <c r="F154" s="387">
        <v>0</v>
      </c>
      <c r="G154" s="388">
        <v>0</v>
      </c>
      <c r="H154" s="390">
        <v>4.9406564584124654E-324</v>
      </c>
      <c r="I154" s="387">
        <v>1.9762625833649862E-323</v>
      </c>
      <c r="J154" s="388">
        <v>1.9762625833649862E-323</v>
      </c>
      <c r="K154" s="398" t="s">
        <v>264</v>
      </c>
    </row>
    <row r="155" spans="1:11" ht="14.4" customHeight="1" thickBot="1" x14ac:dyDescent="0.35">
      <c r="A155" s="409" t="s">
        <v>411</v>
      </c>
      <c r="B155" s="387">
        <v>0</v>
      </c>
      <c r="C155" s="387">
        <v>13.61553</v>
      </c>
      <c r="D155" s="388">
        <v>13.61553</v>
      </c>
      <c r="E155" s="397" t="s">
        <v>264</v>
      </c>
      <c r="F155" s="387">
        <v>0</v>
      </c>
      <c r="G155" s="388">
        <v>0</v>
      </c>
      <c r="H155" s="390">
        <v>4.9406564584124654E-324</v>
      </c>
      <c r="I155" s="387">
        <v>1.9762625833649862E-323</v>
      </c>
      <c r="J155" s="388">
        <v>1.9762625833649862E-323</v>
      </c>
      <c r="K155" s="398" t="s">
        <v>264</v>
      </c>
    </row>
    <row r="156" spans="1:11" ht="14.4" customHeight="1" thickBot="1" x14ac:dyDescent="0.35">
      <c r="A156" s="409" t="s">
        <v>412</v>
      </c>
      <c r="B156" s="387">
        <v>0</v>
      </c>
      <c r="C156" s="387">
        <v>35.605269999999997</v>
      </c>
      <c r="D156" s="388">
        <v>35.605269999999997</v>
      </c>
      <c r="E156" s="397" t="s">
        <v>264</v>
      </c>
      <c r="F156" s="387">
        <v>0</v>
      </c>
      <c r="G156" s="388">
        <v>0</v>
      </c>
      <c r="H156" s="390">
        <v>4.9406564584124654E-324</v>
      </c>
      <c r="I156" s="387">
        <v>1.9762625833649862E-323</v>
      </c>
      <c r="J156" s="388">
        <v>1.9762625833649862E-323</v>
      </c>
      <c r="K156" s="398" t="s">
        <v>264</v>
      </c>
    </row>
    <row r="157" spans="1:11" ht="14.4" customHeight="1" thickBot="1" x14ac:dyDescent="0.35">
      <c r="A157" s="412" t="s">
        <v>413</v>
      </c>
      <c r="B157" s="392">
        <v>15.718074142552</v>
      </c>
      <c r="C157" s="392">
        <v>33.988880000000002</v>
      </c>
      <c r="D157" s="393">
        <v>18.270805857447002</v>
      </c>
      <c r="E157" s="399">
        <v>2.1624074102040001</v>
      </c>
      <c r="F157" s="392">
        <v>17.670470806421999</v>
      </c>
      <c r="G157" s="393">
        <v>5.8901569354739998</v>
      </c>
      <c r="H157" s="395">
        <v>4.4788600000000001</v>
      </c>
      <c r="I157" s="392">
        <v>42.492249999999999</v>
      </c>
      <c r="J157" s="393">
        <v>36.602093064525</v>
      </c>
      <c r="K157" s="400">
        <v>2.4047038964320002</v>
      </c>
    </row>
    <row r="158" spans="1:11" ht="14.4" customHeight="1" thickBot="1" x14ac:dyDescent="0.35">
      <c r="A158" s="408" t="s">
        <v>414</v>
      </c>
      <c r="B158" s="392">
        <v>0</v>
      </c>
      <c r="C158" s="392">
        <v>-2.5999999999999998E-4</v>
      </c>
      <c r="D158" s="393">
        <v>-2.5999999999999998E-4</v>
      </c>
      <c r="E158" s="394" t="s">
        <v>264</v>
      </c>
      <c r="F158" s="392">
        <v>0</v>
      </c>
      <c r="G158" s="393">
        <v>0</v>
      </c>
      <c r="H158" s="395">
        <v>6.0000000000000002E-5</v>
      </c>
      <c r="I158" s="392">
        <v>9.0000000000000006E-5</v>
      </c>
      <c r="J158" s="393">
        <v>9.0000000000000006E-5</v>
      </c>
      <c r="K158" s="396" t="s">
        <v>264</v>
      </c>
    </row>
    <row r="159" spans="1:11" ht="14.4" customHeight="1" thickBot="1" x14ac:dyDescent="0.35">
      <c r="A159" s="409" t="s">
        <v>415</v>
      </c>
      <c r="B159" s="387">
        <v>0</v>
      </c>
      <c r="C159" s="387">
        <v>-2.5999999999999998E-4</v>
      </c>
      <c r="D159" s="388">
        <v>-2.5999999999999998E-4</v>
      </c>
      <c r="E159" s="397" t="s">
        <v>264</v>
      </c>
      <c r="F159" s="387">
        <v>0</v>
      </c>
      <c r="G159" s="388">
        <v>0</v>
      </c>
      <c r="H159" s="390">
        <v>6.0000000000000002E-5</v>
      </c>
      <c r="I159" s="387">
        <v>9.0000000000000006E-5</v>
      </c>
      <c r="J159" s="388">
        <v>9.0000000000000006E-5</v>
      </c>
      <c r="K159" s="398" t="s">
        <v>264</v>
      </c>
    </row>
    <row r="160" spans="1:11" ht="14.4" customHeight="1" thickBot="1" x14ac:dyDescent="0.35">
      <c r="A160" s="408" t="s">
        <v>416</v>
      </c>
      <c r="B160" s="392">
        <v>15.718074142552</v>
      </c>
      <c r="C160" s="392">
        <v>16.742139999999999</v>
      </c>
      <c r="D160" s="393">
        <v>1.0240658574470001</v>
      </c>
      <c r="E160" s="399">
        <v>1.0651521203009999</v>
      </c>
      <c r="F160" s="392">
        <v>17.670470806421999</v>
      </c>
      <c r="G160" s="393">
        <v>5.8901569354739998</v>
      </c>
      <c r="H160" s="395">
        <v>4.4787999999999997</v>
      </c>
      <c r="I160" s="392">
        <v>23.483160000000002</v>
      </c>
      <c r="J160" s="393">
        <v>17.593003064525</v>
      </c>
      <c r="K160" s="400">
        <v>1.328949310816</v>
      </c>
    </row>
    <row r="161" spans="1:11" ht="14.4" customHeight="1" thickBot="1" x14ac:dyDescent="0.35">
      <c r="A161" s="409" t="s">
        <v>417</v>
      </c>
      <c r="B161" s="387">
        <v>0</v>
      </c>
      <c r="C161" s="387">
        <v>0.98199999999999998</v>
      </c>
      <c r="D161" s="388">
        <v>0.98199999999999998</v>
      </c>
      <c r="E161" s="397" t="s">
        <v>264</v>
      </c>
      <c r="F161" s="387">
        <v>0</v>
      </c>
      <c r="G161" s="388">
        <v>0</v>
      </c>
      <c r="H161" s="390">
        <v>1.6E-2</v>
      </c>
      <c r="I161" s="387">
        <v>0.124</v>
      </c>
      <c r="J161" s="388">
        <v>0.124</v>
      </c>
      <c r="K161" s="398" t="s">
        <v>264</v>
      </c>
    </row>
    <row r="162" spans="1:11" ht="14.4" customHeight="1" thickBot="1" x14ac:dyDescent="0.35">
      <c r="A162" s="409" t="s">
        <v>418</v>
      </c>
      <c r="B162" s="387">
        <v>9.7619833193519998</v>
      </c>
      <c r="C162" s="387">
        <v>4.9406564584124654E-324</v>
      </c>
      <c r="D162" s="388">
        <v>-9.7619833193519998</v>
      </c>
      <c r="E162" s="389">
        <v>0</v>
      </c>
      <c r="F162" s="387">
        <v>11.714379983222999</v>
      </c>
      <c r="G162" s="388">
        <v>3.9047933277409999</v>
      </c>
      <c r="H162" s="390">
        <v>4.9406564584124654E-324</v>
      </c>
      <c r="I162" s="387">
        <v>1.9762625833649862E-323</v>
      </c>
      <c r="J162" s="388">
        <v>-3.9047933277409999</v>
      </c>
      <c r="K162" s="391">
        <v>0</v>
      </c>
    </row>
    <row r="163" spans="1:11" ht="14.4" customHeight="1" thickBot="1" x14ac:dyDescent="0.35">
      <c r="A163" s="409" t="s">
        <v>419</v>
      </c>
      <c r="B163" s="387">
        <v>5.9560908231990002</v>
      </c>
      <c r="C163" s="387">
        <v>11.15706</v>
      </c>
      <c r="D163" s="388">
        <v>5.2009691768000001</v>
      </c>
      <c r="E163" s="389">
        <v>1.873218580976</v>
      </c>
      <c r="F163" s="387">
        <v>5.9560908231990002</v>
      </c>
      <c r="G163" s="388">
        <v>1.9853636077329999</v>
      </c>
      <c r="H163" s="390">
        <v>4.4627999999999997</v>
      </c>
      <c r="I163" s="387">
        <v>17.851199999999999</v>
      </c>
      <c r="J163" s="388">
        <v>15.865836392266001</v>
      </c>
      <c r="K163" s="391">
        <v>2.997133611607</v>
      </c>
    </row>
    <row r="164" spans="1:11" ht="14.4" customHeight="1" thickBot="1" x14ac:dyDescent="0.35">
      <c r="A164" s="409" t="s">
        <v>420</v>
      </c>
      <c r="B164" s="387">
        <v>4.9406564584124654E-324</v>
      </c>
      <c r="C164" s="387">
        <v>4.6030800000000003</v>
      </c>
      <c r="D164" s="388">
        <v>4.6030800000000003</v>
      </c>
      <c r="E164" s="397" t="s">
        <v>270</v>
      </c>
      <c r="F164" s="387">
        <v>0</v>
      </c>
      <c r="G164" s="388">
        <v>0</v>
      </c>
      <c r="H164" s="390">
        <v>4.9406564584124654E-324</v>
      </c>
      <c r="I164" s="387">
        <v>5.5079599999999997</v>
      </c>
      <c r="J164" s="388">
        <v>5.5079599999999997</v>
      </c>
      <c r="K164" s="398" t="s">
        <v>264</v>
      </c>
    </row>
    <row r="165" spans="1:11" ht="14.4" customHeight="1" thickBot="1" x14ac:dyDescent="0.35">
      <c r="A165" s="408" t="s">
        <v>421</v>
      </c>
      <c r="B165" s="392">
        <v>0</v>
      </c>
      <c r="C165" s="392">
        <v>17.247</v>
      </c>
      <c r="D165" s="393">
        <v>17.247</v>
      </c>
      <c r="E165" s="394" t="s">
        <v>264</v>
      </c>
      <c r="F165" s="392">
        <v>0</v>
      </c>
      <c r="G165" s="393">
        <v>0</v>
      </c>
      <c r="H165" s="395">
        <v>4.9406564584124654E-324</v>
      </c>
      <c r="I165" s="392">
        <v>19.009</v>
      </c>
      <c r="J165" s="393">
        <v>19.009</v>
      </c>
      <c r="K165" s="396" t="s">
        <v>264</v>
      </c>
    </row>
    <row r="166" spans="1:11" ht="14.4" customHeight="1" thickBot="1" x14ac:dyDescent="0.35">
      <c r="A166" s="409" t="s">
        <v>422</v>
      </c>
      <c r="B166" s="387">
        <v>0</v>
      </c>
      <c r="C166" s="387">
        <v>17.247</v>
      </c>
      <c r="D166" s="388">
        <v>17.247</v>
      </c>
      <c r="E166" s="397" t="s">
        <v>264</v>
      </c>
      <c r="F166" s="387">
        <v>0</v>
      </c>
      <c r="G166" s="388">
        <v>0</v>
      </c>
      <c r="H166" s="390">
        <v>4.9406564584124654E-324</v>
      </c>
      <c r="I166" s="387">
        <v>19.009</v>
      </c>
      <c r="J166" s="388">
        <v>19.009</v>
      </c>
      <c r="K166" s="398" t="s">
        <v>264</v>
      </c>
    </row>
    <row r="167" spans="1:11" ht="14.4" customHeight="1" thickBot="1" x14ac:dyDescent="0.35">
      <c r="A167" s="406" t="s">
        <v>423</v>
      </c>
      <c r="B167" s="387">
        <v>4.9406564584124654E-324</v>
      </c>
      <c r="C167" s="387">
        <v>4.9406564584124654E-324</v>
      </c>
      <c r="D167" s="388">
        <v>0</v>
      </c>
      <c r="E167" s="389">
        <v>1</v>
      </c>
      <c r="F167" s="387">
        <v>4.9406564584124654E-324</v>
      </c>
      <c r="G167" s="388">
        <v>0</v>
      </c>
      <c r="H167" s="390">
        <v>4.9406564584124654E-324</v>
      </c>
      <c r="I167" s="387">
        <v>2.342E-2</v>
      </c>
      <c r="J167" s="388">
        <v>2.342E-2</v>
      </c>
      <c r="K167" s="398" t="s">
        <v>270</v>
      </c>
    </row>
    <row r="168" spans="1:11" ht="14.4" customHeight="1" thickBot="1" x14ac:dyDescent="0.35">
      <c r="A168" s="412" t="s">
        <v>424</v>
      </c>
      <c r="B168" s="392">
        <v>4.9406564584124654E-324</v>
      </c>
      <c r="C168" s="392">
        <v>4.9406564584124654E-324</v>
      </c>
      <c r="D168" s="393">
        <v>0</v>
      </c>
      <c r="E168" s="399">
        <v>1</v>
      </c>
      <c r="F168" s="392">
        <v>4.9406564584124654E-324</v>
      </c>
      <c r="G168" s="393">
        <v>0</v>
      </c>
      <c r="H168" s="395">
        <v>4.9406564584124654E-324</v>
      </c>
      <c r="I168" s="392">
        <v>2.342E-2</v>
      </c>
      <c r="J168" s="393">
        <v>2.342E-2</v>
      </c>
      <c r="K168" s="396" t="s">
        <v>270</v>
      </c>
    </row>
    <row r="169" spans="1:11" ht="14.4" customHeight="1" thickBot="1" x14ac:dyDescent="0.35">
      <c r="A169" s="408" t="s">
        <v>425</v>
      </c>
      <c r="B169" s="392">
        <v>4.9406564584124654E-324</v>
      </c>
      <c r="C169" s="392">
        <v>4.9406564584124654E-324</v>
      </c>
      <c r="D169" s="393">
        <v>0</v>
      </c>
      <c r="E169" s="399">
        <v>1</v>
      </c>
      <c r="F169" s="392">
        <v>4.9406564584124654E-324</v>
      </c>
      <c r="G169" s="393">
        <v>0</v>
      </c>
      <c r="H169" s="395">
        <v>4.9406564584124654E-324</v>
      </c>
      <c r="I169" s="392">
        <v>2.342E-2</v>
      </c>
      <c r="J169" s="393">
        <v>2.342E-2</v>
      </c>
      <c r="K169" s="396" t="s">
        <v>270</v>
      </c>
    </row>
    <row r="170" spans="1:11" ht="14.4" customHeight="1" thickBot="1" x14ac:dyDescent="0.35">
      <c r="A170" s="409" t="s">
        <v>426</v>
      </c>
      <c r="B170" s="387">
        <v>4.9406564584124654E-324</v>
      </c>
      <c r="C170" s="387">
        <v>4.9406564584124654E-324</v>
      </c>
      <c r="D170" s="388">
        <v>0</v>
      </c>
      <c r="E170" s="389">
        <v>1</v>
      </c>
      <c r="F170" s="387">
        <v>4.9406564584124654E-324</v>
      </c>
      <c r="G170" s="388">
        <v>0</v>
      </c>
      <c r="H170" s="390">
        <v>4.9406564584124654E-324</v>
      </c>
      <c r="I170" s="387">
        <v>2.342E-2</v>
      </c>
      <c r="J170" s="388">
        <v>2.342E-2</v>
      </c>
      <c r="K170" s="398" t="s">
        <v>270</v>
      </c>
    </row>
    <row r="171" spans="1:11" ht="14.4" customHeight="1" thickBot="1" x14ac:dyDescent="0.35">
      <c r="A171" s="405" t="s">
        <v>427</v>
      </c>
      <c r="B171" s="387">
        <v>2362.0921578286202</v>
      </c>
      <c r="C171" s="387">
        <v>2160.8901900000001</v>
      </c>
      <c r="D171" s="388">
        <v>-201.20196782862101</v>
      </c>
      <c r="E171" s="389">
        <v>0.91482044120799999</v>
      </c>
      <c r="F171" s="387">
        <v>2267.0007088176899</v>
      </c>
      <c r="G171" s="388">
        <v>755.66690293923102</v>
      </c>
      <c r="H171" s="390">
        <v>163.28993</v>
      </c>
      <c r="I171" s="387">
        <v>675.35517000000004</v>
      </c>
      <c r="J171" s="388">
        <v>-80.311732939229998</v>
      </c>
      <c r="K171" s="391">
        <v>0.29790690729500002</v>
      </c>
    </row>
    <row r="172" spans="1:11" ht="14.4" customHeight="1" thickBot="1" x14ac:dyDescent="0.35">
      <c r="A172" s="410" t="s">
        <v>428</v>
      </c>
      <c r="B172" s="392">
        <v>2362.0921578286202</v>
      </c>
      <c r="C172" s="392">
        <v>2160.8901900000001</v>
      </c>
      <c r="D172" s="393">
        <v>-201.20196782862101</v>
      </c>
      <c r="E172" s="399">
        <v>0.91482044120799999</v>
      </c>
      <c r="F172" s="392">
        <v>2267.0007088176899</v>
      </c>
      <c r="G172" s="393">
        <v>755.66690293923102</v>
      </c>
      <c r="H172" s="395">
        <v>163.28993</v>
      </c>
      <c r="I172" s="392">
        <v>675.35517000000004</v>
      </c>
      <c r="J172" s="393">
        <v>-80.311732939229998</v>
      </c>
      <c r="K172" s="400">
        <v>0.29790690729500002</v>
      </c>
    </row>
    <row r="173" spans="1:11" ht="14.4" customHeight="1" thickBot="1" x14ac:dyDescent="0.35">
      <c r="A173" s="412" t="s">
        <v>54</v>
      </c>
      <c r="B173" s="392">
        <v>2362.0921578286202</v>
      </c>
      <c r="C173" s="392">
        <v>2160.8901900000001</v>
      </c>
      <c r="D173" s="393">
        <v>-201.20196782862101</v>
      </c>
      <c r="E173" s="399">
        <v>0.91482044120799999</v>
      </c>
      <c r="F173" s="392">
        <v>2267.0007088176899</v>
      </c>
      <c r="G173" s="393">
        <v>755.66690293923102</v>
      </c>
      <c r="H173" s="395">
        <v>163.28993</v>
      </c>
      <c r="I173" s="392">
        <v>675.35517000000004</v>
      </c>
      <c r="J173" s="393">
        <v>-80.311732939229998</v>
      </c>
      <c r="K173" s="400">
        <v>0.29790690729500002</v>
      </c>
    </row>
    <row r="174" spans="1:11" ht="14.4" customHeight="1" thickBot="1" x14ac:dyDescent="0.35">
      <c r="A174" s="408" t="s">
        <v>429</v>
      </c>
      <c r="B174" s="392">
        <v>29.999999999999002</v>
      </c>
      <c r="C174" s="392">
        <v>40.326000000000001</v>
      </c>
      <c r="D174" s="393">
        <v>10.326000000000001</v>
      </c>
      <c r="E174" s="399">
        <v>1.3442000000000001</v>
      </c>
      <c r="F174" s="392">
        <v>18</v>
      </c>
      <c r="G174" s="393">
        <v>6</v>
      </c>
      <c r="H174" s="395">
        <v>3.3605</v>
      </c>
      <c r="I174" s="392">
        <v>13.442</v>
      </c>
      <c r="J174" s="393">
        <v>7.4420000000000002</v>
      </c>
      <c r="K174" s="400">
        <v>0.74677777777700005</v>
      </c>
    </row>
    <row r="175" spans="1:11" ht="14.4" customHeight="1" thickBot="1" x14ac:dyDescent="0.35">
      <c r="A175" s="409" t="s">
        <v>430</v>
      </c>
      <c r="B175" s="387">
        <v>29.999999999999002</v>
      </c>
      <c r="C175" s="387">
        <v>40.326000000000001</v>
      </c>
      <c r="D175" s="388">
        <v>10.326000000000001</v>
      </c>
      <c r="E175" s="389">
        <v>1.3442000000000001</v>
      </c>
      <c r="F175" s="387">
        <v>18</v>
      </c>
      <c r="G175" s="388">
        <v>6</v>
      </c>
      <c r="H175" s="390">
        <v>3.3605</v>
      </c>
      <c r="I175" s="387">
        <v>13.442</v>
      </c>
      <c r="J175" s="388">
        <v>7.4420000000000002</v>
      </c>
      <c r="K175" s="391">
        <v>0.74677777777700005</v>
      </c>
    </row>
    <row r="176" spans="1:11" ht="14.4" customHeight="1" thickBot="1" x14ac:dyDescent="0.35">
      <c r="A176" s="408" t="s">
        <v>431</v>
      </c>
      <c r="B176" s="392">
        <v>28.827012321971001</v>
      </c>
      <c r="C176" s="392">
        <v>3.2149999999999999</v>
      </c>
      <c r="D176" s="393">
        <v>-25.612012321971001</v>
      </c>
      <c r="E176" s="399">
        <v>0.111527339846</v>
      </c>
      <c r="F176" s="392">
        <v>5.0007088176919998</v>
      </c>
      <c r="G176" s="393">
        <v>1.6669029392300001</v>
      </c>
      <c r="H176" s="395">
        <v>0.248</v>
      </c>
      <c r="I176" s="392">
        <v>1.1339999999999999</v>
      </c>
      <c r="J176" s="393">
        <v>-0.53290293922999998</v>
      </c>
      <c r="K176" s="400">
        <v>0.22676785258599999</v>
      </c>
    </row>
    <row r="177" spans="1:11" ht="14.4" customHeight="1" thickBot="1" x14ac:dyDescent="0.35">
      <c r="A177" s="409" t="s">
        <v>432</v>
      </c>
      <c r="B177" s="387">
        <v>28.827012321971001</v>
      </c>
      <c r="C177" s="387">
        <v>3.2149999999999999</v>
      </c>
      <c r="D177" s="388">
        <v>-25.612012321971001</v>
      </c>
      <c r="E177" s="389">
        <v>0.111527339846</v>
      </c>
      <c r="F177" s="387">
        <v>5.0007088176919998</v>
      </c>
      <c r="G177" s="388">
        <v>1.6669029392300001</v>
      </c>
      <c r="H177" s="390">
        <v>0.248</v>
      </c>
      <c r="I177" s="387">
        <v>1.1339999999999999</v>
      </c>
      <c r="J177" s="388">
        <v>-0.53290293922999998</v>
      </c>
      <c r="K177" s="391">
        <v>0.22676785258599999</v>
      </c>
    </row>
    <row r="178" spans="1:11" ht="14.4" customHeight="1" thickBot="1" x14ac:dyDescent="0.35">
      <c r="A178" s="408" t="s">
        <v>433</v>
      </c>
      <c r="B178" s="392">
        <v>44.265145506678998</v>
      </c>
      <c r="C178" s="392">
        <v>41.896900000000002</v>
      </c>
      <c r="D178" s="393">
        <v>-2.368245506679</v>
      </c>
      <c r="E178" s="399">
        <v>0.94649863951400004</v>
      </c>
      <c r="F178" s="392">
        <v>46</v>
      </c>
      <c r="G178" s="393">
        <v>15.333333333333</v>
      </c>
      <c r="H178" s="395">
        <v>3.2469000000000001</v>
      </c>
      <c r="I178" s="392">
        <v>10.8483</v>
      </c>
      <c r="J178" s="393">
        <v>-4.4850333333329999</v>
      </c>
      <c r="K178" s="400">
        <v>0.235832608695</v>
      </c>
    </row>
    <row r="179" spans="1:11" ht="14.4" customHeight="1" thickBot="1" x14ac:dyDescent="0.35">
      <c r="A179" s="409" t="s">
        <v>434</v>
      </c>
      <c r="B179" s="387">
        <v>44.265145506678998</v>
      </c>
      <c r="C179" s="387">
        <v>41.896900000000002</v>
      </c>
      <c r="D179" s="388">
        <v>-2.368245506679</v>
      </c>
      <c r="E179" s="389">
        <v>0.94649863951400004</v>
      </c>
      <c r="F179" s="387">
        <v>46</v>
      </c>
      <c r="G179" s="388">
        <v>15.333333333333</v>
      </c>
      <c r="H179" s="390">
        <v>3.2469000000000001</v>
      </c>
      <c r="I179" s="387">
        <v>10.8483</v>
      </c>
      <c r="J179" s="388">
        <v>-4.4850333333329999</v>
      </c>
      <c r="K179" s="391">
        <v>0.235832608695</v>
      </c>
    </row>
    <row r="180" spans="1:11" ht="14.4" customHeight="1" thickBot="1" x14ac:dyDescent="0.35">
      <c r="A180" s="408" t="s">
        <v>435</v>
      </c>
      <c r="B180" s="392">
        <v>391.999999999995</v>
      </c>
      <c r="C180" s="392">
        <v>348.14353</v>
      </c>
      <c r="D180" s="393">
        <v>-43.856469999994999</v>
      </c>
      <c r="E180" s="399">
        <v>0.88812124999999997</v>
      </c>
      <c r="F180" s="392">
        <v>490</v>
      </c>
      <c r="G180" s="393">
        <v>163.333333333333</v>
      </c>
      <c r="H180" s="395">
        <v>34.806100000000001</v>
      </c>
      <c r="I180" s="392">
        <v>112.79389999999999</v>
      </c>
      <c r="J180" s="393">
        <v>-50.539433333333001</v>
      </c>
      <c r="K180" s="400">
        <v>0.23019163265299999</v>
      </c>
    </row>
    <row r="181" spans="1:11" ht="14.4" customHeight="1" thickBot="1" x14ac:dyDescent="0.35">
      <c r="A181" s="409" t="s">
        <v>436</v>
      </c>
      <c r="B181" s="387">
        <v>391.999999999995</v>
      </c>
      <c r="C181" s="387">
        <v>348.03757000000002</v>
      </c>
      <c r="D181" s="388">
        <v>-43.962429999995003</v>
      </c>
      <c r="E181" s="389">
        <v>0.88785094387700003</v>
      </c>
      <c r="F181" s="387">
        <v>484</v>
      </c>
      <c r="G181" s="388">
        <v>161.333333333333</v>
      </c>
      <c r="H181" s="390">
        <v>34.32282</v>
      </c>
      <c r="I181" s="387">
        <v>110.86075</v>
      </c>
      <c r="J181" s="388">
        <v>-50.472583333332999</v>
      </c>
      <c r="K181" s="391">
        <v>0.22905113636300001</v>
      </c>
    </row>
    <row r="182" spans="1:11" ht="14.4" customHeight="1" thickBot="1" x14ac:dyDescent="0.35">
      <c r="A182" s="409" t="s">
        <v>437</v>
      </c>
      <c r="B182" s="387">
        <v>0</v>
      </c>
      <c r="C182" s="387">
        <v>0.10596</v>
      </c>
      <c r="D182" s="388">
        <v>0.10596</v>
      </c>
      <c r="E182" s="397" t="s">
        <v>264</v>
      </c>
      <c r="F182" s="387">
        <v>6</v>
      </c>
      <c r="G182" s="388">
        <v>2</v>
      </c>
      <c r="H182" s="390">
        <v>0.48327999999999999</v>
      </c>
      <c r="I182" s="387">
        <v>1.9331499999999999</v>
      </c>
      <c r="J182" s="388">
        <v>-6.6850000000000007E-2</v>
      </c>
      <c r="K182" s="391">
        <v>0.32219166666600002</v>
      </c>
    </row>
    <row r="183" spans="1:11" ht="14.4" customHeight="1" thickBot="1" x14ac:dyDescent="0.35">
      <c r="A183" s="408" t="s">
        <v>438</v>
      </c>
      <c r="B183" s="392">
        <v>0</v>
      </c>
      <c r="C183" s="392">
        <v>122.50700000000001</v>
      </c>
      <c r="D183" s="393">
        <v>122.50700000000001</v>
      </c>
      <c r="E183" s="394" t="s">
        <v>264</v>
      </c>
      <c r="F183" s="392">
        <v>4.9406564584124654E-324</v>
      </c>
      <c r="G183" s="393">
        <v>0</v>
      </c>
      <c r="H183" s="395">
        <v>4.9406564584124654E-324</v>
      </c>
      <c r="I183" s="392">
        <v>1.9762625833649862E-323</v>
      </c>
      <c r="J183" s="393">
        <v>1.9762625833649862E-323</v>
      </c>
      <c r="K183" s="400">
        <v>4</v>
      </c>
    </row>
    <row r="184" spans="1:11" ht="14.4" customHeight="1" thickBot="1" x14ac:dyDescent="0.35">
      <c r="A184" s="409" t="s">
        <v>439</v>
      </c>
      <c r="B184" s="387">
        <v>0</v>
      </c>
      <c r="C184" s="387">
        <v>122.50700000000001</v>
      </c>
      <c r="D184" s="388">
        <v>122.50700000000001</v>
      </c>
      <c r="E184" s="397" t="s">
        <v>264</v>
      </c>
      <c r="F184" s="387">
        <v>4.9406564584124654E-324</v>
      </c>
      <c r="G184" s="388">
        <v>0</v>
      </c>
      <c r="H184" s="390">
        <v>4.9406564584124654E-324</v>
      </c>
      <c r="I184" s="387">
        <v>1.9762625833649862E-323</v>
      </c>
      <c r="J184" s="388">
        <v>1.9762625833649862E-323</v>
      </c>
      <c r="K184" s="391">
        <v>4</v>
      </c>
    </row>
    <row r="185" spans="1:11" ht="14.4" customHeight="1" thickBot="1" x14ac:dyDescent="0.35">
      <c r="A185" s="408" t="s">
        <v>440</v>
      </c>
      <c r="B185" s="392">
        <v>1866.99999999998</v>
      </c>
      <c r="C185" s="392">
        <v>1604.8017600000001</v>
      </c>
      <c r="D185" s="393">
        <v>-262.19823999997499</v>
      </c>
      <c r="E185" s="399">
        <v>0.85956173540400005</v>
      </c>
      <c r="F185" s="392">
        <v>1708</v>
      </c>
      <c r="G185" s="393">
        <v>569.33333333333303</v>
      </c>
      <c r="H185" s="395">
        <v>121.62842999999999</v>
      </c>
      <c r="I185" s="392">
        <v>537.13697000000002</v>
      </c>
      <c r="J185" s="393">
        <v>-32.196363333332997</v>
      </c>
      <c r="K185" s="400">
        <v>0.31448300351199998</v>
      </c>
    </row>
    <row r="186" spans="1:11" ht="14.4" customHeight="1" thickBot="1" x14ac:dyDescent="0.35">
      <c r="A186" s="409" t="s">
        <v>441</v>
      </c>
      <c r="B186" s="387">
        <v>1866.99999999998</v>
      </c>
      <c r="C186" s="387">
        <v>1604.8017600000001</v>
      </c>
      <c r="D186" s="388">
        <v>-262.19823999997499</v>
      </c>
      <c r="E186" s="389">
        <v>0.85956173540400005</v>
      </c>
      <c r="F186" s="387">
        <v>1708</v>
      </c>
      <c r="G186" s="388">
        <v>569.33333333333303</v>
      </c>
      <c r="H186" s="390">
        <v>121.62842999999999</v>
      </c>
      <c r="I186" s="387">
        <v>537.13697000000002</v>
      </c>
      <c r="J186" s="388">
        <v>-32.196363333332997</v>
      </c>
      <c r="K186" s="391">
        <v>0.31448300351199998</v>
      </c>
    </row>
    <row r="187" spans="1:11" ht="14.4" customHeight="1" thickBot="1" x14ac:dyDescent="0.35">
      <c r="A187" s="413"/>
      <c r="B187" s="387">
        <v>27002.887364719802</v>
      </c>
      <c r="C187" s="387">
        <v>26296.03124</v>
      </c>
      <c r="D187" s="388">
        <v>-706.85612471978698</v>
      </c>
      <c r="E187" s="389">
        <v>0.97382294288799998</v>
      </c>
      <c r="F187" s="387">
        <v>26108.9623354787</v>
      </c>
      <c r="G187" s="388">
        <v>8702.9874451595497</v>
      </c>
      <c r="H187" s="390">
        <v>2824.8516100000002</v>
      </c>
      <c r="I187" s="387">
        <v>11943.05364</v>
      </c>
      <c r="J187" s="388">
        <v>3240.0661948404399</v>
      </c>
      <c r="K187" s="391">
        <v>0.45743118728799997</v>
      </c>
    </row>
    <row r="188" spans="1:11" ht="14.4" customHeight="1" thickBot="1" x14ac:dyDescent="0.35">
      <c r="A188" s="414" t="s">
        <v>66</v>
      </c>
      <c r="B188" s="401">
        <v>27002.887364719802</v>
      </c>
      <c r="C188" s="401">
        <v>26296.03124</v>
      </c>
      <c r="D188" s="402">
        <v>-706.85612471977799</v>
      </c>
      <c r="E188" s="403">
        <v>-1.020691866727</v>
      </c>
      <c r="F188" s="401">
        <v>26108.9623354787</v>
      </c>
      <c r="G188" s="402">
        <v>8702.9874451595606</v>
      </c>
      <c r="H188" s="401">
        <v>2824.8516100000002</v>
      </c>
      <c r="I188" s="401">
        <v>11943.05364</v>
      </c>
      <c r="J188" s="402">
        <v>3240.0661948404299</v>
      </c>
      <c r="K188" s="404">
        <v>0.45743118728799997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9" customWidth="1"/>
    <col min="2" max="2" width="61.109375" style="209" customWidth="1"/>
    <col min="3" max="3" width="9.5546875" style="130" customWidth="1"/>
    <col min="4" max="4" width="9.5546875" style="210" customWidth="1"/>
    <col min="5" max="5" width="2.21875" style="210" customWidth="1"/>
    <col min="6" max="6" width="9.5546875" style="211" customWidth="1"/>
    <col min="7" max="7" width="9.5546875" style="208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34" t="s">
        <v>138</v>
      </c>
      <c r="B1" s="335"/>
      <c r="C1" s="335"/>
      <c r="D1" s="335"/>
      <c r="E1" s="335"/>
      <c r="F1" s="335"/>
      <c r="G1" s="306"/>
      <c r="H1" s="336"/>
      <c r="I1" s="336"/>
    </row>
    <row r="2" spans="1:10" ht="14.4" customHeight="1" thickBot="1" x14ac:dyDescent="0.35">
      <c r="A2" s="235" t="s">
        <v>263</v>
      </c>
      <c r="B2" s="207"/>
      <c r="C2" s="207"/>
      <c r="D2" s="207"/>
      <c r="E2" s="207"/>
      <c r="F2" s="207"/>
    </row>
    <row r="3" spans="1:10" ht="14.4" customHeight="1" thickBot="1" x14ac:dyDescent="0.35">
      <c r="A3" s="235"/>
      <c r="B3" s="207"/>
      <c r="C3" s="293">
        <v>2012</v>
      </c>
      <c r="D3" s="294">
        <v>2013</v>
      </c>
      <c r="E3" s="7"/>
      <c r="F3" s="329">
        <v>2014</v>
      </c>
      <c r="G3" s="330"/>
      <c r="H3" s="330"/>
      <c r="I3" s="331"/>
    </row>
    <row r="4" spans="1:10" ht="14.4" customHeight="1" thickBot="1" x14ac:dyDescent="0.35">
      <c r="A4" s="298" t="s">
        <v>0</v>
      </c>
      <c r="B4" s="299" t="s">
        <v>262</v>
      </c>
      <c r="C4" s="332" t="s">
        <v>73</v>
      </c>
      <c r="D4" s="333"/>
      <c r="E4" s="300"/>
      <c r="F4" s="295" t="s">
        <v>73</v>
      </c>
      <c r="G4" s="296" t="s">
        <v>74</v>
      </c>
      <c r="H4" s="296" t="s">
        <v>68</v>
      </c>
      <c r="I4" s="297" t="s">
        <v>75</v>
      </c>
    </row>
    <row r="5" spans="1:10" ht="14.4" customHeight="1" x14ac:dyDescent="0.3">
      <c r="A5" s="415" t="s">
        <v>442</v>
      </c>
      <c r="B5" s="416" t="s">
        <v>443</v>
      </c>
      <c r="C5" s="417" t="s">
        <v>444</v>
      </c>
      <c r="D5" s="417" t="s">
        <v>444</v>
      </c>
      <c r="E5" s="417"/>
      <c r="F5" s="417" t="s">
        <v>444</v>
      </c>
      <c r="G5" s="417" t="s">
        <v>444</v>
      </c>
      <c r="H5" s="417" t="s">
        <v>444</v>
      </c>
      <c r="I5" s="418" t="s">
        <v>444</v>
      </c>
      <c r="J5" s="419" t="s">
        <v>69</v>
      </c>
    </row>
    <row r="6" spans="1:10" ht="14.4" customHeight="1" x14ac:dyDescent="0.3">
      <c r="A6" s="415" t="s">
        <v>442</v>
      </c>
      <c r="B6" s="416" t="s">
        <v>273</v>
      </c>
      <c r="C6" s="417">
        <v>29.31033</v>
      </c>
      <c r="D6" s="417">
        <v>29.046209999999</v>
      </c>
      <c r="E6" s="417"/>
      <c r="F6" s="417">
        <v>26.515509999999999</v>
      </c>
      <c r="G6" s="417">
        <v>29</v>
      </c>
      <c r="H6" s="417">
        <v>-2.484490000000001</v>
      </c>
      <c r="I6" s="418">
        <v>0.91432793103448273</v>
      </c>
      <c r="J6" s="419" t="s">
        <v>1</v>
      </c>
    </row>
    <row r="7" spans="1:10" ht="14.4" customHeight="1" x14ac:dyDescent="0.3">
      <c r="A7" s="415" t="s">
        <v>442</v>
      </c>
      <c r="B7" s="416" t="s">
        <v>274</v>
      </c>
      <c r="C7" s="417">
        <v>0.23549999999999999</v>
      </c>
      <c r="D7" s="417">
        <v>0.22676999999999997</v>
      </c>
      <c r="E7" s="417"/>
      <c r="F7" s="417" t="s">
        <v>444</v>
      </c>
      <c r="G7" s="417" t="s">
        <v>444</v>
      </c>
      <c r="H7" s="417" t="s">
        <v>444</v>
      </c>
      <c r="I7" s="418" t="s">
        <v>444</v>
      </c>
      <c r="J7" s="419" t="s">
        <v>1</v>
      </c>
    </row>
    <row r="8" spans="1:10" ht="14.4" customHeight="1" x14ac:dyDescent="0.3">
      <c r="A8" s="415" t="s">
        <v>442</v>
      </c>
      <c r="B8" s="416" t="s">
        <v>275</v>
      </c>
      <c r="C8" s="417">
        <v>1.7567999999999999</v>
      </c>
      <c r="D8" s="417">
        <v>0.88571999999999995</v>
      </c>
      <c r="E8" s="417"/>
      <c r="F8" s="417">
        <v>0.88571999999999995</v>
      </c>
      <c r="G8" s="417">
        <v>2</v>
      </c>
      <c r="H8" s="417">
        <v>-1.1142799999999999</v>
      </c>
      <c r="I8" s="418">
        <v>0.44285999999999998</v>
      </c>
      <c r="J8" s="419" t="s">
        <v>1</v>
      </c>
    </row>
    <row r="9" spans="1:10" ht="14.4" customHeight="1" x14ac:dyDescent="0.3">
      <c r="A9" s="415" t="s">
        <v>442</v>
      </c>
      <c r="B9" s="416" t="s">
        <v>445</v>
      </c>
      <c r="C9" s="417">
        <v>31.302629999999997</v>
      </c>
      <c r="D9" s="417">
        <v>30.158699999998998</v>
      </c>
      <c r="E9" s="417"/>
      <c r="F9" s="417">
        <v>27.401229999999998</v>
      </c>
      <c r="G9" s="417">
        <v>31</v>
      </c>
      <c r="H9" s="417">
        <v>-3.5987700000000018</v>
      </c>
      <c r="I9" s="418">
        <v>0.88391064516129025</v>
      </c>
      <c r="J9" s="419" t="s">
        <v>446</v>
      </c>
    </row>
    <row r="11" spans="1:10" ht="14.4" customHeight="1" x14ac:dyDescent="0.3">
      <c r="A11" s="415" t="s">
        <v>442</v>
      </c>
      <c r="B11" s="416" t="s">
        <v>443</v>
      </c>
      <c r="C11" s="417" t="s">
        <v>444</v>
      </c>
      <c r="D11" s="417" t="s">
        <v>444</v>
      </c>
      <c r="E11" s="417"/>
      <c r="F11" s="417" t="s">
        <v>444</v>
      </c>
      <c r="G11" s="417" t="s">
        <v>444</v>
      </c>
      <c r="H11" s="417" t="s">
        <v>444</v>
      </c>
      <c r="I11" s="418" t="s">
        <v>444</v>
      </c>
      <c r="J11" s="419" t="s">
        <v>69</v>
      </c>
    </row>
    <row r="12" spans="1:10" ht="14.4" customHeight="1" x14ac:dyDescent="0.3">
      <c r="A12" s="415" t="s">
        <v>447</v>
      </c>
      <c r="B12" s="416" t="s">
        <v>448</v>
      </c>
      <c r="C12" s="417" t="s">
        <v>444</v>
      </c>
      <c r="D12" s="417" t="s">
        <v>444</v>
      </c>
      <c r="E12" s="417"/>
      <c r="F12" s="417" t="s">
        <v>444</v>
      </c>
      <c r="G12" s="417" t="s">
        <v>444</v>
      </c>
      <c r="H12" s="417" t="s">
        <v>444</v>
      </c>
      <c r="I12" s="418" t="s">
        <v>444</v>
      </c>
      <c r="J12" s="419" t="s">
        <v>0</v>
      </c>
    </row>
    <row r="13" spans="1:10" ht="14.4" customHeight="1" x14ac:dyDescent="0.3">
      <c r="A13" s="415" t="s">
        <v>447</v>
      </c>
      <c r="B13" s="416" t="s">
        <v>273</v>
      </c>
      <c r="C13" s="417">
        <v>0</v>
      </c>
      <c r="D13" s="417" t="s">
        <v>444</v>
      </c>
      <c r="E13" s="417"/>
      <c r="F13" s="417" t="s">
        <v>444</v>
      </c>
      <c r="G13" s="417" t="s">
        <v>444</v>
      </c>
      <c r="H13" s="417" t="s">
        <v>444</v>
      </c>
      <c r="I13" s="418" t="s">
        <v>444</v>
      </c>
      <c r="J13" s="419" t="s">
        <v>1</v>
      </c>
    </row>
    <row r="14" spans="1:10" ht="14.4" customHeight="1" x14ac:dyDescent="0.3">
      <c r="A14" s="415" t="s">
        <v>447</v>
      </c>
      <c r="B14" s="416" t="s">
        <v>449</v>
      </c>
      <c r="C14" s="417">
        <v>0</v>
      </c>
      <c r="D14" s="417" t="s">
        <v>444</v>
      </c>
      <c r="E14" s="417"/>
      <c r="F14" s="417" t="s">
        <v>444</v>
      </c>
      <c r="G14" s="417" t="s">
        <v>444</v>
      </c>
      <c r="H14" s="417" t="s">
        <v>444</v>
      </c>
      <c r="I14" s="418" t="s">
        <v>444</v>
      </c>
      <c r="J14" s="419" t="s">
        <v>450</v>
      </c>
    </row>
    <row r="15" spans="1:10" ht="14.4" customHeight="1" x14ac:dyDescent="0.3">
      <c r="A15" s="415" t="s">
        <v>444</v>
      </c>
      <c r="B15" s="416" t="s">
        <v>444</v>
      </c>
      <c r="C15" s="417" t="s">
        <v>444</v>
      </c>
      <c r="D15" s="417" t="s">
        <v>444</v>
      </c>
      <c r="E15" s="417"/>
      <c r="F15" s="417" t="s">
        <v>444</v>
      </c>
      <c r="G15" s="417" t="s">
        <v>444</v>
      </c>
      <c r="H15" s="417" t="s">
        <v>444</v>
      </c>
      <c r="I15" s="418" t="s">
        <v>444</v>
      </c>
      <c r="J15" s="419" t="s">
        <v>451</v>
      </c>
    </row>
    <row r="16" spans="1:10" ht="14.4" customHeight="1" x14ac:dyDescent="0.3">
      <c r="A16" s="415" t="s">
        <v>452</v>
      </c>
      <c r="B16" s="416" t="s">
        <v>453</v>
      </c>
      <c r="C16" s="417" t="s">
        <v>444</v>
      </c>
      <c r="D16" s="417" t="s">
        <v>444</v>
      </c>
      <c r="E16" s="417"/>
      <c r="F16" s="417" t="s">
        <v>444</v>
      </c>
      <c r="G16" s="417" t="s">
        <v>444</v>
      </c>
      <c r="H16" s="417" t="s">
        <v>444</v>
      </c>
      <c r="I16" s="418" t="s">
        <v>444</v>
      </c>
      <c r="J16" s="419" t="s">
        <v>0</v>
      </c>
    </row>
    <row r="17" spans="1:10" ht="14.4" customHeight="1" x14ac:dyDescent="0.3">
      <c r="A17" s="415" t="s">
        <v>452</v>
      </c>
      <c r="B17" s="416" t="s">
        <v>273</v>
      </c>
      <c r="C17" s="417">
        <v>17.817190000000004</v>
      </c>
      <c r="D17" s="417">
        <v>15.087669999998999</v>
      </c>
      <c r="E17" s="417"/>
      <c r="F17" s="417">
        <v>14.811359999999999</v>
      </c>
      <c r="G17" s="417">
        <v>15.666666666666666</v>
      </c>
      <c r="H17" s="417">
        <v>-0.85530666666666733</v>
      </c>
      <c r="I17" s="418">
        <v>0.94540595744680844</v>
      </c>
      <c r="J17" s="419" t="s">
        <v>1</v>
      </c>
    </row>
    <row r="18" spans="1:10" ht="14.4" customHeight="1" x14ac:dyDescent="0.3">
      <c r="A18" s="415" t="s">
        <v>452</v>
      </c>
      <c r="B18" s="416" t="s">
        <v>274</v>
      </c>
      <c r="C18" s="417">
        <v>0.23549999999999999</v>
      </c>
      <c r="D18" s="417">
        <v>3.7690000000000001E-2</v>
      </c>
      <c r="E18" s="417"/>
      <c r="F18" s="417" t="s">
        <v>444</v>
      </c>
      <c r="G18" s="417" t="s">
        <v>444</v>
      </c>
      <c r="H18" s="417" t="s">
        <v>444</v>
      </c>
      <c r="I18" s="418" t="s">
        <v>444</v>
      </c>
      <c r="J18" s="419" t="s">
        <v>1</v>
      </c>
    </row>
    <row r="19" spans="1:10" ht="14.4" customHeight="1" x14ac:dyDescent="0.3">
      <c r="A19" s="415" t="s">
        <v>452</v>
      </c>
      <c r="B19" s="416" t="s">
        <v>454</v>
      </c>
      <c r="C19" s="417">
        <v>18.052690000000002</v>
      </c>
      <c r="D19" s="417">
        <v>15.125359999998999</v>
      </c>
      <c r="E19" s="417"/>
      <c r="F19" s="417">
        <v>14.811359999999999</v>
      </c>
      <c r="G19" s="417">
        <v>15.666666666666666</v>
      </c>
      <c r="H19" s="417">
        <v>-0.85530666666666733</v>
      </c>
      <c r="I19" s="418">
        <v>0.94540595744680844</v>
      </c>
      <c r="J19" s="419" t="s">
        <v>450</v>
      </c>
    </row>
    <row r="20" spans="1:10" ht="14.4" customHeight="1" x14ac:dyDescent="0.3">
      <c r="A20" s="415" t="s">
        <v>444</v>
      </c>
      <c r="B20" s="416" t="s">
        <v>444</v>
      </c>
      <c r="C20" s="417" t="s">
        <v>444</v>
      </c>
      <c r="D20" s="417" t="s">
        <v>444</v>
      </c>
      <c r="E20" s="417"/>
      <c r="F20" s="417" t="s">
        <v>444</v>
      </c>
      <c r="G20" s="417" t="s">
        <v>444</v>
      </c>
      <c r="H20" s="417" t="s">
        <v>444</v>
      </c>
      <c r="I20" s="418" t="s">
        <v>444</v>
      </c>
      <c r="J20" s="419" t="s">
        <v>451</v>
      </c>
    </row>
    <row r="21" spans="1:10" ht="14.4" customHeight="1" x14ac:dyDescent="0.3">
      <c r="A21" s="415" t="s">
        <v>455</v>
      </c>
      <c r="B21" s="416" t="s">
        <v>456</v>
      </c>
      <c r="C21" s="417" t="s">
        <v>444</v>
      </c>
      <c r="D21" s="417" t="s">
        <v>444</v>
      </c>
      <c r="E21" s="417"/>
      <c r="F21" s="417" t="s">
        <v>444</v>
      </c>
      <c r="G21" s="417" t="s">
        <v>444</v>
      </c>
      <c r="H21" s="417" t="s">
        <v>444</v>
      </c>
      <c r="I21" s="418" t="s">
        <v>444</v>
      </c>
      <c r="J21" s="419" t="s">
        <v>0</v>
      </c>
    </row>
    <row r="22" spans="1:10" ht="14.4" customHeight="1" x14ac:dyDescent="0.3">
      <c r="A22" s="415" t="s">
        <v>455</v>
      </c>
      <c r="B22" s="416" t="s">
        <v>273</v>
      </c>
      <c r="C22" s="417">
        <v>11.493139999999999</v>
      </c>
      <c r="D22" s="417">
        <v>13.958539999999999</v>
      </c>
      <c r="E22" s="417"/>
      <c r="F22" s="417">
        <v>11.70415</v>
      </c>
      <c r="G22" s="417">
        <v>13.333333333333334</v>
      </c>
      <c r="H22" s="417">
        <v>-1.6291833333333336</v>
      </c>
      <c r="I22" s="418">
        <v>0.87781124999999993</v>
      </c>
      <c r="J22" s="419" t="s">
        <v>1</v>
      </c>
    </row>
    <row r="23" spans="1:10" ht="14.4" customHeight="1" x14ac:dyDescent="0.3">
      <c r="A23" s="415" t="s">
        <v>455</v>
      </c>
      <c r="B23" s="416" t="s">
        <v>274</v>
      </c>
      <c r="C23" s="417" t="s">
        <v>444</v>
      </c>
      <c r="D23" s="417">
        <v>0.18907999999999997</v>
      </c>
      <c r="E23" s="417"/>
      <c r="F23" s="417" t="s">
        <v>444</v>
      </c>
      <c r="G23" s="417" t="s">
        <v>444</v>
      </c>
      <c r="H23" s="417" t="s">
        <v>444</v>
      </c>
      <c r="I23" s="418" t="s">
        <v>444</v>
      </c>
      <c r="J23" s="419" t="s">
        <v>1</v>
      </c>
    </row>
    <row r="24" spans="1:10" ht="14.4" customHeight="1" x14ac:dyDescent="0.3">
      <c r="A24" s="415" t="s">
        <v>455</v>
      </c>
      <c r="B24" s="416" t="s">
        <v>275</v>
      </c>
      <c r="C24" s="417">
        <v>1.7567999999999999</v>
      </c>
      <c r="D24" s="417">
        <v>0.88571999999999995</v>
      </c>
      <c r="E24" s="417"/>
      <c r="F24" s="417">
        <v>0.88571999999999995</v>
      </c>
      <c r="G24" s="417">
        <v>2</v>
      </c>
      <c r="H24" s="417">
        <v>-1.1142799999999999</v>
      </c>
      <c r="I24" s="418">
        <v>0.44285999999999998</v>
      </c>
      <c r="J24" s="419" t="s">
        <v>1</v>
      </c>
    </row>
    <row r="25" spans="1:10" ht="14.4" customHeight="1" x14ac:dyDescent="0.3">
      <c r="A25" s="415" t="s">
        <v>455</v>
      </c>
      <c r="B25" s="416" t="s">
        <v>457</v>
      </c>
      <c r="C25" s="417">
        <v>13.249939999999999</v>
      </c>
      <c r="D25" s="417">
        <v>15.033339999999999</v>
      </c>
      <c r="E25" s="417"/>
      <c r="F25" s="417">
        <v>12.589869999999999</v>
      </c>
      <c r="G25" s="417">
        <v>15.333333333333334</v>
      </c>
      <c r="H25" s="417">
        <v>-2.7434633333333345</v>
      </c>
      <c r="I25" s="418">
        <v>0.82107847826086955</v>
      </c>
      <c r="J25" s="419" t="s">
        <v>450</v>
      </c>
    </row>
    <row r="26" spans="1:10" ht="14.4" customHeight="1" x14ac:dyDescent="0.3">
      <c r="A26" s="415" t="s">
        <v>444</v>
      </c>
      <c r="B26" s="416" t="s">
        <v>444</v>
      </c>
      <c r="C26" s="417" t="s">
        <v>444</v>
      </c>
      <c r="D26" s="417" t="s">
        <v>444</v>
      </c>
      <c r="E26" s="417"/>
      <c r="F26" s="417" t="s">
        <v>444</v>
      </c>
      <c r="G26" s="417" t="s">
        <v>444</v>
      </c>
      <c r="H26" s="417" t="s">
        <v>444</v>
      </c>
      <c r="I26" s="418" t="s">
        <v>444</v>
      </c>
      <c r="J26" s="419" t="s">
        <v>451</v>
      </c>
    </row>
    <row r="27" spans="1:10" ht="14.4" customHeight="1" x14ac:dyDescent="0.3">
      <c r="A27" s="415" t="s">
        <v>442</v>
      </c>
      <c r="B27" s="416" t="s">
        <v>445</v>
      </c>
      <c r="C27" s="417">
        <v>31.302630000000001</v>
      </c>
      <c r="D27" s="417">
        <v>30.158699999998998</v>
      </c>
      <c r="E27" s="417"/>
      <c r="F27" s="417">
        <v>27.401229999999998</v>
      </c>
      <c r="G27" s="417">
        <v>31</v>
      </c>
      <c r="H27" s="417">
        <v>-3.5987700000000018</v>
      </c>
      <c r="I27" s="418">
        <v>0.88391064516129025</v>
      </c>
      <c r="J27" s="419" t="s">
        <v>446</v>
      </c>
    </row>
  </sheetData>
  <mergeCells count="3">
    <mergeCell ref="F3:I3"/>
    <mergeCell ref="C4:D4"/>
    <mergeCell ref="A1:I1"/>
  </mergeCells>
  <conditionalFormatting sqref="F10 F28:F65537">
    <cfRule type="cellIs" dxfId="49" priority="18" stopIfTrue="1" operator="greaterThan">
      <formula>1</formula>
    </cfRule>
  </conditionalFormatting>
  <conditionalFormatting sqref="H5:H9">
    <cfRule type="expression" dxfId="48" priority="14">
      <formula>$H5&gt;0</formula>
    </cfRule>
  </conditionalFormatting>
  <conditionalFormatting sqref="I5:I9">
    <cfRule type="expression" dxfId="47" priority="15">
      <formula>$I5&gt;1</formula>
    </cfRule>
  </conditionalFormatting>
  <conditionalFormatting sqref="B5:B9">
    <cfRule type="expression" dxfId="46" priority="11">
      <formula>OR($J5="NS",$J5="SumaNS",$J5="Účet")</formula>
    </cfRule>
  </conditionalFormatting>
  <conditionalFormatting sqref="B5:D9 F5:I9">
    <cfRule type="expression" dxfId="45" priority="17">
      <formula>AND($J5&lt;&gt;"",$J5&lt;&gt;"mezeraKL")</formula>
    </cfRule>
  </conditionalFormatting>
  <conditionalFormatting sqref="B5:D9 F5:I9">
    <cfRule type="expression" dxfId="4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3" priority="13">
      <formula>OR($J5="SumaNS",$J5="NS")</formula>
    </cfRule>
  </conditionalFormatting>
  <conditionalFormatting sqref="A5:A9">
    <cfRule type="expression" dxfId="42" priority="9">
      <formula>AND($J5&lt;&gt;"mezeraKL",$J5&lt;&gt;"")</formula>
    </cfRule>
  </conditionalFormatting>
  <conditionalFormatting sqref="A5:A9">
    <cfRule type="expression" dxfId="41" priority="10">
      <formula>AND($J5&lt;&gt;"",$J5&lt;&gt;"mezeraKL")</formula>
    </cfRule>
  </conditionalFormatting>
  <conditionalFormatting sqref="H11:H27">
    <cfRule type="expression" dxfId="40" priority="5">
      <formula>$H11&gt;0</formula>
    </cfRule>
  </conditionalFormatting>
  <conditionalFormatting sqref="A11:A27">
    <cfRule type="expression" dxfId="39" priority="2">
      <formula>AND($J11&lt;&gt;"mezeraKL",$J11&lt;&gt;"")</formula>
    </cfRule>
  </conditionalFormatting>
  <conditionalFormatting sqref="I11:I27">
    <cfRule type="expression" dxfId="38" priority="6">
      <formula>$I11&gt;1</formula>
    </cfRule>
  </conditionalFormatting>
  <conditionalFormatting sqref="B11:B27">
    <cfRule type="expression" dxfId="37" priority="1">
      <formula>OR($J11="NS",$J11="SumaNS",$J11="Účet")</formula>
    </cfRule>
  </conditionalFormatting>
  <conditionalFormatting sqref="A11:D27 F11:I27">
    <cfRule type="expression" dxfId="36" priority="8">
      <formula>AND($J11&lt;&gt;"",$J11&lt;&gt;"mezeraKL")</formula>
    </cfRule>
  </conditionalFormatting>
  <conditionalFormatting sqref="B11:D27 F11:I27">
    <cfRule type="expression" dxfId="3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27 F11:I27">
    <cfRule type="expression" dxfId="3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10" bestFit="1" customWidth="1" collapsed="1"/>
    <col min="4" max="4" width="18.77734375" style="214" customWidth="1"/>
    <col min="5" max="5" width="9" style="210" bestFit="1" customWidth="1"/>
    <col min="6" max="6" width="18.77734375" style="214" customWidth="1"/>
    <col min="7" max="7" width="5" style="210" customWidth="1"/>
    <col min="8" max="8" width="12.44140625" style="210" hidden="1" customWidth="1" outlineLevel="1"/>
    <col min="9" max="9" width="8.5546875" style="210" hidden="1" customWidth="1" outlineLevel="1"/>
    <col min="10" max="10" width="25.77734375" style="210" customWidth="1" collapsed="1"/>
    <col min="11" max="11" width="8.77734375" style="210" customWidth="1"/>
    <col min="12" max="13" width="7.77734375" style="208" customWidth="1"/>
    <col min="14" max="14" width="11.109375" style="208" customWidth="1"/>
    <col min="15" max="16384" width="8.88671875" style="130"/>
  </cols>
  <sheetData>
    <row r="1" spans="1:14" ht="18.600000000000001" customHeight="1" thickBot="1" x14ac:dyDescent="0.4">
      <c r="A1" s="341" t="s">
        <v>163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4.4" customHeight="1" thickBot="1" x14ac:dyDescent="0.35">
      <c r="A2" s="235" t="s">
        <v>263</v>
      </c>
      <c r="B2" s="6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129</v>
      </c>
      <c r="K3" s="340"/>
      <c r="L3" s="98">
        <f>IF(M3&lt;&gt;0,N3/M3,0)</f>
        <v>238.22014693785579</v>
      </c>
      <c r="M3" s="98">
        <f>SUBTOTAL(9,M5:M1048576)</f>
        <v>86.35</v>
      </c>
      <c r="N3" s="99">
        <f>SUBTOTAL(9,N5:N1048576)</f>
        <v>20570.309688083846</v>
      </c>
    </row>
    <row r="4" spans="1:14" s="209" customFormat="1" ht="14.4" customHeight="1" thickBot="1" x14ac:dyDescent="0.35">
      <c r="A4" s="420" t="s">
        <v>4</v>
      </c>
      <c r="B4" s="421" t="s">
        <v>5</v>
      </c>
      <c r="C4" s="421" t="s">
        <v>0</v>
      </c>
      <c r="D4" s="421" t="s">
        <v>6</v>
      </c>
      <c r="E4" s="421" t="s">
        <v>7</v>
      </c>
      <c r="F4" s="421" t="s">
        <v>1</v>
      </c>
      <c r="G4" s="421" t="s">
        <v>8</v>
      </c>
      <c r="H4" s="421" t="s">
        <v>9</v>
      </c>
      <c r="I4" s="421" t="s">
        <v>10</v>
      </c>
      <c r="J4" s="422" t="s">
        <v>11</v>
      </c>
      <c r="K4" s="422" t="s">
        <v>12</v>
      </c>
      <c r="L4" s="423" t="s">
        <v>143</v>
      </c>
      <c r="M4" s="423" t="s">
        <v>13</v>
      </c>
      <c r="N4" s="424" t="s">
        <v>157</v>
      </c>
    </row>
    <row r="5" spans="1:14" ht="14.4" customHeight="1" x14ac:dyDescent="0.3">
      <c r="A5" s="425" t="s">
        <v>442</v>
      </c>
      <c r="B5" s="426" t="s">
        <v>520</v>
      </c>
      <c r="C5" s="427" t="s">
        <v>452</v>
      </c>
      <c r="D5" s="428" t="s">
        <v>521</v>
      </c>
      <c r="E5" s="427" t="s">
        <v>458</v>
      </c>
      <c r="F5" s="428" t="s">
        <v>523</v>
      </c>
      <c r="G5" s="427" t="s">
        <v>459</v>
      </c>
      <c r="H5" s="427" t="s">
        <v>460</v>
      </c>
      <c r="I5" s="427" t="s">
        <v>460</v>
      </c>
      <c r="J5" s="427" t="s">
        <v>461</v>
      </c>
      <c r="K5" s="427" t="s">
        <v>462</v>
      </c>
      <c r="L5" s="429">
        <v>149.5</v>
      </c>
      <c r="M5" s="429">
        <v>0.1</v>
      </c>
      <c r="N5" s="430">
        <v>14.950000000000001</v>
      </c>
    </row>
    <row r="6" spans="1:14" ht="14.4" customHeight="1" x14ac:dyDescent="0.3">
      <c r="A6" s="431" t="s">
        <v>442</v>
      </c>
      <c r="B6" s="432" t="s">
        <v>520</v>
      </c>
      <c r="C6" s="433" t="s">
        <v>452</v>
      </c>
      <c r="D6" s="434" t="s">
        <v>521</v>
      </c>
      <c r="E6" s="433" t="s">
        <v>458</v>
      </c>
      <c r="F6" s="434" t="s">
        <v>523</v>
      </c>
      <c r="G6" s="433" t="s">
        <v>459</v>
      </c>
      <c r="H6" s="433" t="s">
        <v>463</v>
      </c>
      <c r="I6" s="433" t="s">
        <v>464</v>
      </c>
      <c r="J6" s="433" t="s">
        <v>465</v>
      </c>
      <c r="K6" s="433" t="s">
        <v>466</v>
      </c>
      <c r="L6" s="435">
        <v>84.569816911816559</v>
      </c>
      <c r="M6" s="435">
        <v>1</v>
      </c>
      <c r="N6" s="436">
        <v>84.569816911816559</v>
      </c>
    </row>
    <row r="7" spans="1:14" ht="14.4" customHeight="1" x14ac:dyDescent="0.3">
      <c r="A7" s="431" t="s">
        <v>442</v>
      </c>
      <c r="B7" s="432" t="s">
        <v>520</v>
      </c>
      <c r="C7" s="433" t="s">
        <v>452</v>
      </c>
      <c r="D7" s="434" t="s">
        <v>521</v>
      </c>
      <c r="E7" s="433" t="s">
        <v>458</v>
      </c>
      <c r="F7" s="434" t="s">
        <v>523</v>
      </c>
      <c r="G7" s="433" t="s">
        <v>459</v>
      </c>
      <c r="H7" s="433" t="s">
        <v>467</v>
      </c>
      <c r="I7" s="433" t="s">
        <v>468</v>
      </c>
      <c r="J7" s="433" t="s">
        <v>469</v>
      </c>
      <c r="K7" s="433" t="s">
        <v>470</v>
      </c>
      <c r="L7" s="435">
        <v>98.23</v>
      </c>
      <c r="M7" s="435">
        <v>4</v>
      </c>
      <c r="N7" s="436">
        <v>392.92</v>
      </c>
    </row>
    <row r="8" spans="1:14" ht="14.4" customHeight="1" x14ac:dyDescent="0.3">
      <c r="A8" s="431" t="s">
        <v>442</v>
      </c>
      <c r="B8" s="432" t="s">
        <v>520</v>
      </c>
      <c r="C8" s="433" t="s">
        <v>452</v>
      </c>
      <c r="D8" s="434" t="s">
        <v>521</v>
      </c>
      <c r="E8" s="433" t="s">
        <v>458</v>
      </c>
      <c r="F8" s="434" t="s">
        <v>523</v>
      </c>
      <c r="G8" s="433" t="s">
        <v>459</v>
      </c>
      <c r="H8" s="433" t="s">
        <v>471</v>
      </c>
      <c r="I8" s="433" t="s">
        <v>472</v>
      </c>
      <c r="J8" s="433" t="s">
        <v>473</v>
      </c>
      <c r="K8" s="433" t="s">
        <v>474</v>
      </c>
      <c r="L8" s="435">
        <v>170.28500000000003</v>
      </c>
      <c r="M8" s="435">
        <v>2</v>
      </c>
      <c r="N8" s="436">
        <v>340.57000000000005</v>
      </c>
    </row>
    <row r="9" spans="1:14" ht="14.4" customHeight="1" x14ac:dyDescent="0.3">
      <c r="A9" s="431" t="s">
        <v>442</v>
      </c>
      <c r="B9" s="432" t="s">
        <v>520</v>
      </c>
      <c r="C9" s="433" t="s">
        <v>452</v>
      </c>
      <c r="D9" s="434" t="s">
        <v>521</v>
      </c>
      <c r="E9" s="433" t="s">
        <v>458</v>
      </c>
      <c r="F9" s="434" t="s">
        <v>523</v>
      </c>
      <c r="G9" s="433" t="s">
        <v>459</v>
      </c>
      <c r="H9" s="433" t="s">
        <v>475</v>
      </c>
      <c r="I9" s="433" t="s">
        <v>476</v>
      </c>
      <c r="J9" s="433" t="s">
        <v>477</v>
      </c>
      <c r="K9" s="433" t="s">
        <v>478</v>
      </c>
      <c r="L9" s="435">
        <v>140.28</v>
      </c>
      <c r="M9" s="435">
        <v>1</v>
      </c>
      <c r="N9" s="436">
        <v>140.28</v>
      </c>
    </row>
    <row r="10" spans="1:14" ht="14.4" customHeight="1" x14ac:dyDescent="0.3">
      <c r="A10" s="431" t="s">
        <v>442</v>
      </c>
      <c r="B10" s="432" t="s">
        <v>520</v>
      </c>
      <c r="C10" s="433" t="s">
        <v>452</v>
      </c>
      <c r="D10" s="434" t="s">
        <v>521</v>
      </c>
      <c r="E10" s="433" t="s">
        <v>458</v>
      </c>
      <c r="F10" s="434" t="s">
        <v>523</v>
      </c>
      <c r="G10" s="433" t="s">
        <v>459</v>
      </c>
      <c r="H10" s="433" t="s">
        <v>479</v>
      </c>
      <c r="I10" s="433" t="s">
        <v>480</v>
      </c>
      <c r="J10" s="433" t="s">
        <v>481</v>
      </c>
      <c r="K10" s="433" t="s">
        <v>482</v>
      </c>
      <c r="L10" s="435">
        <v>28.219999999999988</v>
      </c>
      <c r="M10" s="435">
        <v>3</v>
      </c>
      <c r="N10" s="436">
        <v>84.659999999999968</v>
      </c>
    </row>
    <row r="11" spans="1:14" ht="14.4" customHeight="1" x14ac:dyDescent="0.3">
      <c r="A11" s="431" t="s">
        <v>442</v>
      </c>
      <c r="B11" s="432" t="s">
        <v>520</v>
      </c>
      <c r="C11" s="433" t="s">
        <v>452</v>
      </c>
      <c r="D11" s="434" t="s">
        <v>521</v>
      </c>
      <c r="E11" s="433" t="s">
        <v>458</v>
      </c>
      <c r="F11" s="434" t="s">
        <v>523</v>
      </c>
      <c r="G11" s="433" t="s">
        <v>459</v>
      </c>
      <c r="H11" s="433" t="s">
        <v>483</v>
      </c>
      <c r="I11" s="433" t="s">
        <v>484</v>
      </c>
      <c r="J11" s="433" t="s">
        <v>485</v>
      </c>
      <c r="K11" s="433" t="s">
        <v>486</v>
      </c>
      <c r="L11" s="435">
        <v>69.659999999999982</v>
      </c>
      <c r="M11" s="435">
        <v>1</v>
      </c>
      <c r="N11" s="436">
        <v>69.659999999999982</v>
      </c>
    </row>
    <row r="12" spans="1:14" ht="14.4" customHeight="1" x14ac:dyDescent="0.3">
      <c r="A12" s="431" t="s">
        <v>442</v>
      </c>
      <c r="B12" s="432" t="s">
        <v>520</v>
      </c>
      <c r="C12" s="433" t="s">
        <v>452</v>
      </c>
      <c r="D12" s="434" t="s">
        <v>521</v>
      </c>
      <c r="E12" s="433" t="s">
        <v>458</v>
      </c>
      <c r="F12" s="434" t="s">
        <v>523</v>
      </c>
      <c r="G12" s="433" t="s">
        <v>459</v>
      </c>
      <c r="H12" s="433" t="s">
        <v>487</v>
      </c>
      <c r="I12" s="433" t="s">
        <v>488</v>
      </c>
      <c r="J12" s="433" t="s">
        <v>489</v>
      </c>
      <c r="K12" s="433" t="s">
        <v>490</v>
      </c>
      <c r="L12" s="435">
        <v>74.69</v>
      </c>
      <c r="M12" s="435">
        <v>2</v>
      </c>
      <c r="N12" s="436">
        <v>149.38</v>
      </c>
    </row>
    <row r="13" spans="1:14" ht="14.4" customHeight="1" x14ac:dyDescent="0.3">
      <c r="A13" s="431" t="s">
        <v>442</v>
      </c>
      <c r="B13" s="432" t="s">
        <v>520</v>
      </c>
      <c r="C13" s="433" t="s">
        <v>452</v>
      </c>
      <c r="D13" s="434" t="s">
        <v>521</v>
      </c>
      <c r="E13" s="433" t="s">
        <v>458</v>
      </c>
      <c r="F13" s="434" t="s">
        <v>523</v>
      </c>
      <c r="G13" s="433" t="s">
        <v>459</v>
      </c>
      <c r="H13" s="433" t="s">
        <v>491</v>
      </c>
      <c r="I13" s="433" t="s">
        <v>492</v>
      </c>
      <c r="J13" s="433" t="s">
        <v>493</v>
      </c>
      <c r="K13" s="433" t="s">
        <v>494</v>
      </c>
      <c r="L13" s="435">
        <v>266.56819850724202</v>
      </c>
      <c r="M13" s="435">
        <v>1</v>
      </c>
      <c r="N13" s="436">
        <v>266.56819850724202</v>
      </c>
    </row>
    <row r="14" spans="1:14" ht="14.4" customHeight="1" x14ac:dyDescent="0.3">
      <c r="A14" s="431" t="s">
        <v>442</v>
      </c>
      <c r="B14" s="432" t="s">
        <v>520</v>
      </c>
      <c r="C14" s="433" t="s">
        <v>452</v>
      </c>
      <c r="D14" s="434" t="s">
        <v>521</v>
      </c>
      <c r="E14" s="433" t="s">
        <v>458</v>
      </c>
      <c r="F14" s="434" t="s">
        <v>523</v>
      </c>
      <c r="G14" s="433" t="s">
        <v>459</v>
      </c>
      <c r="H14" s="433" t="s">
        <v>495</v>
      </c>
      <c r="I14" s="433" t="s">
        <v>496</v>
      </c>
      <c r="J14" s="433" t="s">
        <v>493</v>
      </c>
      <c r="K14" s="433" t="s">
        <v>497</v>
      </c>
      <c r="L14" s="435">
        <v>50.600009068248099</v>
      </c>
      <c r="M14" s="435">
        <v>1</v>
      </c>
      <c r="N14" s="436">
        <v>50.600009068248099</v>
      </c>
    </row>
    <row r="15" spans="1:14" ht="14.4" customHeight="1" x14ac:dyDescent="0.3">
      <c r="A15" s="431" t="s">
        <v>442</v>
      </c>
      <c r="B15" s="432" t="s">
        <v>520</v>
      </c>
      <c r="C15" s="433" t="s">
        <v>452</v>
      </c>
      <c r="D15" s="434" t="s">
        <v>521</v>
      </c>
      <c r="E15" s="433" t="s">
        <v>458</v>
      </c>
      <c r="F15" s="434" t="s">
        <v>523</v>
      </c>
      <c r="G15" s="433" t="s">
        <v>459</v>
      </c>
      <c r="H15" s="433" t="s">
        <v>498</v>
      </c>
      <c r="I15" s="433" t="s">
        <v>498</v>
      </c>
      <c r="J15" s="433" t="s">
        <v>499</v>
      </c>
      <c r="K15" s="433" t="s">
        <v>500</v>
      </c>
      <c r="L15" s="435">
        <v>1129.2999113722058</v>
      </c>
      <c r="M15" s="435">
        <v>10</v>
      </c>
      <c r="N15" s="436">
        <v>11292.999113722057</v>
      </c>
    </row>
    <row r="16" spans="1:14" ht="14.4" customHeight="1" x14ac:dyDescent="0.3">
      <c r="A16" s="431" t="s">
        <v>442</v>
      </c>
      <c r="B16" s="432" t="s">
        <v>520</v>
      </c>
      <c r="C16" s="433" t="s">
        <v>452</v>
      </c>
      <c r="D16" s="434" t="s">
        <v>521</v>
      </c>
      <c r="E16" s="433" t="s">
        <v>458</v>
      </c>
      <c r="F16" s="434" t="s">
        <v>523</v>
      </c>
      <c r="G16" s="433" t="s">
        <v>459</v>
      </c>
      <c r="H16" s="433" t="s">
        <v>501</v>
      </c>
      <c r="I16" s="433" t="s">
        <v>187</v>
      </c>
      <c r="J16" s="433" t="s">
        <v>502</v>
      </c>
      <c r="K16" s="433" t="s">
        <v>503</v>
      </c>
      <c r="L16" s="435">
        <v>46.598326756111916</v>
      </c>
      <c r="M16" s="435">
        <v>40</v>
      </c>
      <c r="N16" s="436">
        <v>1863.9330702444768</v>
      </c>
    </row>
    <row r="17" spans="1:14" ht="14.4" customHeight="1" x14ac:dyDescent="0.3">
      <c r="A17" s="431" t="s">
        <v>442</v>
      </c>
      <c r="B17" s="432" t="s">
        <v>520</v>
      </c>
      <c r="C17" s="433" t="s">
        <v>452</v>
      </c>
      <c r="D17" s="434" t="s">
        <v>521</v>
      </c>
      <c r="E17" s="433" t="s">
        <v>458</v>
      </c>
      <c r="F17" s="434" t="s">
        <v>523</v>
      </c>
      <c r="G17" s="433" t="s">
        <v>459</v>
      </c>
      <c r="H17" s="433" t="s">
        <v>504</v>
      </c>
      <c r="I17" s="433" t="s">
        <v>504</v>
      </c>
      <c r="J17" s="433" t="s">
        <v>505</v>
      </c>
      <c r="K17" s="433" t="s">
        <v>506</v>
      </c>
      <c r="L17" s="435">
        <v>60.259869541280196</v>
      </c>
      <c r="M17" s="435">
        <v>1</v>
      </c>
      <c r="N17" s="436">
        <v>60.259869541280196</v>
      </c>
    </row>
    <row r="18" spans="1:14" ht="14.4" customHeight="1" x14ac:dyDescent="0.3">
      <c r="A18" s="431" t="s">
        <v>442</v>
      </c>
      <c r="B18" s="432" t="s">
        <v>520</v>
      </c>
      <c r="C18" s="433" t="s">
        <v>455</v>
      </c>
      <c r="D18" s="434" t="s">
        <v>522</v>
      </c>
      <c r="E18" s="433" t="s">
        <v>458</v>
      </c>
      <c r="F18" s="434" t="s">
        <v>523</v>
      </c>
      <c r="G18" s="433" t="s">
        <v>459</v>
      </c>
      <c r="H18" s="433" t="s">
        <v>507</v>
      </c>
      <c r="I18" s="433" t="s">
        <v>507</v>
      </c>
      <c r="J18" s="433" t="s">
        <v>508</v>
      </c>
      <c r="K18" s="433" t="s">
        <v>509</v>
      </c>
      <c r="L18" s="435">
        <v>179.40000000000009</v>
      </c>
      <c r="M18" s="435">
        <v>0.25</v>
      </c>
      <c r="N18" s="436">
        <v>44.850000000000023</v>
      </c>
    </row>
    <row r="19" spans="1:14" ht="14.4" customHeight="1" x14ac:dyDescent="0.3">
      <c r="A19" s="431" t="s">
        <v>442</v>
      </c>
      <c r="B19" s="432" t="s">
        <v>520</v>
      </c>
      <c r="C19" s="433" t="s">
        <v>455</v>
      </c>
      <c r="D19" s="434" t="s">
        <v>522</v>
      </c>
      <c r="E19" s="433" t="s">
        <v>458</v>
      </c>
      <c r="F19" s="434" t="s">
        <v>523</v>
      </c>
      <c r="G19" s="433" t="s">
        <v>459</v>
      </c>
      <c r="H19" s="433" t="s">
        <v>510</v>
      </c>
      <c r="I19" s="433" t="s">
        <v>187</v>
      </c>
      <c r="J19" s="433" t="s">
        <v>511</v>
      </c>
      <c r="K19" s="433"/>
      <c r="L19" s="435">
        <v>97.320303890330933</v>
      </c>
      <c r="M19" s="435">
        <v>5</v>
      </c>
      <c r="N19" s="436">
        <v>486.60151945165467</v>
      </c>
    </row>
    <row r="20" spans="1:14" ht="14.4" customHeight="1" x14ac:dyDescent="0.3">
      <c r="A20" s="431" t="s">
        <v>442</v>
      </c>
      <c r="B20" s="432" t="s">
        <v>520</v>
      </c>
      <c r="C20" s="433" t="s">
        <v>455</v>
      </c>
      <c r="D20" s="434" t="s">
        <v>522</v>
      </c>
      <c r="E20" s="433" t="s">
        <v>458</v>
      </c>
      <c r="F20" s="434" t="s">
        <v>523</v>
      </c>
      <c r="G20" s="433" t="s">
        <v>459</v>
      </c>
      <c r="H20" s="433" t="s">
        <v>512</v>
      </c>
      <c r="I20" s="433" t="s">
        <v>187</v>
      </c>
      <c r="J20" s="433" t="s">
        <v>513</v>
      </c>
      <c r="K20" s="433" t="s">
        <v>514</v>
      </c>
      <c r="L20" s="435">
        <v>75.019937991689972</v>
      </c>
      <c r="M20" s="435">
        <v>2</v>
      </c>
      <c r="N20" s="436">
        <v>150.03987598337994</v>
      </c>
    </row>
    <row r="21" spans="1:14" ht="14.4" customHeight="1" x14ac:dyDescent="0.3">
      <c r="A21" s="431" t="s">
        <v>442</v>
      </c>
      <c r="B21" s="432" t="s">
        <v>520</v>
      </c>
      <c r="C21" s="433" t="s">
        <v>455</v>
      </c>
      <c r="D21" s="434" t="s">
        <v>522</v>
      </c>
      <c r="E21" s="433" t="s">
        <v>458</v>
      </c>
      <c r="F21" s="434" t="s">
        <v>523</v>
      </c>
      <c r="G21" s="433" t="s">
        <v>459</v>
      </c>
      <c r="H21" s="433" t="s">
        <v>498</v>
      </c>
      <c r="I21" s="433" t="s">
        <v>498</v>
      </c>
      <c r="J21" s="433" t="s">
        <v>499</v>
      </c>
      <c r="K21" s="433" t="s">
        <v>500</v>
      </c>
      <c r="L21" s="435">
        <v>1129.3037281756215</v>
      </c>
      <c r="M21" s="435">
        <v>3</v>
      </c>
      <c r="N21" s="436">
        <v>3387.9111845268644</v>
      </c>
    </row>
    <row r="22" spans="1:14" ht="14.4" customHeight="1" x14ac:dyDescent="0.3">
      <c r="A22" s="431" t="s">
        <v>442</v>
      </c>
      <c r="B22" s="432" t="s">
        <v>520</v>
      </c>
      <c r="C22" s="433" t="s">
        <v>455</v>
      </c>
      <c r="D22" s="434" t="s">
        <v>522</v>
      </c>
      <c r="E22" s="433" t="s">
        <v>458</v>
      </c>
      <c r="F22" s="434" t="s">
        <v>523</v>
      </c>
      <c r="G22" s="433" t="s">
        <v>459</v>
      </c>
      <c r="H22" s="433" t="s">
        <v>515</v>
      </c>
      <c r="I22" s="433" t="s">
        <v>187</v>
      </c>
      <c r="J22" s="433" t="s">
        <v>516</v>
      </c>
      <c r="K22" s="433"/>
      <c r="L22" s="435">
        <v>193.95214022979138</v>
      </c>
      <c r="M22" s="435">
        <v>8</v>
      </c>
      <c r="N22" s="436">
        <v>1551.6171218383311</v>
      </c>
    </row>
    <row r="23" spans="1:14" ht="14.4" customHeight="1" thickBot="1" x14ac:dyDescent="0.35">
      <c r="A23" s="437" t="s">
        <v>442</v>
      </c>
      <c r="B23" s="438" t="s">
        <v>520</v>
      </c>
      <c r="C23" s="439" t="s">
        <v>455</v>
      </c>
      <c r="D23" s="440" t="s">
        <v>522</v>
      </c>
      <c r="E23" s="439" t="s">
        <v>458</v>
      </c>
      <c r="F23" s="440" t="s">
        <v>523</v>
      </c>
      <c r="G23" s="439" t="s">
        <v>459</v>
      </c>
      <c r="H23" s="439" t="s">
        <v>517</v>
      </c>
      <c r="I23" s="439" t="s">
        <v>187</v>
      </c>
      <c r="J23" s="439" t="s">
        <v>518</v>
      </c>
      <c r="K23" s="439" t="s">
        <v>519</v>
      </c>
      <c r="L23" s="441">
        <v>137.93990828849738</v>
      </c>
      <c r="M23" s="441">
        <v>1</v>
      </c>
      <c r="N23" s="442">
        <v>137.93990828849738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43" t="s">
        <v>139</v>
      </c>
      <c r="B1" s="343"/>
      <c r="C1" s="343"/>
      <c r="D1" s="343"/>
      <c r="E1" s="343"/>
      <c r="F1" s="343"/>
      <c r="G1" s="343"/>
      <c r="H1" s="343"/>
      <c r="I1" s="306"/>
      <c r="J1" s="306"/>
      <c r="K1" s="306"/>
      <c r="L1" s="306"/>
    </row>
    <row r="2" spans="1:14" ht="14.4" customHeight="1" thickBot="1" x14ac:dyDescent="0.35">
      <c r="A2" s="235" t="s">
        <v>263</v>
      </c>
      <c r="B2" s="207"/>
      <c r="C2" s="207"/>
      <c r="D2" s="207"/>
      <c r="E2" s="207"/>
      <c r="F2" s="207"/>
      <c r="G2" s="207"/>
      <c r="H2" s="207"/>
    </row>
    <row r="3" spans="1:14" ht="14.4" customHeight="1" thickBot="1" x14ac:dyDescent="0.35">
      <c r="A3" s="144"/>
      <c r="B3" s="144"/>
      <c r="C3" s="354" t="s">
        <v>15</v>
      </c>
      <c r="D3" s="353"/>
      <c r="E3" s="353" t="s">
        <v>16</v>
      </c>
      <c r="F3" s="353"/>
      <c r="G3" s="353"/>
      <c r="H3" s="353"/>
      <c r="I3" s="353" t="s">
        <v>146</v>
      </c>
      <c r="J3" s="353"/>
      <c r="K3" s="353"/>
      <c r="L3" s="355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15">
        <v>28</v>
      </c>
      <c r="B5" s="416" t="s">
        <v>520</v>
      </c>
      <c r="C5" s="419">
        <v>9604.5400000000009</v>
      </c>
      <c r="D5" s="419">
        <v>17</v>
      </c>
      <c r="E5" s="419">
        <v>1627.58</v>
      </c>
      <c r="F5" s="443">
        <v>0.16945944313834913</v>
      </c>
      <c r="G5" s="419">
        <v>8</v>
      </c>
      <c r="H5" s="443">
        <v>0.47058823529411764</v>
      </c>
      <c r="I5" s="419">
        <v>7976.96</v>
      </c>
      <c r="J5" s="443">
        <v>0.83054055686165074</v>
      </c>
      <c r="K5" s="419">
        <v>9</v>
      </c>
      <c r="L5" s="443">
        <v>0.52941176470588236</v>
      </c>
      <c r="M5" s="419" t="s">
        <v>69</v>
      </c>
      <c r="N5" s="151"/>
    </row>
    <row r="6" spans="1:14" ht="14.4" customHeight="1" x14ac:dyDescent="0.3">
      <c r="A6" s="415">
        <v>28</v>
      </c>
      <c r="B6" s="416" t="s">
        <v>524</v>
      </c>
      <c r="C6" s="419">
        <v>9604.5400000000009</v>
      </c>
      <c r="D6" s="419">
        <v>17</v>
      </c>
      <c r="E6" s="419">
        <v>1627.58</v>
      </c>
      <c r="F6" s="443">
        <v>0.16945944313834913</v>
      </c>
      <c r="G6" s="419">
        <v>8</v>
      </c>
      <c r="H6" s="443">
        <v>0.47058823529411764</v>
      </c>
      <c r="I6" s="419">
        <v>7976.96</v>
      </c>
      <c r="J6" s="443">
        <v>0.83054055686165074</v>
      </c>
      <c r="K6" s="419">
        <v>9</v>
      </c>
      <c r="L6" s="443">
        <v>0.52941176470588236</v>
      </c>
      <c r="M6" s="419" t="s">
        <v>1</v>
      </c>
      <c r="N6" s="151"/>
    </row>
    <row r="7" spans="1:14" ht="14.4" customHeight="1" x14ac:dyDescent="0.3">
      <c r="A7" s="415" t="s">
        <v>442</v>
      </c>
      <c r="B7" s="416" t="s">
        <v>3</v>
      </c>
      <c r="C7" s="419">
        <v>9604.5400000000009</v>
      </c>
      <c r="D7" s="419">
        <v>17</v>
      </c>
      <c r="E7" s="419">
        <v>1627.58</v>
      </c>
      <c r="F7" s="443">
        <v>0.16945944313834913</v>
      </c>
      <c r="G7" s="419">
        <v>8</v>
      </c>
      <c r="H7" s="443">
        <v>0.47058823529411764</v>
      </c>
      <c r="I7" s="419">
        <v>7976.96</v>
      </c>
      <c r="J7" s="443">
        <v>0.83054055686165074</v>
      </c>
      <c r="K7" s="419">
        <v>9</v>
      </c>
      <c r="L7" s="443">
        <v>0.52941176470588236</v>
      </c>
      <c r="M7" s="419" t="s">
        <v>446</v>
      </c>
      <c r="N7" s="151"/>
    </row>
    <row r="9" spans="1:14" ht="14.4" customHeight="1" x14ac:dyDescent="0.3">
      <c r="A9" s="415">
        <v>28</v>
      </c>
      <c r="B9" s="416" t="s">
        <v>520</v>
      </c>
      <c r="C9" s="419" t="s">
        <v>444</v>
      </c>
      <c r="D9" s="419" t="s">
        <v>444</v>
      </c>
      <c r="E9" s="419" t="s">
        <v>444</v>
      </c>
      <c r="F9" s="443" t="s">
        <v>444</v>
      </c>
      <c r="G9" s="419" t="s">
        <v>444</v>
      </c>
      <c r="H9" s="443" t="s">
        <v>444</v>
      </c>
      <c r="I9" s="419" t="s">
        <v>444</v>
      </c>
      <c r="J9" s="443" t="s">
        <v>444</v>
      </c>
      <c r="K9" s="419" t="s">
        <v>444</v>
      </c>
      <c r="L9" s="443" t="s">
        <v>444</v>
      </c>
      <c r="M9" s="419" t="s">
        <v>69</v>
      </c>
      <c r="N9" s="151"/>
    </row>
    <row r="10" spans="1:14" ht="14.4" customHeight="1" x14ac:dyDescent="0.3">
      <c r="A10" s="415">
        <v>89301282</v>
      </c>
      <c r="B10" s="416" t="s">
        <v>524</v>
      </c>
      <c r="C10" s="419">
        <v>9604.5400000000009</v>
      </c>
      <c r="D10" s="419">
        <v>17</v>
      </c>
      <c r="E10" s="419">
        <v>1627.58</v>
      </c>
      <c r="F10" s="443">
        <v>0.16945944313834913</v>
      </c>
      <c r="G10" s="419">
        <v>8</v>
      </c>
      <c r="H10" s="443">
        <v>0.47058823529411764</v>
      </c>
      <c r="I10" s="419">
        <v>7976.96</v>
      </c>
      <c r="J10" s="443">
        <v>0.83054055686165074</v>
      </c>
      <c r="K10" s="419">
        <v>9</v>
      </c>
      <c r="L10" s="443">
        <v>0.52941176470588236</v>
      </c>
      <c r="M10" s="419" t="s">
        <v>1</v>
      </c>
      <c r="N10" s="151"/>
    </row>
    <row r="11" spans="1:14" ht="14.4" customHeight="1" x14ac:dyDescent="0.3">
      <c r="A11" s="415" t="s">
        <v>525</v>
      </c>
      <c r="B11" s="416" t="s">
        <v>526</v>
      </c>
      <c r="C11" s="419">
        <v>9604.5400000000009</v>
      </c>
      <c r="D11" s="419">
        <v>17</v>
      </c>
      <c r="E11" s="419">
        <v>1627.58</v>
      </c>
      <c r="F11" s="443">
        <v>0.16945944313834913</v>
      </c>
      <c r="G11" s="419">
        <v>8</v>
      </c>
      <c r="H11" s="443">
        <v>0.47058823529411764</v>
      </c>
      <c r="I11" s="419">
        <v>7976.96</v>
      </c>
      <c r="J11" s="443">
        <v>0.83054055686165074</v>
      </c>
      <c r="K11" s="419">
        <v>9</v>
      </c>
      <c r="L11" s="443">
        <v>0.52941176470588236</v>
      </c>
      <c r="M11" s="419" t="s">
        <v>450</v>
      </c>
      <c r="N11" s="151"/>
    </row>
    <row r="12" spans="1:14" ht="14.4" customHeight="1" x14ac:dyDescent="0.3">
      <c r="A12" s="415" t="s">
        <v>444</v>
      </c>
      <c r="B12" s="416" t="s">
        <v>444</v>
      </c>
      <c r="C12" s="419" t="s">
        <v>444</v>
      </c>
      <c r="D12" s="419" t="s">
        <v>444</v>
      </c>
      <c r="E12" s="419" t="s">
        <v>444</v>
      </c>
      <c r="F12" s="443" t="s">
        <v>444</v>
      </c>
      <c r="G12" s="419" t="s">
        <v>444</v>
      </c>
      <c r="H12" s="443" t="s">
        <v>444</v>
      </c>
      <c r="I12" s="419" t="s">
        <v>444</v>
      </c>
      <c r="J12" s="443" t="s">
        <v>444</v>
      </c>
      <c r="K12" s="419" t="s">
        <v>444</v>
      </c>
      <c r="L12" s="443" t="s">
        <v>444</v>
      </c>
      <c r="M12" s="419" t="s">
        <v>451</v>
      </c>
      <c r="N12" s="151"/>
    </row>
    <row r="13" spans="1:14" ht="14.4" customHeight="1" x14ac:dyDescent="0.3">
      <c r="A13" s="415" t="s">
        <v>442</v>
      </c>
      <c r="B13" s="416" t="s">
        <v>527</v>
      </c>
      <c r="C13" s="419">
        <v>9604.5400000000009</v>
      </c>
      <c r="D13" s="419">
        <v>17</v>
      </c>
      <c r="E13" s="419">
        <v>1627.58</v>
      </c>
      <c r="F13" s="443">
        <v>0.16945944313834913</v>
      </c>
      <c r="G13" s="419">
        <v>8</v>
      </c>
      <c r="H13" s="443">
        <v>0.47058823529411764</v>
      </c>
      <c r="I13" s="419">
        <v>7976.96</v>
      </c>
      <c r="J13" s="443">
        <v>0.83054055686165074</v>
      </c>
      <c r="K13" s="419">
        <v>9</v>
      </c>
      <c r="L13" s="443">
        <v>0.52941176470588236</v>
      </c>
      <c r="M13" s="419" t="s">
        <v>446</v>
      </c>
      <c r="N13" s="151"/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3" priority="15" stopIfTrue="1" operator="lessThan">
      <formula>0.6</formula>
    </cfRule>
  </conditionalFormatting>
  <conditionalFormatting sqref="B5:B7">
    <cfRule type="expression" dxfId="32" priority="10">
      <formula>AND(LEFT(M5,6)&lt;&gt;"mezera",M5&lt;&gt;"")</formula>
    </cfRule>
  </conditionalFormatting>
  <conditionalFormatting sqref="A5:A7">
    <cfRule type="expression" dxfId="31" priority="8">
      <formula>AND(M5&lt;&gt;"",M5&lt;&gt;"mezeraKL")</formula>
    </cfRule>
  </conditionalFormatting>
  <conditionalFormatting sqref="F5:F7">
    <cfRule type="cellIs" dxfId="30" priority="7" operator="lessThan">
      <formula>0.6</formula>
    </cfRule>
  </conditionalFormatting>
  <conditionalFormatting sqref="B5:L7">
    <cfRule type="expression" dxfId="29" priority="9">
      <formula>OR($M5="KL",$M5="SumaKL")</formula>
    </cfRule>
    <cfRule type="expression" dxfId="28" priority="11">
      <formula>$M5="SumaNS"</formula>
    </cfRule>
  </conditionalFormatting>
  <conditionalFormatting sqref="A5:L7">
    <cfRule type="expression" dxfId="27" priority="12">
      <formula>$M5&lt;&gt;""</formula>
    </cfRule>
  </conditionalFormatting>
  <conditionalFormatting sqref="B9:B13">
    <cfRule type="expression" dxfId="26" priority="4">
      <formula>AND(LEFT(M9,6)&lt;&gt;"mezera",M9&lt;&gt;"")</formula>
    </cfRule>
  </conditionalFormatting>
  <conditionalFormatting sqref="A9:A13">
    <cfRule type="expression" dxfId="25" priority="2">
      <formula>AND(M9&lt;&gt;"",M9&lt;&gt;"mezeraKL")</formula>
    </cfRule>
  </conditionalFormatting>
  <conditionalFormatting sqref="F9:F13">
    <cfRule type="cellIs" dxfId="24" priority="1" operator="lessThan">
      <formula>0.6</formula>
    </cfRule>
  </conditionalFormatting>
  <conditionalFormatting sqref="B9:L13">
    <cfRule type="expression" dxfId="23" priority="3">
      <formula>OR($M9="KL",$M9="SumaKL")</formula>
    </cfRule>
    <cfRule type="expression" dxfId="22" priority="5">
      <formula>$M9="SumaNS"</formula>
    </cfRule>
  </conditionalFormatting>
  <conditionalFormatting sqref="A9:L13">
    <cfRule type="expression" dxfId="21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2014-05-22T09:59:59Z</dcterms:modified>
</cp:coreProperties>
</file>