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D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C22" i="419"/>
  <c r="F22" i="419"/>
  <c r="J22" i="419"/>
  <c r="N22" i="419"/>
  <c r="R22" i="419"/>
  <c r="V22" i="419"/>
  <c r="Z22" i="419"/>
  <c r="AD22" i="419"/>
  <c r="AG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C19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Q3" i="347" l="1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<sst xmlns="http://schemas.openxmlformats.org/spreadsheetml/2006/main" count="4189" uniqueCount="1261">
  <si>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</si>
  <si>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</si>
  <si>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</si>
  <si>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</si>
  <si>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</si>
  <si>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</si>
  <si>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</si>
  <si>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</si>
  <si>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</si>
  <si>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</si>
  <si>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</si>
  <si>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</si>
  <si>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</si>
  <si>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</si>
  <si>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</si>
  <si>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</si>
  <si>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</si>
  <si>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</si>
  <si>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</si>
  <si>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</si>
  <si>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</si>
  <si>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</si>
  <si>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</si>
  <si>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</si>
  <si>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</si>
  <si>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</si>
  <si>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</si>
  <si>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</si>
  <si>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</si>
  <si>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</si>
  <si>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</si>
  <si>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</si>
  <si>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</si>
  <si>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</si>
  <si>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</si>
  <si>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</si>
  <si>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</si>
  <si>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</si>
  <si>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</si>
  <si>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</si>
  <si>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</si>
  <si>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</si>
  <si>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</si>
  <si>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</si>
  <si>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</si>
  <si>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</si>
  <si>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</si>
  <si>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</si>
  <si>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</si>
  <si>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</si>
  <si>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</si>
  <si>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</si>
  <si>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</si>
  <si>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</si>
  <si>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</si>
  <si>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</si>
  <si>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</si>
  <si>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</si>
  <si>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</si>
  <si>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</si>
  <si>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</si>
  <si>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</si>
  <si>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</si>
  <si>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</si>
  <si>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</si>
  <si>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</si>
  <si>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</si>
  <si>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</si>
  <si>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</si>
  <si>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</si>
  <si>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</si>
  <si>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</si>
  <si>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</si>
  <si>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</si>
  <si>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</si>
  <si>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</si>
  <si>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</si>
  <si>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</si>
  <si>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</si>
  <si>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</si>
  <si>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</si>
  <si>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</si>
  <si>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</si>
  <si>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</si>
  <si>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</si>
  <si>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</si>
  <si>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</si>
  <si>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</si>
  <si>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</si>
  <si>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</si>
  <si>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</si>
  <si>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</si>
  <si>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</si>
  <si>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</si>
  <si>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</si>
  <si>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</si>
  <si>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</si>
  <si>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</si>
  <si>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</si>
  <si>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</si>
  <si>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</si>
  <si>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</si>
  <si>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</si>
  <si>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</si>
  <si>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</si>
  <si>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</si>
  <si>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</si>
  <si>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</si>
  <si>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</si>
  <si>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</si>
  <si>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</si>
  <si>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</si>
  <si>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</si>
  <si>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</si>
  <si>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</si>
  <si>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</si>
  <si>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</si>
  <si>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</si>
  <si>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</si>
  <si>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</si>
  <si>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</si>
  <si>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</si>
  <si>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</si>
  <si>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</si>
  <si>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</si>
  <si>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</si>
  <si>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</si>
  <si>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</si>
  <si>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</si>
  <si>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</si>
  <si>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</si>
  <si>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</si>
  <si>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</si>
  <si>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</si>
  <si>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</si>
  <si>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</si>
  <si>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</si>
  <si>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</si>
  <si>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</si>
  <si>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</si>
  <si>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</si>
  <si>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</si>
  <si>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</si>
  <si>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</si>
  <si>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</si>
  <si>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</si>
  <si>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</si>
  <si>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</si>
  <si>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</si>
  <si>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</si>
  <si>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</si>
  <si>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</si>
  <si>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</si>
  <si>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</si>
  <si>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</si>
  <si>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</si>
  <si>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</si>
  <si>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</si>
  <si>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</si>
  <si>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</si>
  <si>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</si>
  <si>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</si>
  <si>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</si>
  <si>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</si>
  <si>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</si>
  <si>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</si>
  <si>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</si>
  <si>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</si>
  <si>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</si>
  <si>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</si>
  <si>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</si>
  <si>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</si>
  <si>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</si>
  <si>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</si>
  <si>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</si>
  <si>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</si>
  <si>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</si>
  <si>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</si>
  <si>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</si>
  <si>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</si>
  <si>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</si>
  <si>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</si>
  <si>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</si>
  <si>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</si>
  <si>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</si>
  <si>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</si>
  <si>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</si>
  <si>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</si>
  <si>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</si>
  <si>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</si>
  <si>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</si>
  <si>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</si>
  <si>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</si>
  <si>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</si>
  <si>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</si>
  <si>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</si>
  <si>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</si>
  <si>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</si>
  <si>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</si>
  <si>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</si>
  <si>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</si>
  <si>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</si>
  <si>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</si>
  <si>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</si>
  <si>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</si>
  <si>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</si>
  <si>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</si>
  <si>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</si>
  <si>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</si>
  <si>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</si>
  <si>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</si>
  <si>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</si>
  <si>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</si>
  <si>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</si>
  <si>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</si>
  <si>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</si>
  <si>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</si>
  <si>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</si>
  <si>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</si>
  <si>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</si>
  <si>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</si>
  <si>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</si>
  <si>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</si>
  <si>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</si>
  <si>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</si>
  <si>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</si>
  <si>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</si>
  <si>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</si>
  <si>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</si>
  <si>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</si>
  <si>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</si>
  <si>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</si>
  <si>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</si>
  <si>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</si>
  <si>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</si>
  <si>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</si>
  <si>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</si>
  <si>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</si>
  <si>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</si>
  <si>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</si>
  <si>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</si>
  <si>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</si>
  <si>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</si>
  <si>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</si>
  <si>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</si>
  <si>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</si>
  <si>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</si>
  <si>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</si>
  <si>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</si>
  <si>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</si>
  <si>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</si>
  <si>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</si>
  <si>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</si>
  <si>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</si>
  <si>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</si>
  <si>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</si>
  <si>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</si>
  <si>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</si>
  <si>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</si>
  <si>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</si>
  <si>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</si>
  <si>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</si>
  <si>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</si>
  <si>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</si>
  <si>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</si>
  <si>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</si>
  <si>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</si>
  <si>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</si>
  <si>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</si>
  <si>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</si>
  <si>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</si>
  <si>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</si>
  <si>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</si>
  <si>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</si>
  <si>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</si>
  <si>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</si>
  <si>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</si>
  <si>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</si>
  <si>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</si>
  <si>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</si>
  <si>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</si>
  <si>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</si>
  <si>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</si>
  <si>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</si>
  <si>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</si>
  <si>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</si>
  <si>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</si>
  <si>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</si>
  <si>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</si>
  <si>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</si>
  <si>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</si>
  <si>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</si>
  <si>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</si>
  <si>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</si>
  <si>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</si>
  <si>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</si>
  <si>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</si>
  <si>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</si>
  <si>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</si>
  <si>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</si>
  <si>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</si>
  <si>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</si>
  <si>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</si>
  <si>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</si>
  <si>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</si>
  <si>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</si>
  <si>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</si>
  <si>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</si>
  <si>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</si>
  <si>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</si>
  <si>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</si>
  <si>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</si>
  <si>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</si>
  <si>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</si>
  <si>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</si>
  <si>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</si>
  <si>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50118003     ND - ostatní 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</si>
  <si>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</si>
  <si>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</si>
  <si>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</si>
  <si>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</si>
  <si>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</si>
  <si>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</si>
  <si>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</si>
  <si>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</si>
  <si>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</si>
  <si>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</si>
  <si>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</si>
  <si>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</si>
  <si>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</si>
  <si>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</si>
  <si>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</si>
  <si>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</si>
  <si>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</si>
  <si>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</si>
  <si>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</si>
  <si>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</si>
  <si>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</si>
  <si>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</si>
  <si>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</si>
  <si>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</si>
  <si>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</si>
  <si>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</si>
  <si>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</si>
  <si>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</si>
  <si>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</si>
  <si>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</si>
  <si>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</si>
  <si>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</si>
  <si>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</si>
  <si>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</si>
  <si>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</si>
  <si>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</si>
  <si>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</si>
  <si>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</si>
  <si>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</si>
  <si>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</si>
  <si>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</si>
  <si>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</si>
  <si>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</si>
  <si>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</si>
  <si>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</si>
  <si>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</si>
  <si>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</si>
  <si>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</si>
  <si>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</si>
  <si>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</si>
  <si>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</si>
  <si>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</si>
  <si>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</si>
  <si>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</si>
  <si>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</si>
  <si>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</si>
  <si>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</si>
  <si>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</si>
  <si>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</si>
  <si>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</si>
  <si>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</si>
  <si>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</si>
  <si>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</si>
  <si>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</si>
  <si>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</si>
  <si>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</si>
  <si>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</si>
  <si>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</si>
  <si>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</si>
  <si>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</si>
  <si>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</si>
  <si>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</si>
  <si>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</si>
  <si>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</si>
  <si>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</si>
  <si>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</si>
  <si>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</si>
  <si>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</si>
  <si>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</si>
  <si>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</si>
  <si>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</si>
  <si>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</si>
  <si>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</si>
  <si>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</si>
  <si>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</si>
  <si>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</si>
  <si>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</si>
  <si>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</si>
  <si>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</si>
  <si>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</si>
  <si>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</si>
  <si>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</si>
  <si>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55804080     DDHM - výpočetní technika (vecné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</si>
  <si>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</si>
  <si>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</si>
  <si>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</si>
  <si>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</si>
  <si>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</si>
  <si>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</si>
  <si>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</si>
  <si>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</si>
  <si>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</si>
  <si>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</si>
  <si>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</si>
  <si>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</si>
  <si>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</si>
  <si>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</si>
  <si>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</si>
  <si>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</si>
  <si>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</si>
  <si>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</si>
  <si>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</si>
  <si>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</si>
  <si>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</si>
  <si>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</si>
  <si>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</si>
  <si>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</si>
  <si>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</si>
  <si>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</si>
  <si>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</si>
  <si>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</si>
  <si>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</si>
  <si>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</si>
  <si>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</si>
  <si>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</si>
  <si>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</si>
  <si>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</si>
  <si>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</si>
  <si>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</si>
  <si>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</si>
  <si>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</si>
  <si>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</si>
  <si>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</si>
  <si>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</si>
  <si>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</si>
  <si>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</si>
  <si>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</si>
  <si>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</si>
  <si>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</si>
  <si>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</si>
  <si>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</si>
  <si>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</si>
  <si>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</si>
  <si>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</si>
  <si>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</si>
  <si>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</si>
  <si>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</si>
  <si>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</si>
  <si>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</si>
  <si>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</si>
  <si>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</si>
  <si>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</si>
  <si>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</si>
  <si>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28</t>
  </si>
  <si>
    <t>Ústav lékařské genetiky</t>
  </si>
  <si>
    <t/>
  </si>
  <si>
    <t>Ústav lékařské genetiky Celkem</t>
  </si>
  <si>
    <t>SumaKL</t>
  </si>
  <si>
    <t>2801</t>
  </si>
  <si>
    <t>vedení klinického pracoviště</t>
  </si>
  <si>
    <t>vedení klinického pracoviště Celkem</t>
  </si>
  <si>
    <t>SumaNS</t>
  </si>
  <si>
    <t>mezeraNS</t>
  </si>
  <si>
    <t>2821</t>
  </si>
  <si>
    <t>ambulance</t>
  </si>
  <si>
    <t>ambulance Celkem</t>
  </si>
  <si>
    <t>2841</t>
  </si>
  <si>
    <t>laboratoř</t>
  </si>
  <si>
    <t>laboratoř Celkem</t>
  </si>
  <si>
    <t>50113001</t>
  </si>
  <si>
    <t>O</t>
  </si>
  <si>
    <t>47244</t>
  </si>
  <si>
    <t>GLUKÓZA 5 BRAUN</t>
  </si>
  <si>
    <t>INF SOL 10X500ML-PE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</si>
  <si>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</si>
  <si>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</si>
  <si>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</si>
  <si>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</si>
  <si>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</si>
  <si>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</si>
  <si>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</si>
  <si>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</si>
  <si>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</si>
  <si>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</si>
  <si>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</si>
  <si>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</si>
  <si>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109847</t>
  </si>
  <si>
    <t>9847</t>
  </si>
  <si>
    <t>TORECAN</t>
  </si>
  <si>
    <t>SUP 6X6.5MG</t>
  </si>
  <si>
    <t>112894</t>
  </si>
  <si>
    <t>12894</t>
  </si>
  <si>
    <t>AULIN</t>
  </si>
  <si>
    <t>GRA 15X100MG(SACKY)</t>
  </si>
  <si>
    <t>115390</t>
  </si>
  <si>
    <t>15390</t>
  </si>
  <si>
    <t>FENISTIL</t>
  </si>
  <si>
    <t>DRM GEL 1X30GM/30MG</t>
  </si>
  <si>
    <t>155947</t>
  </si>
  <si>
    <t>55947</t>
  </si>
  <si>
    <t>OPHTAL LIQ 2X50ML</t>
  </si>
  <si>
    <t>194248</t>
  </si>
  <si>
    <t>94248</t>
  </si>
  <si>
    <t>ZOLPIDEM-RATIOPHARM 10 MG</t>
  </si>
  <si>
    <t>POR TBL FLM 10X10MG</t>
  </si>
  <si>
    <t>395294</t>
  </si>
  <si>
    <t>180306</t>
  </si>
  <si>
    <t>TANTUM VERDE</t>
  </si>
  <si>
    <t>LIQ 1X240ML-PET TR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</si>
  <si>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</si>
  <si>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</si>
  <si>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</si>
  <si>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</si>
  <si>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</si>
  <si>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</si>
  <si>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</si>
  <si>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</si>
  <si>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100394</t>
  </si>
  <si>
    <t>394</t>
  </si>
  <si>
    <t>ATROPIN BIOTIKA 1MG</t>
  </si>
  <si>
    <t>INJ 10X1ML/1MG</t>
  </si>
  <si>
    <t>111063</t>
  </si>
  <si>
    <t>11063</t>
  </si>
  <si>
    <t>IBALGIN 600 (IBUPROFEN 600)</t>
  </si>
  <si>
    <t>TBL OBD 30X600MG</t>
  </si>
  <si>
    <t>849087</t>
  </si>
  <si>
    <t>138840</t>
  </si>
  <si>
    <t>DORETA 37,5 MG/325 MG</t>
  </si>
  <si>
    <t>POR TBL FLM 20</t>
  </si>
  <si>
    <t>110555</t>
  </si>
  <si>
    <t>10555</t>
  </si>
  <si>
    <t>AQUA PRO INJECTIONE BRAUN</t>
  </si>
  <si>
    <t>PAR LQF 20X100ML-PE</t>
  </si>
  <si>
    <t>156926</t>
  </si>
  <si>
    <t>56926</t>
  </si>
  <si>
    <t>INJ SOL 20X10ML-PLA</t>
  </si>
  <si>
    <t>115518</t>
  </si>
  <si>
    <t>15518</t>
  </si>
  <si>
    <t>SPERSALLERG</t>
  </si>
  <si>
    <t>OPH GTT SOL 1X10ML</t>
  </si>
  <si>
    <t>113403</t>
  </si>
  <si>
    <t>RHOPHYLAC 300 MIKROGRAMŮ/2 ML, INJEKČNÍ ROZTOK V P</t>
  </si>
  <si>
    <t>INJ SOL 1X2ML/300MCG</t>
  </si>
  <si>
    <t>188354</t>
  </si>
  <si>
    <t>88354</t>
  </si>
  <si>
    <t>RHESONATIV 625 IU/ML</t>
  </si>
  <si>
    <t>INJ SOL 1X2ML</t>
  </si>
  <si>
    <t>112895</t>
  </si>
  <si>
    <t>12895</t>
  </si>
  <si>
    <t>POR GRA SOL30SÁČKŮ</t>
  </si>
  <si>
    <t>130685</t>
  </si>
  <si>
    <t>30685</t>
  </si>
  <si>
    <t>NASOFAN</t>
  </si>
  <si>
    <t>NAS SPR SUS 120 DÁV</t>
  </si>
  <si>
    <t>121736</t>
  </si>
  <si>
    <t>21736</t>
  </si>
  <si>
    <t>VALETOL</t>
  </si>
  <si>
    <t>POR TBL NOB 10</t>
  </si>
  <si>
    <t>176655</t>
  </si>
  <si>
    <t>76655</t>
  </si>
  <si>
    <t>KETONAL</t>
  </si>
  <si>
    <t>CPS 25X50MG</t>
  </si>
  <si>
    <t>901099</t>
  </si>
  <si>
    <t>IR KONTAKTNI GEL 3% 10 G</t>
  </si>
  <si>
    <t>IR 10g</t>
  </si>
  <si>
    <t>200863</t>
  </si>
  <si>
    <t>OPHTHALMO-SEPTONEX</t>
  </si>
  <si>
    <t>OPH GTT SOL 1X10ML PLAST</t>
  </si>
  <si>
    <t>198054</t>
  </si>
  <si>
    <t>SANVAL 10 MG</t>
  </si>
  <si>
    <t>POR TBL FLM 20X10MG</t>
  </si>
  <si>
    <t>176654</t>
  </si>
  <si>
    <t>76654</t>
  </si>
  <si>
    <t>KETONAL RETARD</t>
  </si>
  <si>
    <t>TBL RET 20X150MG</t>
  </si>
  <si>
    <t>P</t>
  </si>
  <si>
    <t>131934</t>
  </si>
  <si>
    <t>31934</t>
  </si>
  <si>
    <t>VENTOLIN INHALER N</t>
  </si>
  <si>
    <t>INHSUSPSS200X100RG</t>
  </si>
  <si>
    <t>51366</t>
  </si>
  <si>
    <t>CHLORID SODNÝ 0,9% BRAUN</t>
  </si>
  <si>
    <t>INF SOL 20X100MLPELAH</t>
  </si>
  <si>
    <t>395997</t>
  </si>
  <si>
    <t>DZ SOFTASEPT N BEZBARVÝ 250 ml</t>
  </si>
  <si>
    <t>930589</t>
  </si>
  <si>
    <t>KL ETHANOLUM BENZ.DENAT. 900 ml / 720g/</t>
  </si>
  <si>
    <t>UN 1170</t>
  </si>
  <si>
    <t>921227</t>
  </si>
  <si>
    <t>KL SOL.HYD.PEROX.20% 500g</t>
  </si>
  <si>
    <t>102983</t>
  </si>
  <si>
    <t>25270</t>
  </si>
  <si>
    <t>DZ JODISOL 760 G</t>
  </si>
  <si>
    <t>LIQ 1X760GM</t>
  </si>
  <si>
    <t>930443</t>
  </si>
  <si>
    <t>KL PERSTERIL 4% 1 kg HVLP</t>
  </si>
  <si>
    <t>UN 3149</t>
  </si>
  <si>
    <t>Ústav lékařské genetiky a fet.med.</t>
  </si>
  <si>
    <t>GEN, ambulance</t>
  </si>
  <si>
    <t>GEN, laboratoř</t>
  </si>
  <si>
    <t>Lékárna - léčiva</t>
  </si>
  <si>
    <t>2821 - GEN, ambulance</t>
  </si>
  <si>
    <t>R03AC02 - Salbutamol</t>
  </si>
  <si>
    <t>R03AC02</t>
  </si>
  <si>
    <t>INH SUS PSS 200X100RG</t>
  </si>
  <si>
    <t>Přehled plnění pozitivního listu - spotřeba léčivých přípravků - orientační přehled</t>
  </si>
  <si>
    <t>28 - Ústav lékařské genetiky</t>
  </si>
  <si>
    <t>2821 - ambulance</t>
  </si>
  <si>
    <t>2841 - laboratoř</t>
  </si>
  <si>
    <t>HVLP</t>
  </si>
  <si>
    <t>89301282</t>
  </si>
  <si>
    <t>Ambulance odd.lékařské genetiky Celkem</t>
  </si>
  <si>
    <t>Ústav lékařské genetiky a fet.med. Celkem</t>
  </si>
  <si>
    <t>Godava Marek</t>
  </si>
  <si>
    <t>Hyjánek Jiří</t>
  </si>
  <si>
    <t>Jiný</t>
  </si>
  <si>
    <t>Aceklofenak</t>
  </si>
  <si>
    <t>160839</t>
  </si>
  <si>
    <t>BIOFENAC 100 MG POTAHOVANÉ TABLETY</t>
  </si>
  <si>
    <t>POR TBL FLM 60X100MG</t>
  </si>
  <si>
    <t>Aciklovir</t>
  </si>
  <si>
    <t>84128</t>
  </si>
  <si>
    <t>HERPESIN 400</t>
  </si>
  <si>
    <t>POR TBL NOB 25X400MG</t>
  </si>
  <si>
    <t>Azithromycin</t>
  </si>
  <si>
    <t>45010</t>
  </si>
  <si>
    <t>AZITROMYCIN SANDOZ 500 MG</t>
  </si>
  <si>
    <t>POR TBL FLM 3X500MG</t>
  </si>
  <si>
    <t>Flutikason-furoát</t>
  </si>
  <si>
    <t>29816</t>
  </si>
  <si>
    <t>AVAMYS</t>
  </si>
  <si>
    <t>NAS SPR SUS 120X27.5RG</t>
  </si>
  <si>
    <t>Hořčík (různé sole v kombinaci)</t>
  </si>
  <si>
    <t>66555</t>
  </si>
  <si>
    <t>MAGNOSOLV</t>
  </si>
  <si>
    <t>POR GRA SOL 30</t>
  </si>
  <si>
    <t>Salbutamol</t>
  </si>
  <si>
    <t>58380</t>
  </si>
  <si>
    <t>VENTOLIN ROZTOK K INHALACI</t>
  </si>
  <si>
    <t>INH SOL1X20ML/120MG</t>
  </si>
  <si>
    <t>155936</t>
  </si>
  <si>
    <t>Alprazolam</t>
  </si>
  <si>
    <t>96977</t>
  </si>
  <si>
    <t>XANAX 1 MG</t>
  </si>
  <si>
    <t>POR TBL NOB 30X1MG</t>
  </si>
  <si>
    <t>Amoxicilin a enzymový inhibitor</t>
  </si>
  <si>
    <t>5951</t>
  </si>
  <si>
    <t>AMOKSIKLAV 1 G</t>
  </si>
  <si>
    <t>POR TBL FLM 14X1GM</t>
  </si>
  <si>
    <t>Atorvastatin</t>
  </si>
  <si>
    <t>93013</t>
  </si>
  <si>
    <t>SORTIS 10 MG</t>
  </si>
  <si>
    <t>POR TBL FLM 30X10MG</t>
  </si>
  <si>
    <t>Cefuroxim</t>
  </si>
  <si>
    <t>47725</t>
  </si>
  <si>
    <t>ZINNAT 250 MG</t>
  </si>
  <si>
    <t>POR TBL FLM 10X250MG</t>
  </si>
  <si>
    <t>Cetirizin</t>
  </si>
  <si>
    <t>99600</t>
  </si>
  <si>
    <t>ZODAC</t>
  </si>
  <si>
    <t>POR TBL FLM 90X10MG</t>
  </si>
  <si>
    <t>Indometacin</t>
  </si>
  <si>
    <t>93724</t>
  </si>
  <si>
    <t>INDOMETACIN 100 BERLIN-CHEMIE</t>
  </si>
  <si>
    <t>RCT SUP 10X100MG</t>
  </si>
  <si>
    <t>Nifuroxazid</t>
  </si>
  <si>
    <t>46405</t>
  </si>
  <si>
    <t>ERCEFURYL 200 MG CPS.</t>
  </si>
  <si>
    <t>POR CPS DUR 14X200MG</t>
  </si>
  <si>
    <t>Omeprazol</t>
  </si>
  <si>
    <t>132531</t>
  </si>
  <si>
    <t>HELICID 20</t>
  </si>
  <si>
    <t>POR CPS ETD 90X20MG</t>
  </si>
  <si>
    <t>Rosuvastatin</t>
  </si>
  <si>
    <t>148068</t>
  </si>
  <si>
    <t>ROSUCARD 10 MG POTAHOVANÉ TABLETY</t>
  </si>
  <si>
    <t>148070</t>
  </si>
  <si>
    <t>Sertralin</t>
  </si>
  <si>
    <t>107888</t>
  </si>
  <si>
    <t>APO-SERTRAL 100</t>
  </si>
  <si>
    <t>POR CPS DUR 30X100MG</t>
  </si>
  <si>
    <t>Elektrolyty</t>
  </si>
  <si>
    <t>107294</t>
  </si>
  <si>
    <t>0.9% SODIUM CHLORIDE IN WATER FOR INJECTION 'FRESENIUS'</t>
  </si>
  <si>
    <t>INF SOL 10X1000ML-PE</t>
  </si>
  <si>
    <t>Ambulance odd.lékařské genetiky</t>
  </si>
  <si>
    <t>Preskripce a záchyt receptů a poukazů - orientační přehled</t>
  </si>
  <si>
    <t>Přehled plnění pozitivního listu (PL) - 
   preskripce léčivých přípravků dle objemu Kč mimo PL</t>
  </si>
  <si>
    <t>N05BA12 - Alprazolam</t>
  </si>
  <si>
    <t>C10AA05 - Atorvastatin</t>
  </si>
  <si>
    <t>C10AA07 - Rosuvastatin</t>
  </si>
  <si>
    <t>N06AB06 - Sertralin</t>
  </si>
  <si>
    <t>J01CR02 - Amoxicilin a enzymový inhibitor</t>
  </si>
  <si>
    <t>R06AE07 - Cetirizin</t>
  </si>
  <si>
    <t>J01DC02 - Cefuroxim</t>
  </si>
  <si>
    <t>J01FA10 - Azithromycin</t>
  </si>
  <si>
    <t>J01FA10</t>
  </si>
  <si>
    <t>C10AA05</t>
  </si>
  <si>
    <t>C10AA07</t>
  </si>
  <si>
    <t>J01CR02</t>
  </si>
  <si>
    <t>J01DC02</t>
  </si>
  <si>
    <t>N05BA12</t>
  </si>
  <si>
    <t>N06AB06</t>
  </si>
  <si>
    <t>R06AE07</t>
  </si>
  <si>
    <t>Přehled plnění PL - Preskripce léčivých přípravků - orientační přehled</t>
  </si>
  <si>
    <t>ZA090</t>
  </si>
  <si>
    <t>Vata buničitá přířezy 37 x 57 cm 2730152</t>
  </si>
  <si>
    <t>ZA318</t>
  </si>
  <si>
    <t>Náplast transpore 1,25 cm x 9,14 m 1527-0</t>
  </si>
  <si>
    <t>ZA429</t>
  </si>
  <si>
    <t>Obinadlo elastické idealtex   8 cm x 5 m 931061</t>
  </si>
  <si>
    <t>ZA446</t>
  </si>
  <si>
    <t>Vata buničitá přířezy 20 x 30 cm 1230200129</t>
  </si>
  <si>
    <t>ZA571</t>
  </si>
  <si>
    <t>Mediset pro anestezii 4706312</t>
  </si>
  <si>
    <t>ZB084</t>
  </si>
  <si>
    <t>Náplast transpore 2,50 cm x 9,14 m 1527-1</t>
  </si>
  <si>
    <t>ZB404</t>
  </si>
  <si>
    <t>Náplast cosmos 8 cm x 1m 5403353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</si>
  <si>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</si>
  <si>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</si>
  <si>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</si>
  <si>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</si>
  <si>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</si>
  <si>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</si>
  <si>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</si>
  <si>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</si>
  <si>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ZL999</t>
  </si>
  <si>
    <t>Rychloobvaz 8 x 4 cm / 3 ks ( pro obj. 1 kus = 3 náplasti) 001445510</t>
  </si>
  <si>
    <t>ZB006</t>
  </si>
  <si>
    <t>Teploměr digitální thermoval basic 9250391</t>
  </si>
  <si>
    <t>ZB231</t>
  </si>
  <si>
    <t>Pinzeta anatomická 14 cm P00894</t>
  </si>
  <si>
    <t>ZB755</t>
  </si>
  <si>
    <t>Zkumavka 1 ml K3 edta fialová 454034</t>
  </si>
  <si>
    <t>ZB756</t>
  </si>
  <si>
    <t>Zkumavka 3 ml K3 edta fialová 454086</t>
  </si>
  <si>
    <t>ZB758</t>
  </si>
  <si>
    <t>Zkumavka 9 ml K3 edta NR 455036</t>
  </si>
  <si>
    <t>ZB759</t>
  </si>
  <si>
    <t>Zkumavka červená 8 ml gel 455071</t>
  </si>
  <si>
    <t>ZB763</t>
  </si>
  <si>
    <t>Zkumavka červená 9 ml 455092</t>
  </si>
  <si>
    <t>ZB764</t>
  </si>
  <si>
    <t>Zkumavka zelená 4 ml 454051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</si>
  <si>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</si>
  <si>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</si>
  <si>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</si>
  <si>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</si>
  <si>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</si>
  <si>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</si>
  <si>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</si>
  <si>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</si>
  <si>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ZC648</t>
  </si>
  <si>
    <t>Elektroda EKG s gelem ovál 51 x 33 mm pro dospělé H-108006</t>
  </si>
  <si>
    <t>ZE159</t>
  </si>
  <si>
    <t>Nádoba na kontaminovaný odpad 2 l 15-0003</t>
  </si>
  <si>
    <t>ZG515</t>
  </si>
  <si>
    <t>Zkumavka močová vacuette 10,5 ml bal. á 50 ks 455007</t>
  </si>
  <si>
    <t>ZI179</t>
  </si>
  <si>
    <t>Zkumavka s mediem+ flovakovaný tampon eSwab růžový 490CE.A</t>
  </si>
  <si>
    <t>ZE007</t>
  </si>
  <si>
    <t>Teploměr tyčinkový -10/+110°C 388 100 121 055</t>
  </si>
  <si>
    <t>ZA715</t>
  </si>
  <si>
    <t>Set infuzní intrafix primeline classic 150 cm 4062957</t>
  </si>
  <si>
    <t>ZA832</t>
  </si>
  <si>
    <t>Jehla injekční 0,9 x   40 mm žlutá 4657519</t>
  </si>
  <si>
    <t>ZB768</t>
  </si>
  <si>
    <t>Jehla vakuová 216/38 mm zelená 450076</t>
  </si>
  <si>
    <t>ZB288</t>
  </si>
  <si>
    <t>Jehla spinocan G20 88 mm žlutá 4509900</t>
  </si>
  <si>
    <t>Jehla spinální spinocan G20 88 mm žlutá 4509900</t>
  </si>
  <si>
    <t>ZI758</t>
  </si>
  <si>
    <t>Rukavice vinyl bez p. M á 100 ks EFEKTVR03</t>
  </si>
  <si>
    <t>ZI759</t>
  </si>
  <si>
    <t>Rukavice vinyl bez p. L á 100 ks EFEKTVR04</t>
  </si>
  <si>
    <t>ZK477</t>
  </si>
  <si>
    <t>Rukavice operační latexové s pudrem ansell medigrip plus vel. 8,0 302926</t>
  </si>
  <si>
    <t>ZL072</t>
  </si>
  <si>
    <t>Rukavice operační gammex bez pudru PF EnLite vel. 7,0 353384</t>
  </si>
  <si>
    <t>ZM292</t>
  </si>
  <si>
    <t>Rukavice nitril sempercare bez p. M bal. á 200 ks 30 803</t>
  </si>
  <si>
    <t>ZA411</t>
  </si>
  <si>
    <t>Gáza přířezy 30 cm x 30 cm 17 nití 07004</t>
  </si>
  <si>
    <t>ZA557</t>
  </si>
  <si>
    <t>Kompresa gáza sterilní 10 x 20 cm / 5 ks 26013</t>
  </si>
  <si>
    <t>ZD104</t>
  </si>
  <si>
    <t>Náplast omniplast 10,0 cm x 10,0 m 9004472 (900535)</t>
  </si>
  <si>
    <t>ZA788</t>
  </si>
  <si>
    <t>Stříkačka injekční 2-dílná 20 ml L Inject Solo 4606205V</t>
  </si>
  <si>
    <t>ZA789</t>
  </si>
  <si>
    <t>Stříkačka injekční 2-dílná 2 ml L Inject Solo 4606027V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</si>
  <si>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</si>
  <si>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</si>
  <si>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</si>
  <si>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</si>
  <si>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</si>
  <si>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</si>
  <si>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ZF192</t>
  </si>
  <si>
    <t>Nádoba na kontaminovaný odpad 4 l 15-0004</t>
  </si>
  <si>
    <t>ZJ278</t>
  </si>
  <si>
    <t>Zkumavka PP 10 ml sterilní bal. á 200 ks 331690211500</t>
  </si>
  <si>
    <t>ZA816</t>
  </si>
  <si>
    <t>Zkumavka PS 15 ml sterilní 400915</t>
  </si>
  <si>
    <t>ZE850</t>
  </si>
  <si>
    <t>Nůžky oční rovné iris TK-AK 434-11</t>
  </si>
  <si>
    <t>ZE961</t>
  </si>
  <si>
    <t>Strip Tubes and Caps 0,1ml  bal. á 250 ks 981103</t>
  </si>
  <si>
    <t>ZL467</t>
  </si>
  <si>
    <t>Stojan na zkumavky 190 x 90 x 52 mm 331840011183</t>
  </si>
  <si>
    <t>ZD012</t>
  </si>
  <si>
    <t>Válec odměrný 100 ml 632432151130</t>
  </si>
  <si>
    <t>ZI304</t>
  </si>
  <si>
    <t xml:space="preserve">Elektroda do kapiláry 5914 </t>
  </si>
  <si>
    <t>ZA813</t>
  </si>
  <si>
    <t>Rotor adapters (10 x 24) elution tubes (1,5 ml) 990394</t>
  </si>
  <si>
    <t>ZC604</t>
  </si>
  <si>
    <t>Mikroampule 0,2 ml reaction tubes,8 x 125 ks N8010580</t>
  </si>
  <si>
    <t>ZI125</t>
  </si>
  <si>
    <t>Extension Tubes - 3 ml 19587</t>
  </si>
  <si>
    <t>ZF370</t>
  </si>
  <si>
    <t>Filtr syringe 0,22 um, pr. 33 mm á 40 ks 99722</t>
  </si>
  <si>
    <t>ZF477</t>
  </si>
  <si>
    <t>Destička pro přípravu vzorků do kapiláry 96-well PCR plate bal. á 100 ks 211-0283</t>
  </si>
  <si>
    <t>ZE949</t>
  </si>
  <si>
    <t>Zkumavka na moč 9,5 ml 455028</t>
  </si>
  <si>
    <t>ZM042</t>
  </si>
  <si>
    <t>Mikrozkumavka s víčkem 500 ul Qubit Assay Tubes bal. á 500 ks Q32856</t>
  </si>
  <si>
    <t>ZJ763</t>
  </si>
  <si>
    <t>Kapilára avant aray 36 cm 4333464</t>
  </si>
  <si>
    <t>ZB070</t>
  </si>
  <si>
    <t>Filtr tips 1000ul (1024) 990352</t>
  </si>
  <si>
    <t>ZC831</t>
  </si>
  <si>
    <t>Sklo podložní mat. okraj 2501</t>
  </si>
  <si>
    <t>ZE719</t>
  </si>
  <si>
    <t>Špička pipetovací 0.5-10ul á 1000 ks 3110</t>
  </si>
  <si>
    <t xml:space="preserve">Špička pipetovací 0.5-10ul á 1000 ks 3110 </t>
  </si>
  <si>
    <t>ZI560</t>
  </si>
  <si>
    <t>Špička žlutá dlouhá manžeta gilson 1 - 200 ul FLME28063</t>
  </si>
  <si>
    <t>ZA900</t>
  </si>
  <si>
    <t>Mikrozkumavka PCR 0,2 ml AB-0337</t>
  </si>
  <si>
    <t>ZC689</t>
  </si>
  <si>
    <t>Kádinka 100 ml vysoká sklo 632417012100</t>
  </si>
  <si>
    <t>ZE897</t>
  </si>
  <si>
    <t>Mikrozkumavka PCR 8 strip bez víček bal. á 125 ks 3426.8S</t>
  </si>
  <si>
    <t>ZL046</t>
  </si>
  <si>
    <t>Microtubes Clear 1.7 ml  bal. á 500 ks 7100</t>
  </si>
  <si>
    <t>ZC776</t>
  </si>
  <si>
    <t>Sklo podložní mat. MS7625011</t>
  </si>
  <si>
    <t>ZM043</t>
  </si>
  <si>
    <t>Mikrodestičky ABgene 0,8 ml Storage Plate 1bag of 50 plates 96-jamkové bal. á 50 ks AB-0859</t>
  </si>
  <si>
    <t>ZG352</t>
  </si>
  <si>
    <t>Špička pipetovací s filtrem 20ul á 1000 ks 30026</t>
  </si>
  <si>
    <t>ZB605</t>
  </si>
  <si>
    <t>Špička modrá krátká manžeta 1108</t>
  </si>
  <si>
    <t>ZF246</t>
  </si>
  <si>
    <t>96 wel clear flat top PCR mikroplate 40 ks 5610</t>
  </si>
  <si>
    <t>ZG351</t>
  </si>
  <si>
    <t>Špička pipetovací s filtrem 10ul á 1000 ks 30011</t>
  </si>
  <si>
    <t>ZF245</t>
  </si>
  <si>
    <t>SC Adapter BVS0120</t>
  </si>
  <si>
    <t>SC Adapter S0101 bal á 100 ks S0120-100</t>
  </si>
  <si>
    <t>ZB857</t>
  </si>
  <si>
    <t>Kartáček na bukální stěr bal. á 100 ks MB 100 BR</t>
  </si>
  <si>
    <t>ZB788</t>
  </si>
  <si>
    <t>Špička s filtrem 20 ul bal. á 96 ks 96.10296.9.01</t>
  </si>
  <si>
    <t>Špička s filtrem 20 ul bal. á 96 ks 96.11190.9.01 (staré.k.č. 96.10296.9.01)</t>
  </si>
  <si>
    <t>ZK523</t>
  </si>
  <si>
    <t>Špičky s filtrem-Filter 10 ul clear racked10x69 sterile S3 bal. 960 ks BT10</t>
  </si>
  <si>
    <t>ZC066</t>
  </si>
  <si>
    <t>Kádinka nízká 100 ml s výlevkou sklo 632417010100</t>
  </si>
  <si>
    <t>ZF670</t>
  </si>
  <si>
    <t xml:space="preserve">Kádinka 150 ml nízká s výlevkou sklo 632417010150 </t>
  </si>
  <si>
    <t>ZC528</t>
  </si>
  <si>
    <t>Filtr tips   200ul (1024) 990332</t>
  </si>
  <si>
    <t>ZA793</t>
  </si>
  <si>
    <t>Špička s filtrem 200 ul bal. á 96 ks 96.9263.9.01</t>
  </si>
  <si>
    <t>ZI434</t>
  </si>
  <si>
    <t>Zkumavka sample tubes 2 ml CB 990382</t>
  </si>
  <si>
    <t>ZG971</t>
  </si>
  <si>
    <t>Zkumavka 0,2 ml PCR ve 10 stripech 12 x 8 stripů AB-1112</t>
  </si>
  <si>
    <t>ZC681</t>
  </si>
  <si>
    <t>Zkumavka 0,2 ml PCR ve 12 stripech 10 x 12 stripů AB-1113</t>
  </si>
  <si>
    <t>ZB125</t>
  </si>
  <si>
    <t>Láhev kultivační 25 cm2 á 360 ks 90026</t>
  </si>
  <si>
    <t>Jehla injekční 0,9 x 40 mm žlutá 4657519</t>
  </si>
  <si>
    <t>ZI757</t>
  </si>
  <si>
    <t>Rukavice vinyl bez p. S á 100 ks EFEKTVR02</t>
  </si>
  <si>
    <t>ZK475</t>
  </si>
  <si>
    <t>Rukavice operační latexové s pudrem ansell medigrip plus vel. 7,0 303364</t>
  </si>
  <si>
    <t>ZL948</t>
  </si>
  <si>
    <t>Rukavice nitril promedica bez p. M bílé 6N á 100 ks 9399W3</t>
  </si>
  <si>
    <t>ZM291</t>
  </si>
  <si>
    <t>Rukavice nitril sempercare bez p. S bal. á 200 ks 30 802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</si>
  <si>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</si>
  <si>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</si>
  <si>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</si>
  <si>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</si>
  <si>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</si>
  <si>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</si>
  <si>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801631</t>
  </si>
  <si>
    <t xml:space="preserve">-PRIMER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</si>
  <si>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</si>
  <si>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</si>
  <si>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</si>
  <si>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</si>
  <si>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</si>
  <si>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</si>
  <si>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</si>
  <si>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</si>
  <si>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DA447</t>
  </si>
  <si>
    <t>ViennaLab CF StripAssay 10t</t>
  </si>
  <si>
    <t>DD341</t>
  </si>
  <si>
    <t>METHANOL  P.A. 1000 ML</t>
  </si>
  <si>
    <t>801335</t>
  </si>
  <si>
    <t>-HCl 0,1 M 1000 ml, 500 ml</t>
  </si>
  <si>
    <t>DD659</t>
  </si>
  <si>
    <t>kyselina octová p.a.</t>
  </si>
  <si>
    <t>DG393</t>
  </si>
  <si>
    <t>Ethanol 96%</t>
  </si>
  <si>
    <t>DG227</t>
  </si>
  <si>
    <t>BENZEN p.a., 1L</t>
  </si>
  <si>
    <t>DC858</t>
  </si>
  <si>
    <t>PRIMER</t>
  </si>
  <si>
    <t>DA293</t>
  </si>
  <si>
    <t>SALSA MLPA EK1 reagent kit –100rxn -FAM</t>
  </si>
  <si>
    <t>DG143</t>
  </si>
  <si>
    <t>kyselina SIROVA P.A.</t>
  </si>
  <si>
    <t>DG399</t>
  </si>
  <si>
    <t>SALSA MLPA P250 DiGeorge probemix-25R</t>
  </si>
  <si>
    <t>DF483</t>
  </si>
  <si>
    <t>HotStarTaq DNA Polymerase (250)</t>
  </si>
  <si>
    <t>DG414</t>
  </si>
  <si>
    <t>SALSA MLPA kit P046-C1 TSC2 - 50rx</t>
  </si>
  <si>
    <t>DA548</t>
  </si>
  <si>
    <t>NanoPOP-7 polymer (10ml)</t>
  </si>
  <si>
    <t>DA982</t>
  </si>
  <si>
    <t>Chromosome Synchro P</t>
  </si>
  <si>
    <t>DA295</t>
  </si>
  <si>
    <t>SALSA MLPA P070 Hu Telomere-5 probemix 25rxn</t>
  </si>
  <si>
    <t>DB209</t>
  </si>
  <si>
    <t>Nucleo spin blood (240)</t>
  </si>
  <si>
    <t>DA810</t>
  </si>
  <si>
    <t>SALSA MLPA P343 Autism-1 probemix - 25 reactions</t>
  </si>
  <si>
    <t>DG229</t>
  </si>
  <si>
    <t>METHANOL P.A.</t>
  </si>
  <si>
    <t>DG404</t>
  </si>
  <si>
    <t>SALSA MLPA P018-F1 SHOX-50rxn</t>
  </si>
  <si>
    <t>DC792</t>
  </si>
  <si>
    <t>QIAamp DNA Mini Kit (250), QIAgen</t>
  </si>
  <si>
    <t>DE371</t>
  </si>
  <si>
    <t>RPMI-1640 medium,w l-glutamine and s</t>
  </si>
  <si>
    <t>DE260</t>
  </si>
  <si>
    <t>AmnioGrow CE IVD</t>
  </si>
  <si>
    <t>DG534</t>
  </si>
  <si>
    <t>Xa Yc dual label  10 tests</t>
  </si>
  <si>
    <t>DG528</t>
  </si>
  <si>
    <t>Maxima Probe qPCR Master Mix,ROX Solution provided, 10x1,25ml(for 1000react.of 25ul</t>
  </si>
  <si>
    <t>DG535</t>
  </si>
  <si>
    <t>SHOX 5 tests</t>
  </si>
  <si>
    <t>DG536</t>
  </si>
  <si>
    <t>Alpha satellite 18 Green  5 tests</t>
  </si>
  <si>
    <t>DG533</t>
  </si>
  <si>
    <t>SNaPshot Multiplex Kit 100Reactions</t>
  </si>
  <si>
    <t>DG552</t>
  </si>
  <si>
    <t>Painting Probe 7 Green, 5 tests</t>
  </si>
  <si>
    <t>DG551</t>
  </si>
  <si>
    <t>Painting Probe 6 Red, 5 tests</t>
  </si>
  <si>
    <t>DA210</t>
  </si>
  <si>
    <t>FastAB Thermosens. Alk. Phosphatase 1000 u</t>
  </si>
  <si>
    <t>DA211</t>
  </si>
  <si>
    <t>Exonuclease I (Exo I) 4000 u</t>
  </si>
  <si>
    <t>DG553</t>
  </si>
  <si>
    <t>Telomere Probe 19p Red, 5 tests</t>
  </si>
  <si>
    <t>DG554</t>
  </si>
  <si>
    <t>Telomere Probe 19q Green, 5 tests</t>
  </si>
  <si>
    <t>DE825</t>
  </si>
  <si>
    <t>PCR H2O 15 ml</t>
  </si>
  <si>
    <t>DE452</t>
  </si>
  <si>
    <t>Flushing medium, 500 ml,CFLM-500</t>
  </si>
  <si>
    <t>DG588</t>
  </si>
  <si>
    <t>Qubit dsDNA BR Assay kit 500r</t>
  </si>
  <si>
    <t>DG585</t>
  </si>
  <si>
    <t>SALSA MLPA P002-C2 BRCA 1 probemix 100R</t>
  </si>
  <si>
    <t>DG606</t>
  </si>
  <si>
    <t>SALSA MLPA P311 CHD probemix - 50 reactions</t>
  </si>
  <si>
    <t>DG586</t>
  </si>
  <si>
    <t>GeneScan TM 120 LIZ</t>
  </si>
  <si>
    <t>DA624</t>
  </si>
  <si>
    <t>SALSA MLPA P106 MRX probemix 25rxn</t>
  </si>
  <si>
    <t>DG605</t>
  </si>
  <si>
    <t>SALSA PCR buffer, 480ul</t>
  </si>
  <si>
    <t>DG604</t>
  </si>
  <si>
    <t>SALSA Ligase-65, 115 ul</t>
  </si>
  <si>
    <t>DA956</t>
  </si>
  <si>
    <t>SALSA MLPA P297 Microdel.Syndr.-2 probemix 25rxn</t>
  </si>
  <si>
    <t>DC767</t>
  </si>
  <si>
    <t>POP4</t>
  </si>
  <si>
    <t>DD060</t>
  </si>
  <si>
    <t>FG,HI-DI FORMAMIDE 25 ml</t>
  </si>
  <si>
    <t>DC341</t>
  </si>
  <si>
    <t>PHYTOHAEMAGLUTININ REAGENT</t>
  </si>
  <si>
    <t>DD434</t>
  </si>
  <si>
    <t>KaryoMAX Giemsa 100 ml</t>
  </si>
  <si>
    <t>DC487</t>
  </si>
  <si>
    <t>KARYOMAX COLCEMID SOLUTION (CE LABEL)</t>
  </si>
  <si>
    <t>DD451</t>
  </si>
  <si>
    <t>UltraPure Glycogen 100 ul</t>
  </si>
  <si>
    <t>DD637</t>
  </si>
  <si>
    <t>GENESCAN 500 TAMRA</t>
  </si>
  <si>
    <t>DA292</t>
  </si>
  <si>
    <t>SALSA MLPA P245 Microdel.Syndr.-1 probemix 25rxn</t>
  </si>
  <si>
    <t>DG607</t>
  </si>
  <si>
    <t>SALSA MLPA P297 Microdel.Syndr.-2 probemix 50rxn</t>
  </si>
  <si>
    <t>DG636</t>
  </si>
  <si>
    <t>MiSeq reagent kit v2 (300cycles)</t>
  </si>
  <si>
    <t>DG623</t>
  </si>
  <si>
    <t>High Sensitivity DNA Kit</t>
  </si>
  <si>
    <t>DD567</t>
  </si>
  <si>
    <t>Running buffer w/EDTA 10x, 25ml</t>
  </si>
  <si>
    <t>DG639</t>
  </si>
  <si>
    <t>SE 12(D12Z3), 10testů, červená</t>
  </si>
  <si>
    <t>DA294</t>
  </si>
  <si>
    <t>SALSA MLPA P036 Hu Telomere-3 probemix 25rxn</t>
  </si>
  <si>
    <t>DG669</t>
  </si>
  <si>
    <t>HotStarTaq DNA Polymerase (1000 U) -DYNEX</t>
  </si>
  <si>
    <t>DA181</t>
  </si>
  <si>
    <t>Hank's balanced salt solution (HBSS), 500 ml</t>
  </si>
  <si>
    <t>DG689</t>
  </si>
  <si>
    <t>SE 16(D16Z2)-zelená</t>
  </si>
  <si>
    <t>DE045</t>
  </si>
  <si>
    <t>Combi PPP Master Mix, 1000 reakcí</t>
  </si>
  <si>
    <t>DG236</t>
  </si>
  <si>
    <t>TRYPSIN Powder</t>
  </si>
  <si>
    <t>DG337</t>
  </si>
  <si>
    <t>MiSeq Reagent nano Kit v2 (500cycles)</t>
  </si>
  <si>
    <t>DA996</t>
  </si>
  <si>
    <t>GeneScan 500 LIZ Size Standard</t>
  </si>
  <si>
    <t>DF078</t>
  </si>
  <si>
    <t>AmpliTaq Gold 360 DNA Polymerase 250U</t>
  </si>
  <si>
    <t>DG690</t>
  </si>
  <si>
    <t>TG TruSight Cancer Gene Set, rxns 4</t>
  </si>
  <si>
    <t>DG724</t>
  </si>
  <si>
    <t>SALSA MLPA probemix P124-C1 TSC1,25 rxn</t>
  </si>
  <si>
    <t>DG584</t>
  </si>
  <si>
    <t>Nanopop-7 28 ml</t>
  </si>
  <si>
    <t>DG808</t>
  </si>
  <si>
    <t>Tween 20, 500ml</t>
  </si>
  <si>
    <t>DG691</t>
  </si>
  <si>
    <t>Tru Sight Enrichment Kit (24 Indices -48 samples), rxns 48</t>
  </si>
  <si>
    <t>DG815</t>
  </si>
  <si>
    <t>SALSA MLPA P070 Hu Telomere-5 probemix 50rxn</t>
  </si>
  <si>
    <t>DA371</t>
  </si>
  <si>
    <t>Cri-Du-Chat/SOTOS Combination, 5t</t>
  </si>
  <si>
    <t>DA656</t>
  </si>
  <si>
    <t>Deoxynucleotide Mix, 10 mM</t>
  </si>
  <si>
    <t>DG387</t>
  </si>
  <si>
    <t>AM Pure XP 60ml (agencourt)</t>
  </si>
  <si>
    <t>DG334</t>
  </si>
  <si>
    <t>BRCA MASTR Dx (8rxns)</t>
  </si>
  <si>
    <t>DG335</t>
  </si>
  <si>
    <t>BRCA MASTR Dx (40rxns)</t>
  </si>
  <si>
    <t>DG873</t>
  </si>
  <si>
    <t>Agarose DNA Pure Grade Electran® 500g</t>
  </si>
  <si>
    <t>DG336</t>
  </si>
  <si>
    <t>MID 1-48 for Illumina MiSeq (240 barcodes)</t>
  </si>
  <si>
    <t>DA504</t>
  </si>
  <si>
    <t>BDX64 Buffer (BigDye) 2x1,25 ml</t>
  </si>
  <si>
    <t>DG577</t>
  </si>
  <si>
    <t>HotStarTaq DNA Polymerase (1000 U)</t>
  </si>
  <si>
    <t>DG866</t>
  </si>
  <si>
    <t>Telomere Probe 14q RED, 5 tests</t>
  </si>
  <si>
    <t>DA623</t>
  </si>
  <si>
    <t>SALSA MLPA P245 Microdel.Syndr.-1 probemix 50rxn</t>
  </si>
  <si>
    <t>DG864</t>
  </si>
  <si>
    <t>SALSA MLPA P343 Autism-1 probemix - 50 reactions</t>
  </si>
  <si>
    <t>DG865</t>
  </si>
  <si>
    <t>Telomere Probe 21q Green, 5 tests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</si>
  <si>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</si>
  <si>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</si>
  <si>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</si>
  <si>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</si>
  <si>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</si>
  <si>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</si>
  <si>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</si>
  <si>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</si>
  <si>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</si>
  <si>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</si>
  <si>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</si>
  <si>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</si>
  <si>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</si>
  <si>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</si>
  <si>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50115020</t>
  </si>
  <si>
    <t>Diagnostika (132 03 001)</t>
  </si>
  <si>
    <t>Spotřeba zdravotnického materiálu - orientační přehled</t>
  </si>
  <si>
    <t>ON Data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</si>
  <si>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</si>
  <si>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</si>
  <si>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</si>
  <si>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</si>
  <si>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</si>
  <si>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</si>
  <si>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</si>
  <si>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</si>
  <si>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Anzenbacher Pavel</t>
  </si>
  <si>
    <t>beze jména</t>
  </si>
  <si>
    <t>Dhaifalah Ishraq</t>
  </si>
  <si>
    <t>Šanová Hana</t>
  </si>
  <si>
    <t>Šantavá Alena</t>
  </si>
  <si>
    <t>Šarapatka Jan</t>
  </si>
  <si>
    <t>Zdravotní výkony vykázané na pracovišti v rámci ambulantní péče dle lékařů *</t>
  </si>
  <si>
    <t>208</t>
  </si>
  <si>
    <t>1</t>
  </si>
  <si>
    <t>0015003</t>
  </si>
  <si>
    <t>IGAMAD 1500 I.U.</t>
  </si>
  <si>
    <t>0088353</t>
  </si>
  <si>
    <t>0088354</t>
  </si>
  <si>
    <t>0113403</t>
  </si>
  <si>
    <t>RHOPHYLAC 300 MIKROGRAMŮ/2 ML</t>
  </si>
  <si>
    <t>V</t>
  </si>
  <si>
    <t>28023</t>
  </si>
  <si>
    <t>KLINICKOGENETICKÉ VYŠETŘENÍ KONTROLNÍ</t>
  </si>
  <si>
    <t>09117</t>
  </si>
  <si>
    <t>ODBĚR KRVE ZE ŽÍLY U DÍTĚTĚ DO 10 LET</t>
  </si>
  <si>
    <t>09507</t>
  </si>
  <si>
    <t>PSYCHOTERAPIE PODPŮRNÁ PROVÁDĚNÁ LÉKAŘEM NEPSYCHIA</t>
  </si>
  <si>
    <t>28021</t>
  </si>
  <si>
    <t>KLINICKO GENETICKÉ VYŠETŘENÍ KOMPLEXNÍ NAPLNĚNÉ ST</t>
  </si>
  <si>
    <t>28100</t>
  </si>
  <si>
    <t>TRANSPORT BIOLOGICKÉHO MATERIÁLU K VYŠETŘENÍ DO ZA</t>
  </si>
  <si>
    <t>28105</t>
  </si>
  <si>
    <t>GENETICKÉ HODNOCENÍ RIZIKA VROZENÝCH CHROMOSOMÁLNÍ</t>
  </si>
  <si>
    <t>09547</t>
  </si>
  <si>
    <t>REGULAČNÍ POPLATEK -- POJIŠTĚNEC OD ÚHRADY POPLATK</t>
  </si>
  <si>
    <t>09543</t>
  </si>
  <si>
    <t>REGULAČNÍ POPLATEK ZA NÁVŠTĚVU -- POPLATEK UHRAZEN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</si>
  <si>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</si>
  <si>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</si>
  <si>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</si>
  <si>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</si>
  <si>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</si>
  <si>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</si>
  <si>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</si>
  <si>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</si>
  <si>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</si>
  <si>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</si>
  <si>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09513</t>
  </si>
  <si>
    <t>TELEFONICKÁ KONZULTACE OŠETŘUJÍCÍHO LÉKAŘE PACIENT</t>
  </si>
  <si>
    <t>28103</t>
  </si>
  <si>
    <t>PŘÍPRAVA  BIOLOGICKÉHO MATERIÁLU PROBANDA K TRANSP</t>
  </si>
  <si>
    <t>09511</t>
  </si>
  <si>
    <t>MINIMÁLNÍ KONTAKT LÉKAŘE S PACIENTEM</t>
  </si>
  <si>
    <t>301</t>
  </si>
  <si>
    <t>31023</t>
  </si>
  <si>
    <t>KONTROLNÍ VYŠETŘENÍ DĚTSKÝM LÉKAŘEM</t>
  </si>
  <si>
    <t>31022</t>
  </si>
  <si>
    <t>CÍLENÉ VYŠETŘENÍ DĚTSKÝM LÉKAŘEM</t>
  </si>
  <si>
    <t>31012</t>
  </si>
  <si>
    <t>603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</si>
  <si>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</si>
  <si>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</si>
  <si>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</si>
  <si>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</si>
  <si>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</si>
  <si>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</si>
  <si>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</si>
  <si>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</si>
  <si>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</si>
  <si>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</si>
  <si>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99991</t>
  </si>
  <si>
    <t>(VZP) KÓD POUZE PRO CENTRA DLE VYHL. 368/2006 - SL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</si>
  <si>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</si>
  <si>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</si>
  <si>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</si>
  <si>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</si>
  <si>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</si>
  <si>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</si>
  <si>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</si>
  <si>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</si>
  <si>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63411</t>
  </si>
  <si>
    <t>SCREENINGOVÉ ULTRASONOGRAFICKÉ VYŠETŘENÍ V 18. - 2</t>
  </si>
  <si>
    <t>63325</t>
  </si>
  <si>
    <t>TERAPEUTICKÁ PUNKCE DUTÝCH ORGÁNŮ PLODU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</si>
  <si>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</si>
  <si>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</si>
  <si>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</si>
  <si>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</si>
  <si>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</si>
  <si>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</si>
  <si>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</si>
  <si>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</si>
  <si>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</si>
  <si>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</si>
  <si>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</si>
  <si>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</si>
  <si>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</si>
  <si>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</si>
  <si>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</si>
  <si>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</si>
  <si>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</si>
  <si>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</si>
  <si>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</si>
  <si>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</si>
  <si>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</si>
  <si>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</si>
  <si>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</si>
  <si>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</si>
  <si>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</si>
  <si>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</si>
  <si>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</si>
  <si>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</si>
  <si>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</si>
  <si>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</si>
  <si>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</si>
  <si>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94121</t>
  </si>
  <si>
    <t>ŠTĚPENÍ LIDSKÉ DNA RESTRIKČNÍM ENZYMEM A SOUTHERNŮ</t>
  </si>
  <si>
    <t>Zdravotní výkony + ZUM + ZULP vykázané na pracovišti v rámci ambulantní péče - orientační přehled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</si>
  <si>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</si>
  <si>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</si>
  <si>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</si>
  <si>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</si>
  <si>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</si>
  <si>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</si>
  <si>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</si>
  <si>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</si>
  <si>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</si>
  <si>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</si>
  <si>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</si>
  <si>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50 - Kardiochirurgická klinika</t>
  </si>
  <si>
    <t>03</t>
  </si>
  <si>
    <t>04</t>
  </si>
  <si>
    <t>06</t>
  </si>
  <si>
    <t>07</t>
  </si>
  <si>
    <t>08</t>
  </si>
  <si>
    <t>09</t>
  </si>
  <si>
    <t>10</t>
  </si>
  <si>
    <t>94211</t>
  </si>
  <si>
    <t>DLOUHODOBÁ KULTIVACE BUNĚK RŮZNÝCH TKÁNÍ Z PRENATÁ</t>
  </si>
  <si>
    <t>16</t>
  </si>
  <si>
    <t>17</t>
  </si>
  <si>
    <t>20</t>
  </si>
  <si>
    <t>21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</si>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</sst>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5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4" fontId="40" fillId="4" borderId="85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91" xfId="0" applyNumberFormat="1" applyFont="1" applyBorder="1"/>
    <xf numFmtId="174" fontId="33" fillId="0" borderId="89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82" xfId="0" applyNumberFormat="1" applyFont="1" applyBorder="1"/>
    <xf numFmtId="174" fontId="40" fillId="2" borderId="100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174" fontId="40" fillId="0" borderId="85" xfId="0" applyNumberFormat="1" applyFont="1" applyBorder="1"/>
    <xf numFmtId="174" fontId="33" fillId="0" borderId="101" xfId="0" applyNumberFormat="1" applyFont="1" applyBorder="1"/>
    <xf numFmtId="174" fontId="33" fillId="0" borderId="79" xfId="0" applyNumberFormat="1" applyFont="1" applyBorder="1"/>
    <xf numFmtId="175" fontId="40" fillId="2" borderId="85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40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33" fillId="0" borderId="91" xfId="0" applyNumberFormat="1" applyFont="1" applyBorder="1"/>
    <xf numFmtId="175" fontId="40" fillId="0" borderId="93" xfId="0" applyNumberFormat="1" applyFont="1" applyBorder="1"/>
    <xf numFmtId="175" fontId="33" fillId="0" borderId="94" xfId="0" applyNumberFormat="1" applyFont="1" applyBorder="1"/>
    <xf numFmtId="175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5" xfId="0" applyNumberFormat="1" applyFont="1" applyFill="1" applyBorder="1" applyAlignment="1">
      <alignment horizontal="center"/>
    </xf>
    <xf numFmtId="176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70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7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7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7" fontId="36" fillId="9" borderId="121" xfId="0" applyNumberFormat="1" applyFont="1" applyFill="1" applyBorder="1" applyAlignment="1">
      <alignment horizontal="right" vertical="top"/>
    </xf>
    <xf numFmtId="177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7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7" xfId="53" applyNumberFormat="1" applyFont="1" applyFill="1" applyBorder="1" applyAlignment="1">
      <alignment horizontal="left"/>
    </xf>
    <xf numFmtId="165" fontId="32" fillId="2" borderId="128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5" fontId="33" fillId="0" borderId="82" xfId="0" applyNumberFormat="1" applyFont="1" applyFill="1" applyBorder="1"/>
    <xf numFmtId="165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5" fontId="33" fillId="0" borderId="136" xfId="0" applyNumberFormat="1" applyFont="1" applyFill="1" applyBorder="1"/>
    <xf numFmtId="166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5" fontId="33" fillId="0" borderId="139" xfId="0" applyNumberFormat="1" applyFont="1" applyFill="1" applyBorder="1"/>
    <xf numFmtId="166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41" xfId="0" applyFont="1" applyFill="1" applyBorder="1"/>
    <xf numFmtId="0" fontId="40" fillId="0" borderId="135" xfId="0" applyFont="1" applyFill="1" applyBorder="1"/>
    <xf numFmtId="0" fontId="40" fillId="2" borderId="54" xfId="0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65" fontId="33" fillId="0" borderId="136" xfId="0" applyNumberFormat="1" applyFont="1" applyFill="1" applyBorder="1" applyAlignment="1">
      <alignment horizontal="right"/>
    </xf>
    <xf numFmtId="165" fontId="33" fillId="0" borderId="139" xfId="0" applyNumberFormat="1" applyFont="1" applyFill="1" applyBorder="1" applyAlignment="1">
      <alignment horizontal="right"/>
    </xf>
    <xf numFmtId="174" fontId="40" fillId="4" borderId="147" xfId="0" applyNumberFormat="1" applyFont="1" applyFill="1" applyBorder="1" applyAlignment="1">
      <alignment horizontal="center"/>
    </xf>
    <xf numFmtId="174" fontId="40" fillId="4" borderId="148" xfId="0" applyNumberFormat="1" applyFont="1" applyFill="1" applyBorder="1" applyAlignment="1">
      <alignment horizontal="center"/>
    </xf>
    <xf numFmtId="174" fontId="33" fillId="0" borderId="149" xfId="0" applyNumberFormat="1" applyFont="1" applyBorder="1" applyAlignment="1">
      <alignment horizontal="right"/>
    </xf>
    <xf numFmtId="174" fontId="33" fillId="0" borderId="150" xfId="0" applyNumberFormat="1" applyFont="1" applyBorder="1" applyAlignment="1">
      <alignment horizontal="right"/>
    </xf>
    <xf numFmtId="174" fontId="33" fillId="0" borderId="150" xfId="0" applyNumberFormat="1" applyFont="1" applyBorder="1" applyAlignment="1">
      <alignment horizontal="right" wrapText="1"/>
    </xf>
    <xf numFmtId="176" fontId="33" fillId="0" borderId="149" xfId="0" applyNumberFormat="1" applyFont="1" applyBorder="1" applyAlignment="1">
      <alignment horizontal="right"/>
    </xf>
    <xf numFmtId="176" fontId="33" fillId="0" borderId="150" xfId="0" applyNumberFormat="1" applyFont="1" applyBorder="1" applyAlignment="1">
      <alignment horizontal="right"/>
    </xf>
    <xf numFmtId="174" fontId="33" fillId="0" borderId="151" xfId="0" applyNumberFormat="1" applyFont="1" applyBorder="1" applyAlignment="1">
      <alignment horizontal="right"/>
    </xf>
    <xf numFmtId="174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6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45" xfId="0" applyNumberFormat="1" applyFont="1" applyBorder="1"/>
    <xf numFmtId="175" fontId="33" fillId="0" borderId="153" xfId="0" applyNumberFormat="1" applyFont="1" applyBorder="1"/>
    <xf numFmtId="174" fontId="40" fillId="4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46" xfId="0" applyNumberFormat="1" applyFont="1" applyBorder="1"/>
    <xf numFmtId="174" fontId="40" fillId="2" borderId="57" xfId="0" applyNumberFormat="1" applyFont="1" applyFill="1" applyBorder="1" applyAlignment="1"/>
    <xf numFmtId="174" fontId="33" fillId="0" borderId="153" xfId="0" applyNumberFormat="1" applyFont="1" applyBorder="1"/>
    <xf numFmtId="174" fontId="33" fillId="0" borderId="57" xfId="0" applyNumberFormat="1" applyFont="1" applyBorder="1"/>
    <xf numFmtId="9" fontId="33" fillId="0" borderId="145" xfId="0" applyNumberFormat="1" applyFont="1" applyBorder="1"/>
    <xf numFmtId="174" fontId="40" fillId="4" borderId="154" xfId="0" applyNumberFormat="1" applyFont="1" applyFill="1" applyBorder="1" applyAlignment="1">
      <alignment horizontal="center"/>
    </xf>
    <xf numFmtId="174" fontId="33" fillId="0" borderId="155" xfId="0" applyNumberFormat="1" applyFont="1" applyBorder="1" applyAlignment="1">
      <alignment horizontal="right"/>
    </xf>
    <xf numFmtId="176" fontId="33" fillId="0" borderId="155" xfId="0" applyNumberFormat="1" applyFont="1" applyBorder="1" applyAlignment="1">
      <alignment horizontal="right"/>
    </xf>
    <xf numFmtId="174" fontId="33" fillId="0" borderId="156" xfId="0" applyNumberFormat="1" applyFont="1" applyBorder="1" applyAlignment="1">
      <alignment horizontal="right"/>
    </xf>
    <xf numFmtId="0" fontId="0" fillId="0" borderId="15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157" xfId="0" applyNumberFormat="1" applyFont="1" applyBorder="1" applyAlignment="1">
      <alignment horizontal="right"/>
    </xf>
    <xf numFmtId="176" fontId="33" fillId="0" borderId="157" xfId="0" applyNumberFormat="1" applyFont="1" applyBorder="1" applyAlignment="1">
      <alignment horizontal="right"/>
    </xf>
    <xf numFmtId="174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136" xfId="0" applyNumberFormat="1" applyFont="1" applyFill="1" applyBorder="1"/>
    <xf numFmtId="170" fontId="33" fillId="0" borderId="139" xfId="0" applyNumberFormat="1" applyFont="1" applyFill="1" applyBorder="1"/>
    <xf numFmtId="0" fontId="40" fillId="0" borderId="138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6" xfId="26" applyNumberFormat="1" applyFont="1" applyFill="1" applyBorder="1"/>
    <xf numFmtId="170" fontId="33" fillId="0" borderId="25" xfId="0" applyNumberFormat="1" applyFont="1" applyFill="1" applyBorder="1"/>
    <xf numFmtId="170" fontId="33" fillId="0" borderId="137" xfId="0" applyNumberFormat="1" applyFont="1" applyFill="1" applyBorder="1"/>
    <xf numFmtId="170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2.2931335058609186</c:v>
                </c:pt>
                <c:pt idx="1">
                  <c:v>2.8253988406708408</c:v>
                </c:pt>
                <c:pt idx="2">
                  <c:v>2.7891891210703679</c:v>
                </c:pt>
                <c:pt idx="3">
                  <c:v>3.0486544568405605</c:v>
                </c:pt>
                <c:pt idx="4">
                  <c:v>3.3188495399565405</c:v>
                </c:pt>
                <c:pt idx="5">
                  <c:v>3.1407557789354925</c:v>
                </c:pt>
                <c:pt idx="6">
                  <c:v>2.9755006930138665</c:v>
                </c:pt>
                <c:pt idx="7">
                  <c:v>2.7918015215981797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890496"/>
        <c:axId val="9630698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2.1342334609962088</c:v>
                </c:pt>
                <c:pt idx="1">
                  <c:v>2.1342334609962088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455744"/>
        <c:axId val="973458048"/>
      </c:scatterChart>
      <c:catAx>
        <c:axId val="95689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306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3069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56890496"/>
        <c:crosses val="autoZero"/>
        <c:crossBetween val="between"/>
      </c:valAx>
      <c:valAx>
        <c:axId val="9734557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3458048"/>
        <c:crosses val="max"/>
        <c:crossBetween val="midCat"/>
      </c:valAx>
      <c:valAx>
        <c:axId val="9734580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34557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109</v>
      </c>
      <c r="B1" s="325"/>
    </row>
    <row r="2" spans="1:3" ht="14.4" customHeight="1" thickBot="1" x14ac:dyDescent="0.35">
      <c r="A2" s="235" t="s">
        <v>281</v>
      </c>
      <c r="B2" s="46"/>
    </row>
    <row r="3" spans="1:3" ht="14.4" customHeight="1" thickBot="1" x14ac:dyDescent="0.35">
      <c r="A3" s="321" t="s">
        <v>142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138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283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110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139</v>
      </c>
      <c r="C11" s="47" t="s">
        <v>115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166</v>
      </c>
      <c r="C12" s="47" t="s">
        <v>116</v>
      </c>
    </row>
    <row r="13" spans="1:3" ht="28.8" customHeight="1" x14ac:dyDescent="0.3">
      <c r="A13" s="147" t="str">
        <f t="shared" si="2"/>
        <v>LŽ PL</v>
      </c>
      <c r="B13" s="490" t="s">
        <v>167</v>
      </c>
      <c r="C13" s="47" t="s">
        <v>146</v>
      </c>
    </row>
    <row r="14" spans="1:3" ht="14.4" customHeight="1" x14ac:dyDescent="0.3">
      <c r="A14" s="147" t="str">
        <f t="shared" si="2"/>
        <v>LŽ PL Detail</v>
      </c>
      <c r="B14" s="90" t="s">
        <v>622</v>
      </c>
      <c r="C14" s="47" t="s">
        <v>148</v>
      </c>
    </row>
    <row r="15" spans="1:3" ht="14.4" customHeight="1" x14ac:dyDescent="0.3">
      <c r="A15" s="147" t="str">
        <f t="shared" si="2"/>
        <v>LŽ Statim</v>
      </c>
      <c r="B15" s="309" t="s">
        <v>267</v>
      </c>
      <c r="C15" s="47" t="s">
        <v>277</v>
      </c>
    </row>
    <row r="16" spans="1:3" ht="14.4" customHeight="1" x14ac:dyDescent="0.3">
      <c r="A16" s="147" t="str">
        <f t="shared" si="2"/>
        <v>Léky Recepty</v>
      </c>
      <c r="B16" s="90" t="s">
        <v>140</v>
      </c>
      <c r="C16" s="47" t="s">
        <v>117</v>
      </c>
    </row>
    <row r="17" spans="1:3" ht="14.4" customHeight="1" x14ac:dyDescent="0.3">
      <c r="A17" s="147" t="str">
        <f t="shared" si="2"/>
        <v>LRp Lékaři</v>
      </c>
      <c r="B17" s="90" t="s">
        <v>151</v>
      </c>
      <c r="C17" s="47" t="s">
        <v>152</v>
      </c>
    </row>
    <row r="18" spans="1:3" ht="14.4" customHeight="1" x14ac:dyDescent="0.3">
      <c r="A18" s="147" t="str">
        <f t="shared" si="2"/>
        <v>LRp Detail</v>
      </c>
      <c r="B18" s="90" t="s">
        <v>703</v>
      </c>
      <c r="C18" s="47" t="s">
        <v>118</v>
      </c>
    </row>
    <row r="19" spans="1:3" ht="28.8" customHeight="1" x14ac:dyDescent="0.3">
      <c r="A19" s="147" t="str">
        <f t="shared" si="2"/>
        <v>LRp PL</v>
      </c>
      <c r="B19" s="490" t="s">
        <v>704</v>
      </c>
      <c r="C19" s="47" t="s">
        <v>147</v>
      </c>
    </row>
    <row r="20" spans="1:3" ht="14.4" customHeight="1" x14ac:dyDescent="0.3">
      <c r="A20" s="147" t="str">
        <f>HYPERLINK("#'"&amp;C20&amp;"'!A1",C20)</f>
        <v>LRp PL Detail</v>
      </c>
      <c r="B20" s="90" t="s">
        <v>721</v>
      </c>
      <c r="C20" s="47" t="s">
        <v>149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141</v>
      </c>
      <c r="C21" s="47" t="s">
        <v>119</v>
      </c>
    </row>
    <row r="22" spans="1:3" ht="14.4" customHeight="1" x14ac:dyDescent="0.3">
      <c r="A22" s="147" t="str">
        <f t="shared" si="2"/>
        <v>MŽ Detail</v>
      </c>
      <c r="B22" s="90" t="s">
        <v>1111</v>
      </c>
      <c r="C22" s="47" t="s">
        <v>120</v>
      </c>
    </row>
    <row r="23" spans="1:3" ht="14.4" customHeight="1" thickBot="1" x14ac:dyDescent="0.35">
      <c r="A23" s="149" t="str">
        <f t="shared" si="2"/>
        <v>Osobní náklady</v>
      </c>
      <c r="B23" s="90" t="s">
        <v>107</v>
      </c>
      <c r="C23" s="47" t="s">
        <v>121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111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1120</v>
      </c>
      <c r="C26" s="47" t="s">
        <v>124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1127</v>
      </c>
      <c r="C27" s="47" t="s">
        <v>280</v>
      </c>
    </row>
    <row r="28" spans="1:3" ht="14.4" customHeight="1" x14ac:dyDescent="0.3">
      <c r="A28" s="147" t="str">
        <f t="shared" si="4"/>
        <v>ZV Vykáz.-A Detail</v>
      </c>
      <c r="B28" s="90" t="s">
        <v>1233</v>
      </c>
      <c r="C28" s="47" t="s">
        <v>125</v>
      </c>
    </row>
    <row r="29" spans="1:3" ht="14.4" customHeight="1" x14ac:dyDescent="0.3">
      <c r="A29" s="147" t="str">
        <f t="shared" si="4"/>
        <v>ZV Vykáz.-H</v>
      </c>
      <c r="B29" s="90" t="s">
        <v>128</v>
      </c>
      <c r="C29" s="47" t="s">
        <v>126</v>
      </c>
    </row>
    <row r="30" spans="1:3" ht="14.4" customHeight="1" x14ac:dyDescent="0.3">
      <c r="A30" s="147" t="str">
        <f t="shared" si="4"/>
        <v>ZV Vykáz.-H Detail</v>
      </c>
      <c r="B30" s="90" t="s">
        <v>1260</v>
      </c>
      <c r="C30" s="47" t="s">
        <v>127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8" customWidth="1"/>
    <col min="7" max="7" width="10" style="208" customWidth="1"/>
    <col min="8" max="8" width="6.77734375" style="211" bestFit="1" customWidth="1"/>
    <col min="9" max="9" width="6.6640625" style="208" customWidth="1"/>
    <col min="10" max="10" width="10" style="208" customWidth="1"/>
    <col min="11" max="11" width="6.77734375" style="211" bestFit="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622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281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52.909999999999989</v>
      </c>
      <c r="K3" s="44">
        <f>IF(M3=0,0,J3/M3)</f>
        <v>1</v>
      </c>
      <c r="L3" s="43">
        <f>SUBTOTAL(9,L6:L1048576)</f>
        <v>1</v>
      </c>
      <c r="M3" s="45">
        <f>SUBTOTAL(9,M6:M1048576)</f>
        <v>52.909999999999989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475" t="s">
        <v>132</v>
      </c>
      <c r="B5" s="491" t="s">
        <v>133</v>
      </c>
      <c r="C5" s="491" t="s">
        <v>71</v>
      </c>
      <c r="D5" s="491" t="s">
        <v>134</v>
      </c>
      <c r="E5" s="491" t="s">
        <v>135</v>
      </c>
      <c r="F5" s="492" t="s">
        <v>28</v>
      </c>
      <c r="G5" s="492" t="s">
        <v>14</v>
      </c>
      <c r="H5" s="477" t="s">
        <v>136</v>
      </c>
      <c r="I5" s="476" t="s">
        <v>28</v>
      </c>
      <c r="J5" s="492" t="s">
        <v>14</v>
      </c>
      <c r="K5" s="477" t="s">
        <v>136</v>
      </c>
      <c r="L5" s="476" t="s">
        <v>28</v>
      </c>
      <c r="M5" s="493" t="s">
        <v>14</v>
      </c>
    </row>
    <row r="6" spans="1:13" ht="14.4" customHeight="1" thickBot="1" x14ac:dyDescent="0.35">
      <c r="A6" s="482" t="s">
        <v>480</v>
      </c>
      <c r="B6" s="495" t="s">
        <v>620</v>
      </c>
      <c r="C6" s="495" t="s">
        <v>594</v>
      </c>
      <c r="D6" s="495" t="s">
        <v>595</v>
      </c>
      <c r="E6" s="495" t="s">
        <v>621</v>
      </c>
      <c r="F6" s="483"/>
      <c r="G6" s="483"/>
      <c r="H6" s="303">
        <v>0</v>
      </c>
      <c r="I6" s="483">
        <v>1</v>
      </c>
      <c r="J6" s="483">
        <v>52.909999999999989</v>
      </c>
      <c r="K6" s="303">
        <v>1</v>
      </c>
      <c r="L6" s="483">
        <v>1</v>
      </c>
      <c r="M6" s="484">
        <v>52.909999999999989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267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281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70</v>
      </c>
      <c r="C3" s="307">
        <f>SUM(C6:C1048576)</f>
        <v>16</v>
      </c>
      <c r="D3" s="307">
        <f>SUM(D6:D1048576)</f>
        <v>0</v>
      </c>
      <c r="E3" s="308">
        <f>SUM(E6:E1048576)</f>
        <v>0</v>
      </c>
      <c r="F3" s="305">
        <f>IF(SUM($B3:$E3)=0,"",B3/SUM($B3:$E3))</f>
        <v>0.81395348837209303</v>
      </c>
      <c r="G3" s="303">
        <f t="shared" ref="G3:I3" si="0">IF(SUM($B3:$E3)=0,"",C3/SUM($B3:$E3))</f>
        <v>0.18604651162790697</v>
      </c>
      <c r="H3" s="303">
        <f t="shared" si="0"/>
        <v>0</v>
      </c>
      <c r="I3" s="304">
        <f t="shared" si="0"/>
        <v>0</v>
      </c>
      <c r="J3" s="307">
        <f>SUM(J6:J1048576)</f>
        <v>38</v>
      </c>
      <c r="K3" s="307">
        <f>SUM(K6:K1048576)</f>
        <v>5</v>
      </c>
      <c r="L3" s="307">
        <f>SUM(L6:L1048576)</f>
        <v>0</v>
      </c>
      <c r="M3" s="308">
        <f>SUM(M6:M1048576)</f>
        <v>0</v>
      </c>
      <c r="N3" s="305">
        <f>IF(SUM($J3:$M3)=0,"",J3/SUM($J3:$M3))</f>
        <v>0.88372093023255816</v>
      </c>
      <c r="O3" s="303">
        <f t="shared" ref="O3:Q3" si="1">IF(SUM($J3:$M3)=0,"",K3/SUM($J3:$M3))</f>
        <v>0.11627906976744186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269</v>
      </c>
      <c r="C4" s="377"/>
      <c r="D4" s="377"/>
      <c r="E4" s="378"/>
      <c r="F4" s="373" t="s">
        <v>274</v>
      </c>
      <c r="G4" s="374"/>
      <c r="H4" s="374"/>
      <c r="I4" s="375"/>
      <c r="J4" s="376" t="s">
        <v>275</v>
      </c>
      <c r="K4" s="377"/>
      <c r="L4" s="377"/>
      <c r="M4" s="378"/>
      <c r="N4" s="373" t="s">
        <v>276</v>
      </c>
      <c r="O4" s="374"/>
      <c r="P4" s="374"/>
      <c r="Q4" s="375"/>
    </row>
    <row r="5" spans="1:17" ht="14.4" customHeight="1" thickBot="1" x14ac:dyDescent="0.35">
      <c r="A5" s="496" t="s">
        <v>268</v>
      </c>
      <c r="B5" s="497" t="s">
        <v>270</v>
      </c>
      <c r="C5" s="497" t="s">
        <v>271</v>
      </c>
      <c r="D5" s="497" t="s">
        <v>272</v>
      </c>
      <c r="E5" s="498" t="s">
        <v>273</v>
      </c>
      <c r="F5" s="499" t="s">
        <v>270</v>
      </c>
      <c r="G5" s="500" t="s">
        <v>271</v>
      </c>
      <c r="H5" s="500" t="s">
        <v>272</v>
      </c>
      <c r="I5" s="501" t="s">
        <v>273</v>
      </c>
      <c r="J5" s="497" t="s">
        <v>270</v>
      </c>
      <c r="K5" s="497" t="s">
        <v>271</v>
      </c>
      <c r="L5" s="497" t="s">
        <v>272</v>
      </c>
      <c r="M5" s="498" t="s">
        <v>273</v>
      </c>
      <c r="N5" s="499" t="s">
        <v>270</v>
      </c>
      <c r="O5" s="500" t="s">
        <v>271</v>
      </c>
      <c r="P5" s="500" t="s">
        <v>272</v>
      </c>
      <c r="Q5" s="501" t="s">
        <v>273</v>
      </c>
    </row>
    <row r="6" spans="1:17" ht="14.4" customHeight="1" x14ac:dyDescent="0.3">
      <c r="A6" s="506" t="s">
        <v>623</v>
      </c>
      <c r="B6" s="512"/>
      <c r="C6" s="461"/>
      <c r="D6" s="461"/>
      <c r="E6" s="462"/>
      <c r="F6" s="509"/>
      <c r="G6" s="480"/>
      <c r="H6" s="480"/>
      <c r="I6" s="515"/>
      <c r="J6" s="512"/>
      <c r="K6" s="461"/>
      <c r="L6" s="461"/>
      <c r="M6" s="462"/>
      <c r="N6" s="509"/>
      <c r="O6" s="480"/>
      <c r="P6" s="480"/>
      <c r="Q6" s="502"/>
    </row>
    <row r="7" spans="1:17" ht="14.4" customHeight="1" x14ac:dyDescent="0.3">
      <c r="A7" s="507" t="s">
        <v>624</v>
      </c>
      <c r="B7" s="513">
        <v>24</v>
      </c>
      <c r="C7" s="467">
        <v>16</v>
      </c>
      <c r="D7" s="467"/>
      <c r="E7" s="468"/>
      <c r="F7" s="510">
        <v>0.6</v>
      </c>
      <c r="G7" s="503">
        <v>0.4</v>
      </c>
      <c r="H7" s="503">
        <v>0</v>
      </c>
      <c r="I7" s="516">
        <v>0</v>
      </c>
      <c r="J7" s="513">
        <v>8</v>
      </c>
      <c r="K7" s="467">
        <v>5</v>
      </c>
      <c r="L7" s="467"/>
      <c r="M7" s="468"/>
      <c r="N7" s="510">
        <v>0.61538461538461542</v>
      </c>
      <c r="O7" s="503">
        <v>0.38461538461538464</v>
      </c>
      <c r="P7" s="503">
        <v>0</v>
      </c>
      <c r="Q7" s="504">
        <v>0</v>
      </c>
    </row>
    <row r="8" spans="1:17" ht="14.4" customHeight="1" thickBot="1" x14ac:dyDescent="0.35">
      <c r="A8" s="508" t="s">
        <v>625</v>
      </c>
      <c r="B8" s="514">
        <v>46</v>
      </c>
      <c r="C8" s="473"/>
      <c r="D8" s="473"/>
      <c r="E8" s="474"/>
      <c r="F8" s="511">
        <v>1</v>
      </c>
      <c r="G8" s="481">
        <v>0</v>
      </c>
      <c r="H8" s="481">
        <v>0</v>
      </c>
      <c r="I8" s="517">
        <v>0</v>
      </c>
      <c r="J8" s="514">
        <v>30</v>
      </c>
      <c r="K8" s="473"/>
      <c r="L8" s="473"/>
      <c r="M8" s="474"/>
      <c r="N8" s="511">
        <v>1</v>
      </c>
      <c r="O8" s="481">
        <v>0</v>
      </c>
      <c r="P8" s="481">
        <v>0</v>
      </c>
      <c r="Q8" s="50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140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281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150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5">
        <v>28</v>
      </c>
      <c r="B5" s="446" t="s">
        <v>614</v>
      </c>
      <c r="C5" s="449">
        <v>11261.640000000001</v>
      </c>
      <c r="D5" s="449">
        <v>26</v>
      </c>
      <c r="E5" s="449">
        <v>2827.61</v>
      </c>
      <c r="F5" s="518">
        <v>0.25108332356566182</v>
      </c>
      <c r="G5" s="449">
        <v>14</v>
      </c>
      <c r="H5" s="518">
        <v>0.53846153846153844</v>
      </c>
      <c r="I5" s="449">
        <v>8434.0300000000007</v>
      </c>
      <c r="J5" s="518">
        <v>0.74891667643433812</v>
      </c>
      <c r="K5" s="449">
        <v>12</v>
      </c>
      <c r="L5" s="518">
        <v>0.46153846153846156</v>
      </c>
      <c r="M5" s="449" t="s">
        <v>69</v>
      </c>
      <c r="N5" s="151"/>
    </row>
    <row r="6" spans="1:14" ht="14.4" customHeight="1" x14ac:dyDescent="0.3">
      <c r="A6" s="445">
        <v>28</v>
      </c>
      <c r="B6" s="446" t="s">
        <v>626</v>
      </c>
      <c r="C6" s="449">
        <v>11261.640000000001</v>
      </c>
      <c r="D6" s="449">
        <v>26</v>
      </c>
      <c r="E6" s="449">
        <v>2827.61</v>
      </c>
      <c r="F6" s="518">
        <v>0.25108332356566182</v>
      </c>
      <c r="G6" s="449">
        <v>14</v>
      </c>
      <c r="H6" s="518">
        <v>0.53846153846153844</v>
      </c>
      <c r="I6" s="449">
        <v>8434.0300000000007</v>
      </c>
      <c r="J6" s="518">
        <v>0.74891667643433812</v>
      </c>
      <c r="K6" s="449">
        <v>12</v>
      </c>
      <c r="L6" s="518">
        <v>0.46153846153846156</v>
      </c>
      <c r="M6" s="449" t="s">
        <v>1</v>
      </c>
      <c r="N6" s="151"/>
    </row>
    <row r="7" spans="1:14" ht="14.4" customHeight="1" x14ac:dyDescent="0.3">
      <c r="A7" s="445" t="s">
        <v>470</v>
      </c>
      <c r="B7" s="446" t="s">
        <v>3</v>
      </c>
      <c r="C7" s="449">
        <v>11261.640000000001</v>
      </c>
      <c r="D7" s="449">
        <v>26</v>
      </c>
      <c r="E7" s="449">
        <v>2827.61</v>
      </c>
      <c r="F7" s="518">
        <v>0.25108332356566182</v>
      </c>
      <c r="G7" s="449">
        <v>14</v>
      </c>
      <c r="H7" s="518">
        <v>0.53846153846153844</v>
      </c>
      <c r="I7" s="449">
        <v>8434.0300000000007</v>
      </c>
      <c r="J7" s="518">
        <v>0.74891667643433812</v>
      </c>
      <c r="K7" s="449">
        <v>12</v>
      </c>
      <c r="L7" s="518">
        <v>0.46153846153846156</v>
      </c>
      <c r="M7" s="449" t="s">
        <v>474</v>
      </c>
      <c r="N7" s="151"/>
    </row>
    <row r="9" spans="1:14" ht="14.4" customHeight="1" x14ac:dyDescent="0.3">
      <c r="A9" s="445">
        <v>28</v>
      </c>
      <c r="B9" s="446" t="s">
        <v>614</v>
      </c>
      <c r="C9" s="449" t="s">
        <v>472</v>
      </c>
      <c r="D9" s="449" t="s">
        <v>472</v>
      </c>
      <c r="E9" s="449" t="s">
        <v>472</v>
      </c>
      <c r="F9" s="518" t="s">
        <v>472</v>
      </c>
      <c r="G9" s="449" t="s">
        <v>472</v>
      </c>
      <c r="H9" s="518" t="s">
        <v>472</v>
      </c>
      <c r="I9" s="449" t="s">
        <v>472</v>
      </c>
      <c r="J9" s="518" t="s">
        <v>472</v>
      </c>
      <c r="K9" s="449" t="s">
        <v>472</v>
      </c>
      <c r="L9" s="518" t="s">
        <v>472</v>
      </c>
      <c r="M9" s="449" t="s">
        <v>69</v>
      </c>
      <c r="N9" s="151"/>
    </row>
    <row r="10" spans="1:14" ht="14.4" customHeight="1" x14ac:dyDescent="0.3">
      <c r="A10" s="445">
        <v>89301282</v>
      </c>
      <c r="B10" s="446" t="s">
        <v>626</v>
      </c>
      <c r="C10" s="449">
        <v>11261.640000000001</v>
      </c>
      <c r="D10" s="449">
        <v>26</v>
      </c>
      <c r="E10" s="449">
        <v>2827.61</v>
      </c>
      <c r="F10" s="518">
        <v>0.25108332356566182</v>
      </c>
      <c r="G10" s="449">
        <v>14</v>
      </c>
      <c r="H10" s="518">
        <v>0.53846153846153844</v>
      </c>
      <c r="I10" s="449">
        <v>8434.0300000000007</v>
      </c>
      <c r="J10" s="518">
        <v>0.74891667643433812</v>
      </c>
      <c r="K10" s="449">
        <v>12</v>
      </c>
      <c r="L10" s="518">
        <v>0.46153846153846156</v>
      </c>
      <c r="M10" s="449" t="s">
        <v>1</v>
      </c>
      <c r="N10" s="151"/>
    </row>
    <row r="11" spans="1:14" ht="14.4" customHeight="1" x14ac:dyDescent="0.3">
      <c r="A11" s="445" t="s">
        <v>627</v>
      </c>
      <c r="B11" s="446" t="s">
        <v>628</v>
      </c>
      <c r="C11" s="449">
        <v>11261.640000000001</v>
      </c>
      <c r="D11" s="449">
        <v>26</v>
      </c>
      <c r="E11" s="449">
        <v>2827.61</v>
      </c>
      <c r="F11" s="518">
        <v>0.25108332356566182</v>
      </c>
      <c r="G11" s="449">
        <v>14</v>
      </c>
      <c r="H11" s="518">
        <v>0.53846153846153844</v>
      </c>
      <c r="I11" s="449">
        <v>8434.0300000000007</v>
      </c>
      <c r="J11" s="518">
        <v>0.74891667643433812</v>
      </c>
      <c r="K11" s="449">
        <v>12</v>
      </c>
      <c r="L11" s="518">
        <v>0.46153846153846156</v>
      </c>
      <c r="M11" s="449" t="s">
        <v>478</v>
      </c>
      <c r="N11" s="151"/>
    </row>
    <row r="12" spans="1:14" ht="14.4" customHeight="1" x14ac:dyDescent="0.3">
      <c r="A12" s="445" t="s">
        <v>472</v>
      </c>
      <c r="B12" s="446" t="s">
        <v>472</v>
      </c>
      <c r="C12" s="449" t="s">
        <v>472</v>
      </c>
      <c r="D12" s="449" t="s">
        <v>472</v>
      </c>
      <c r="E12" s="449" t="s">
        <v>472</v>
      </c>
      <c r="F12" s="518" t="s">
        <v>472</v>
      </c>
      <c r="G12" s="449" t="s">
        <v>472</v>
      </c>
      <c r="H12" s="518" t="s">
        <v>472</v>
      </c>
      <c r="I12" s="449" t="s">
        <v>472</v>
      </c>
      <c r="J12" s="518" t="s">
        <v>472</v>
      </c>
      <c r="K12" s="449" t="s">
        <v>472</v>
      </c>
      <c r="L12" s="518" t="s">
        <v>472</v>
      </c>
      <c r="M12" s="449" t="s">
        <v>479</v>
      </c>
      <c r="N12" s="151"/>
    </row>
    <row r="13" spans="1:14" ht="14.4" customHeight="1" x14ac:dyDescent="0.3">
      <c r="A13" s="445" t="s">
        <v>470</v>
      </c>
      <c r="B13" s="446" t="s">
        <v>629</v>
      </c>
      <c r="C13" s="449">
        <v>11261.640000000001</v>
      </c>
      <c r="D13" s="449">
        <v>26</v>
      </c>
      <c r="E13" s="449">
        <v>2827.61</v>
      </c>
      <c r="F13" s="518">
        <v>0.25108332356566182</v>
      </c>
      <c r="G13" s="449">
        <v>14</v>
      </c>
      <c r="H13" s="518">
        <v>0.53846153846153844</v>
      </c>
      <c r="I13" s="449">
        <v>8434.0300000000007</v>
      </c>
      <c r="J13" s="518">
        <v>0.74891667643433812</v>
      </c>
      <c r="K13" s="449">
        <v>12</v>
      </c>
      <c r="L13" s="518">
        <v>0.46153846153846156</v>
      </c>
      <c r="M13" s="449" t="s">
        <v>474</v>
      </c>
      <c r="N13" s="151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151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281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150</v>
      </c>
      <c r="K3" s="379"/>
      <c r="L3" s="379"/>
      <c r="M3" s="381"/>
    </row>
    <row r="4" spans="1:13" ht="14.4" customHeight="1" thickBot="1" x14ac:dyDescent="0.35">
      <c r="A4" s="496" t="s">
        <v>137</v>
      </c>
      <c r="B4" s="497" t="s">
        <v>19</v>
      </c>
      <c r="C4" s="522"/>
      <c r="D4" s="497" t="s">
        <v>20</v>
      </c>
      <c r="E4" s="522"/>
      <c r="F4" s="497" t="s">
        <v>19</v>
      </c>
      <c r="G4" s="500" t="s">
        <v>2</v>
      </c>
      <c r="H4" s="497" t="s">
        <v>20</v>
      </c>
      <c r="I4" s="500" t="s">
        <v>2</v>
      </c>
      <c r="J4" s="497" t="s">
        <v>19</v>
      </c>
      <c r="K4" s="500" t="s">
        <v>2</v>
      </c>
      <c r="L4" s="497" t="s">
        <v>20</v>
      </c>
      <c r="M4" s="501" t="s">
        <v>2</v>
      </c>
    </row>
    <row r="5" spans="1:13" ht="14.4" customHeight="1" x14ac:dyDescent="0.3">
      <c r="A5" s="519" t="s">
        <v>630</v>
      </c>
      <c r="B5" s="512">
        <v>1348.74</v>
      </c>
      <c r="C5" s="458">
        <v>1</v>
      </c>
      <c r="D5" s="523">
        <v>6</v>
      </c>
      <c r="E5" s="494" t="s">
        <v>630</v>
      </c>
      <c r="F5" s="512">
        <v>864.98</v>
      </c>
      <c r="G5" s="480">
        <v>0.64132449545501724</v>
      </c>
      <c r="H5" s="461">
        <v>5</v>
      </c>
      <c r="I5" s="502">
        <v>0.83333333333333337</v>
      </c>
      <c r="J5" s="528">
        <v>483.76</v>
      </c>
      <c r="K5" s="480">
        <v>0.3586755045449827</v>
      </c>
      <c r="L5" s="461">
        <v>1</v>
      </c>
      <c r="M5" s="502">
        <v>0.16666666666666666</v>
      </c>
    </row>
    <row r="6" spans="1:13" ht="14.4" customHeight="1" x14ac:dyDescent="0.3">
      <c r="A6" s="520" t="s">
        <v>631</v>
      </c>
      <c r="B6" s="513">
        <v>9912.9000000000015</v>
      </c>
      <c r="C6" s="464">
        <v>1</v>
      </c>
      <c r="D6" s="524">
        <v>19</v>
      </c>
      <c r="E6" s="526" t="s">
        <v>631</v>
      </c>
      <c r="F6" s="513">
        <v>1962.63</v>
      </c>
      <c r="G6" s="503">
        <v>0.1979874708712889</v>
      </c>
      <c r="H6" s="467">
        <v>9</v>
      </c>
      <c r="I6" s="504">
        <v>0.47368421052631576</v>
      </c>
      <c r="J6" s="529">
        <v>7950.27</v>
      </c>
      <c r="K6" s="503">
        <v>0.80201252912871102</v>
      </c>
      <c r="L6" s="467">
        <v>10</v>
      </c>
      <c r="M6" s="504">
        <v>0.52631578947368418</v>
      </c>
    </row>
    <row r="7" spans="1:13" ht="14.4" customHeight="1" thickBot="1" x14ac:dyDescent="0.35">
      <c r="A7" s="521" t="s">
        <v>632</v>
      </c>
      <c r="B7" s="514">
        <v>0</v>
      </c>
      <c r="C7" s="470"/>
      <c r="D7" s="525">
        <v>1</v>
      </c>
      <c r="E7" s="527" t="s">
        <v>632</v>
      </c>
      <c r="F7" s="514"/>
      <c r="G7" s="481"/>
      <c r="H7" s="473"/>
      <c r="I7" s="505">
        <v>0</v>
      </c>
      <c r="J7" s="530">
        <v>0</v>
      </c>
      <c r="K7" s="481"/>
      <c r="L7" s="473">
        <v>1</v>
      </c>
      <c r="M7" s="505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6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703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281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129</v>
      </c>
      <c r="L3" s="389"/>
      <c r="M3" s="66">
        <f>SUBTOTAL(9,M7:M1048576)</f>
        <v>11261.64</v>
      </c>
      <c r="N3" s="66">
        <f>SUBTOTAL(9,N7:N1048576)</f>
        <v>52</v>
      </c>
      <c r="O3" s="66">
        <f>SUBTOTAL(9,O7:O1048576)</f>
        <v>26</v>
      </c>
      <c r="P3" s="66">
        <f>SUBTOTAL(9,P7:P1048576)</f>
        <v>2827.61</v>
      </c>
      <c r="Q3" s="67">
        <f>IF(M3=0,0,P3/M3)</f>
        <v>0.25108332356566188</v>
      </c>
      <c r="R3" s="66">
        <f>SUBTOTAL(9,R7:R1048576)</f>
        <v>28</v>
      </c>
      <c r="S3" s="67">
        <f>IF(N3=0,0,R3/N3)</f>
        <v>0.53846153846153844</v>
      </c>
      <c r="T3" s="66">
        <f>SUBTOTAL(9,T7:T1048576)</f>
        <v>14</v>
      </c>
      <c r="U3" s="68">
        <f>IF(O3=0,0,T3/O3)</f>
        <v>0.53846153846153844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31" t="s">
        <v>23</v>
      </c>
      <c r="B6" s="532" t="s">
        <v>5</v>
      </c>
      <c r="C6" s="531" t="s">
        <v>24</v>
      </c>
      <c r="D6" s="532" t="s">
        <v>6</v>
      </c>
      <c r="E6" s="532" t="s">
        <v>153</v>
      </c>
      <c r="F6" s="532" t="s">
        <v>25</v>
      </c>
      <c r="G6" s="532" t="s">
        <v>26</v>
      </c>
      <c r="H6" s="532" t="s">
        <v>8</v>
      </c>
      <c r="I6" s="532" t="s">
        <v>10</v>
      </c>
      <c r="J6" s="532" t="s">
        <v>11</v>
      </c>
      <c r="K6" s="532" t="s">
        <v>12</v>
      </c>
      <c r="L6" s="532" t="s">
        <v>27</v>
      </c>
      <c r="M6" s="533" t="s">
        <v>14</v>
      </c>
      <c r="N6" s="534" t="s">
        <v>28</v>
      </c>
      <c r="O6" s="534" t="s">
        <v>28</v>
      </c>
      <c r="P6" s="534" t="s">
        <v>14</v>
      </c>
      <c r="Q6" s="534" t="s">
        <v>2</v>
      </c>
      <c r="R6" s="534" t="s">
        <v>28</v>
      </c>
      <c r="S6" s="534" t="s">
        <v>2</v>
      </c>
      <c r="T6" s="534" t="s">
        <v>28</v>
      </c>
      <c r="U6" s="535" t="s">
        <v>2</v>
      </c>
    </row>
    <row r="7" spans="1:21" ht="14.4" customHeight="1" x14ac:dyDescent="0.3">
      <c r="A7" s="536">
        <v>28</v>
      </c>
      <c r="B7" s="537" t="s">
        <v>614</v>
      </c>
      <c r="C7" s="537">
        <v>89301282</v>
      </c>
      <c r="D7" s="538" t="s">
        <v>702</v>
      </c>
      <c r="E7" s="539" t="s">
        <v>630</v>
      </c>
      <c r="F7" s="537" t="s">
        <v>626</v>
      </c>
      <c r="G7" s="537" t="s">
        <v>633</v>
      </c>
      <c r="H7" s="537" t="s">
        <v>472</v>
      </c>
      <c r="I7" s="537" t="s">
        <v>634</v>
      </c>
      <c r="J7" s="537" t="s">
        <v>635</v>
      </c>
      <c r="K7" s="537" t="s">
        <v>636</v>
      </c>
      <c r="L7" s="540">
        <v>106.23</v>
      </c>
      <c r="M7" s="540">
        <v>106.23</v>
      </c>
      <c r="N7" s="537">
        <v>1</v>
      </c>
      <c r="O7" s="541">
        <v>1</v>
      </c>
      <c r="P7" s="540">
        <v>106.23</v>
      </c>
      <c r="Q7" s="542">
        <v>1</v>
      </c>
      <c r="R7" s="537">
        <v>1</v>
      </c>
      <c r="S7" s="542">
        <v>1</v>
      </c>
      <c r="T7" s="541">
        <v>1</v>
      </c>
      <c r="U7" s="122">
        <v>1</v>
      </c>
    </row>
    <row r="8" spans="1:21" ht="14.4" customHeight="1" x14ac:dyDescent="0.3">
      <c r="A8" s="543">
        <v>28</v>
      </c>
      <c r="B8" s="544" t="s">
        <v>614</v>
      </c>
      <c r="C8" s="544">
        <v>89301282</v>
      </c>
      <c r="D8" s="545" t="s">
        <v>702</v>
      </c>
      <c r="E8" s="546" t="s">
        <v>630</v>
      </c>
      <c r="F8" s="544" t="s">
        <v>626</v>
      </c>
      <c r="G8" s="544" t="s">
        <v>637</v>
      </c>
      <c r="H8" s="544" t="s">
        <v>472</v>
      </c>
      <c r="I8" s="544" t="s">
        <v>638</v>
      </c>
      <c r="J8" s="544" t="s">
        <v>639</v>
      </c>
      <c r="K8" s="544" t="s">
        <v>640</v>
      </c>
      <c r="L8" s="547">
        <v>483.76</v>
      </c>
      <c r="M8" s="547">
        <v>483.76</v>
      </c>
      <c r="N8" s="544">
        <v>1</v>
      </c>
      <c r="O8" s="548">
        <v>1</v>
      </c>
      <c r="P8" s="547"/>
      <c r="Q8" s="549">
        <v>0</v>
      </c>
      <c r="R8" s="544"/>
      <c r="S8" s="549">
        <v>0</v>
      </c>
      <c r="T8" s="548"/>
      <c r="U8" s="550">
        <v>0</v>
      </c>
    </row>
    <row r="9" spans="1:21" ht="14.4" customHeight="1" x14ac:dyDescent="0.3">
      <c r="A9" s="543">
        <v>28</v>
      </c>
      <c r="B9" s="544" t="s">
        <v>614</v>
      </c>
      <c r="C9" s="544">
        <v>89301282</v>
      </c>
      <c r="D9" s="545" t="s">
        <v>702</v>
      </c>
      <c r="E9" s="546" t="s">
        <v>630</v>
      </c>
      <c r="F9" s="544" t="s">
        <v>626</v>
      </c>
      <c r="G9" s="544" t="s">
        <v>641</v>
      </c>
      <c r="H9" s="544" t="s">
        <v>592</v>
      </c>
      <c r="I9" s="544" t="s">
        <v>642</v>
      </c>
      <c r="J9" s="544" t="s">
        <v>643</v>
      </c>
      <c r="K9" s="544" t="s">
        <v>644</v>
      </c>
      <c r="L9" s="547">
        <v>222.25</v>
      </c>
      <c r="M9" s="547">
        <v>222.25</v>
      </c>
      <c r="N9" s="544">
        <v>1</v>
      </c>
      <c r="O9" s="548">
        <v>1</v>
      </c>
      <c r="P9" s="547">
        <v>222.25</v>
      </c>
      <c r="Q9" s="549">
        <v>1</v>
      </c>
      <c r="R9" s="544">
        <v>1</v>
      </c>
      <c r="S9" s="549">
        <v>1</v>
      </c>
      <c r="T9" s="548">
        <v>1</v>
      </c>
      <c r="U9" s="550">
        <v>1</v>
      </c>
    </row>
    <row r="10" spans="1:21" ht="14.4" customHeight="1" x14ac:dyDescent="0.3">
      <c r="A10" s="543">
        <v>28</v>
      </c>
      <c r="B10" s="544" t="s">
        <v>614</v>
      </c>
      <c r="C10" s="544">
        <v>89301282</v>
      </c>
      <c r="D10" s="545" t="s">
        <v>702</v>
      </c>
      <c r="E10" s="546" t="s">
        <v>630</v>
      </c>
      <c r="F10" s="544" t="s">
        <v>626</v>
      </c>
      <c r="G10" s="544" t="s">
        <v>645</v>
      </c>
      <c r="H10" s="544" t="s">
        <v>472</v>
      </c>
      <c r="I10" s="544" t="s">
        <v>646</v>
      </c>
      <c r="J10" s="544" t="s">
        <v>647</v>
      </c>
      <c r="K10" s="544" t="s">
        <v>648</v>
      </c>
      <c r="L10" s="547">
        <v>117.71</v>
      </c>
      <c r="M10" s="547">
        <v>117.71</v>
      </c>
      <c r="N10" s="544">
        <v>1</v>
      </c>
      <c r="O10" s="548">
        <v>0.5</v>
      </c>
      <c r="P10" s="547">
        <v>117.71</v>
      </c>
      <c r="Q10" s="549">
        <v>1</v>
      </c>
      <c r="R10" s="544">
        <v>1</v>
      </c>
      <c r="S10" s="549">
        <v>1</v>
      </c>
      <c r="T10" s="548">
        <v>0.5</v>
      </c>
      <c r="U10" s="550">
        <v>1</v>
      </c>
    </row>
    <row r="11" spans="1:21" ht="14.4" customHeight="1" x14ac:dyDescent="0.3">
      <c r="A11" s="543">
        <v>28</v>
      </c>
      <c r="B11" s="544" t="s">
        <v>614</v>
      </c>
      <c r="C11" s="544">
        <v>89301282</v>
      </c>
      <c r="D11" s="545" t="s">
        <v>702</v>
      </c>
      <c r="E11" s="546" t="s">
        <v>630</v>
      </c>
      <c r="F11" s="544" t="s">
        <v>626</v>
      </c>
      <c r="G11" s="544" t="s">
        <v>649</v>
      </c>
      <c r="H11" s="544" t="s">
        <v>472</v>
      </c>
      <c r="I11" s="544" t="s">
        <v>650</v>
      </c>
      <c r="J11" s="544" t="s">
        <v>651</v>
      </c>
      <c r="K11" s="544" t="s">
        <v>652</v>
      </c>
      <c r="L11" s="547">
        <v>163.9</v>
      </c>
      <c r="M11" s="547">
        <v>327.8</v>
      </c>
      <c r="N11" s="544">
        <v>2</v>
      </c>
      <c r="O11" s="548">
        <v>1</v>
      </c>
      <c r="P11" s="547">
        <v>327.8</v>
      </c>
      <c r="Q11" s="549">
        <v>1</v>
      </c>
      <c r="R11" s="544">
        <v>2</v>
      </c>
      <c r="S11" s="549">
        <v>1</v>
      </c>
      <c r="T11" s="548">
        <v>1</v>
      </c>
      <c r="U11" s="550">
        <v>1</v>
      </c>
    </row>
    <row r="12" spans="1:21" ht="14.4" customHeight="1" x14ac:dyDescent="0.3">
      <c r="A12" s="543">
        <v>28</v>
      </c>
      <c r="B12" s="544" t="s">
        <v>614</v>
      </c>
      <c r="C12" s="544">
        <v>89301282</v>
      </c>
      <c r="D12" s="545" t="s">
        <v>702</v>
      </c>
      <c r="E12" s="546" t="s">
        <v>630</v>
      </c>
      <c r="F12" s="544" t="s">
        <v>626</v>
      </c>
      <c r="G12" s="544" t="s">
        <v>653</v>
      </c>
      <c r="H12" s="544" t="s">
        <v>592</v>
      </c>
      <c r="I12" s="544" t="s">
        <v>654</v>
      </c>
      <c r="J12" s="544" t="s">
        <v>655</v>
      </c>
      <c r="K12" s="544" t="s">
        <v>656</v>
      </c>
      <c r="L12" s="547">
        <v>30.33</v>
      </c>
      <c r="M12" s="547">
        <v>90.99</v>
      </c>
      <c r="N12" s="544">
        <v>3</v>
      </c>
      <c r="O12" s="548">
        <v>1.5</v>
      </c>
      <c r="P12" s="547">
        <v>90.99</v>
      </c>
      <c r="Q12" s="549">
        <v>1</v>
      </c>
      <c r="R12" s="544">
        <v>3</v>
      </c>
      <c r="S12" s="549">
        <v>1</v>
      </c>
      <c r="T12" s="548">
        <v>1.5</v>
      </c>
      <c r="U12" s="550">
        <v>1</v>
      </c>
    </row>
    <row r="13" spans="1:21" ht="14.4" customHeight="1" x14ac:dyDescent="0.3">
      <c r="A13" s="543">
        <v>28</v>
      </c>
      <c r="B13" s="544" t="s">
        <v>614</v>
      </c>
      <c r="C13" s="544">
        <v>89301282</v>
      </c>
      <c r="D13" s="545" t="s">
        <v>702</v>
      </c>
      <c r="E13" s="546" t="s">
        <v>631</v>
      </c>
      <c r="F13" s="544" t="s">
        <v>626</v>
      </c>
      <c r="G13" s="544" t="s">
        <v>637</v>
      </c>
      <c r="H13" s="544" t="s">
        <v>472</v>
      </c>
      <c r="I13" s="544" t="s">
        <v>657</v>
      </c>
      <c r="J13" s="544" t="s">
        <v>639</v>
      </c>
      <c r="K13" s="544" t="s">
        <v>640</v>
      </c>
      <c r="L13" s="547">
        <v>483.76</v>
      </c>
      <c r="M13" s="547">
        <v>967.52</v>
      </c>
      <c r="N13" s="544">
        <v>2</v>
      </c>
      <c r="O13" s="548">
        <v>1</v>
      </c>
      <c r="P13" s="547"/>
      <c r="Q13" s="549">
        <v>0</v>
      </c>
      <c r="R13" s="544"/>
      <c r="S13" s="549">
        <v>0</v>
      </c>
      <c r="T13" s="548"/>
      <c r="U13" s="550">
        <v>0</v>
      </c>
    </row>
    <row r="14" spans="1:21" ht="14.4" customHeight="1" x14ac:dyDescent="0.3">
      <c r="A14" s="543">
        <v>28</v>
      </c>
      <c r="B14" s="544" t="s">
        <v>614</v>
      </c>
      <c r="C14" s="544">
        <v>89301282</v>
      </c>
      <c r="D14" s="545" t="s">
        <v>702</v>
      </c>
      <c r="E14" s="546" t="s">
        <v>631</v>
      </c>
      <c r="F14" s="544" t="s">
        <v>626</v>
      </c>
      <c r="G14" s="544" t="s">
        <v>637</v>
      </c>
      <c r="H14" s="544" t="s">
        <v>472</v>
      </c>
      <c r="I14" s="544" t="s">
        <v>638</v>
      </c>
      <c r="J14" s="544" t="s">
        <v>639</v>
      </c>
      <c r="K14" s="544" t="s">
        <v>640</v>
      </c>
      <c r="L14" s="547">
        <v>483.76</v>
      </c>
      <c r="M14" s="547">
        <v>967.52</v>
      </c>
      <c r="N14" s="544">
        <v>2</v>
      </c>
      <c r="O14" s="548">
        <v>0.5</v>
      </c>
      <c r="P14" s="547"/>
      <c r="Q14" s="549">
        <v>0</v>
      </c>
      <c r="R14" s="544"/>
      <c r="S14" s="549">
        <v>0</v>
      </c>
      <c r="T14" s="548"/>
      <c r="U14" s="550">
        <v>0</v>
      </c>
    </row>
    <row r="15" spans="1:21" ht="14.4" customHeight="1" x14ac:dyDescent="0.3">
      <c r="A15" s="543">
        <v>28</v>
      </c>
      <c r="B15" s="544" t="s">
        <v>614</v>
      </c>
      <c r="C15" s="544">
        <v>89301282</v>
      </c>
      <c r="D15" s="545" t="s">
        <v>702</v>
      </c>
      <c r="E15" s="546" t="s">
        <v>631</v>
      </c>
      <c r="F15" s="544" t="s">
        <v>626</v>
      </c>
      <c r="G15" s="544" t="s">
        <v>658</v>
      </c>
      <c r="H15" s="544" t="s">
        <v>592</v>
      </c>
      <c r="I15" s="544" t="s">
        <v>659</v>
      </c>
      <c r="J15" s="544" t="s">
        <v>660</v>
      </c>
      <c r="K15" s="544" t="s">
        <v>661</v>
      </c>
      <c r="L15" s="547">
        <v>17.690000000000001</v>
      </c>
      <c r="M15" s="547">
        <v>35.380000000000003</v>
      </c>
      <c r="N15" s="544">
        <v>2</v>
      </c>
      <c r="O15" s="548">
        <v>1</v>
      </c>
      <c r="P15" s="547"/>
      <c r="Q15" s="549">
        <v>0</v>
      </c>
      <c r="R15" s="544"/>
      <c r="S15" s="549">
        <v>0</v>
      </c>
      <c r="T15" s="548"/>
      <c r="U15" s="550">
        <v>0</v>
      </c>
    </row>
    <row r="16" spans="1:21" ht="14.4" customHeight="1" x14ac:dyDescent="0.3">
      <c r="A16" s="543">
        <v>28</v>
      </c>
      <c r="B16" s="544" t="s">
        <v>614</v>
      </c>
      <c r="C16" s="544">
        <v>89301282</v>
      </c>
      <c r="D16" s="545" t="s">
        <v>702</v>
      </c>
      <c r="E16" s="546" t="s">
        <v>631</v>
      </c>
      <c r="F16" s="544" t="s">
        <v>626</v>
      </c>
      <c r="G16" s="544" t="s">
        <v>662</v>
      </c>
      <c r="H16" s="544" t="s">
        <v>472</v>
      </c>
      <c r="I16" s="544" t="s">
        <v>663</v>
      </c>
      <c r="J16" s="544" t="s">
        <v>664</v>
      </c>
      <c r="K16" s="544" t="s">
        <v>665</v>
      </c>
      <c r="L16" s="547">
        <v>333.31</v>
      </c>
      <c r="M16" s="547">
        <v>333.31</v>
      </c>
      <c r="N16" s="544">
        <v>1</v>
      </c>
      <c r="O16" s="548">
        <v>1</v>
      </c>
      <c r="P16" s="547"/>
      <c r="Q16" s="549">
        <v>0</v>
      </c>
      <c r="R16" s="544"/>
      <c r="S16" s="549">
        <v>0</v>
      </c>
      <c r="T16" s="548"/>
      <c r="U16" s="550">
        <v>0</v>
      </c>
    </row>
    <row r="17" spans="1:21" ht="14.4" customHeight="1" x14ac:dyDescent="0.3">
      <c r="A17" s="543">
        <v>28</v>
      </c>
      <c r="B17" s="544" t="s">
        <v>614</v>
      </c>
      <c r="C17" s="544">
        <v>89301282</v>
      </c>
      <c r="D17" s="545" t="s">
        <v>702</v>
      </c>
      <c r="E17" s="546" t="s">
        <v>631</v>
      </c>
      <c r="F17" s="544" t="s">
        <v>626</v>
      </c>
      <c r="G17" s="544" t="s">
        <v>666</v>
      </c>
      <c r="H17" s="544" t="s">
        <v>592</v>
      </c>
      <c r="I17" s="544" t="s">
        <v>667</v>
      </c>
      <c r="J17" s="544" t="s">
        <v>668</v>
      </c>
      <c r="K17" s="544" t="s">
        <v>669</v>
      </c>
      <c r="L17" s="547">
        <v>65.3</v>
      </c>
      <c r="M17" s="547">
        <v>522.4</v>
      </c>
      <c r="N17" s="544">
        <v>8</v>
      </c>
      <c r="O17" s="548">
        <v>4</v>
      </c>
      <c r="P17" s="547">
        <v>195.89999999999998</v>
      </c>
      <c r="Q17" s="549">
        <v>0.375</v>
      </c>
      <c r="R17" s="544">
        <v>3</v>
      </c>
      <c r="S17" s="549">
        <v>0.375</v>
      </c>
      <c r="T17" s="548">
        <v>1</v>
      </c>
      <c r="U17" s="550">
        <v>0.25</v>
      </c>
    </row>
    <row r="18" spans="1:21" ht="14.4" customHeight="1" x14ac:dyDescent="0.3">
      <c r="A18" s="543">
        <v>28</v>
      </c>
      <c r="B18" s="544" t="s">
        <v>614</v>
      </c>
      <c r="C18" s="544">
        <v>89301282</v>
      </c>
      <c r="D18" s="545" t="s">
        <v>702</v>
      </c>
      <c r="E18" s="546" t="s">
        <v>631</v>
      </c>
      <c r="F18" s="544" t="s">
        <v>626</v>
      </c>
      <c r="G18" s="544" t="s">
        <v>670</v>
      </c>
      <c r="H18" s="544" t="s">
        <v>592</v>
      </c>
      <c r="I18" s="544" t="s">
        <v>671</v>
      </c>
      <c r="J18" s="544" t="s">
        <v>672</v>
      </c>
      <c r="K18" s="544" t="s">
        <v>673</v>
      </c>
      <c r="L18" s="547">
        <v>138.16</v>
      </c>
      <c r="M18" s="547">
        <v>276.32</v>
      </c>
      <c r="N18" s="544">
        <v>2</v>
      </c>
      <c r="O18" s="548">
        <v>1</v>
      </c>
      <c r="P18" s="547">
        <v>276.32</v>
      </c>
      <c r="Q18" s="549">
        <v>1</v>
      </c>
      <c r="R18" s="544">
        <v>2</v>
      </c>
      <c r="S18" s="549">
        <v>1</v>
      </c>
      <c r="T18" s="548">
        <v>1</v>
      </c>
      <c r="U18" s="550">
        <v>1</v>
      </c>
    </row>
    <row r="19" spans="1:21" ht="14.4" customHeight="1" x14ac:dyDescent="0.3">
      <c r="A19" s="543">
        <v>28</v>
      </c>
      <c r="B19" s="544" t="s">
        <v>614</v>
      </c>
      <c r="C19" s="544">
        <v>89301282</v>
      </c>
      <c r="D19" s="545" t="s">
        <v>702</v>
      </c>
      <c r="E19" s="546" t="s">
        <v>631</v>
      </c>
      <c r="F19" s="544" t="s">
        <v>626</v>
      </c>
      <c r="G19" s="544" t="s">
        <v>674</v>
      </c>
      <c r="H19" s="544" t="s">
        <v>592</v>
      </c>
      <c r="I19" s="544" t="s">
        <v>675</v>
      </c>
      <c r="J19" s="544" t="s">
        <v>676</v>
      </c>
      <c r="K19" s="544" t="s">
        <v>677</v>
      </c>
      <c r="L19" s="547">
        <v>413.22</v>
      </c>
      <c r="M19" s="547">
        <v>413.22</v>
      </c>
      <c r="N19" s="544">
        <v>1</v>
      </c>
      <c r="O19" s="548">
        <v>0.5</v>
      </c>
      <c r="P19" s="547"/>
      <c r="Q19" s="549">
        <v>0</v>
      </c>
      <c r="R19" s="544"/>
      <c r="S19" s="549">
        <v>0</v>
      </c>
      <c r="T19" s="548"/>
      <c r="U19" s="550">
        <v>0</v>
      </c>
    </row>
    <row r="20" spans="1:21" ht="14.4" customHeight="1" x14ac:dyDescent="0.3">
      <c r="A20" s="543">
        <v>28</v>
      </c>
      <c r="B20" s="544" t="s">
        <v>614</v>
      </c>
      <c r="C20" s="544">
        <v>89301282</v>
      </c>
      <c r="D20" s="545" t="s">
        <v>702</v>
      </c>
      <c r="E20" s="546" t="s">
        <v>631</v>
      </c>
      <c r="F20" s="544" t="s">
        <v>626</v>
      </c>
      <c r="G20" s="544" t="s">
        <v>678</v>
      </c>
      <c r="H20" s="544" t="s">
        <v>472</v>
      </c>
      <c r="I20" s="544" t="s">
        <v>679</v>
      </c>
      <c r="J20" s="544" t="s">
        <v>680</v>
      </c>
      <c r="K20" s="544" t="s">
        <v>681</v>
      </c>
      <c r="L20" s="547">
        <v>63.67</v>
      </c>
      <c r="M20" s="547">
        <v>445.69000000000005</v>
      </c>
      <c r="N20" s="544">
        <v>7</v>
      </c>
      <c r="O20" s="548">
        <v>3.5</v>
      </c>
      <c r="P20" s="547">
        <v>445.69000000000005</v>
      </c>
      <c r="Q20" s="549">
        <v>1</v>
      </c>
      <c r="R20" s="544">
        <v>7</v>
      </c>
      <c r="S20" s="549">
        <v>1</v>
      </c>
      <c r="T20" s="548">
        <v>3.5</v>
      </c>
      <c r="U20" s="550">
        <v>1</v>
      </c>
    </row>
    <row r="21" spans="1:21" ht="14.4" customHeight="1" x14ac:dyDescent="0.3">
      <c r="A21" s="543">
        <v>28</v>
      </c>
      <c r="B21" s="544" t="s">
        <v>614</v>
      </c>
      <c r="C21" s="544">
        <v>89301282</v>
      </c>
      <c r="D21" s="545" t="s">
        <v>702</v>
      </c>
      <c r="E21" s="546" t="s">
        <v>631</v>
      </c>
      <c r="F21" s="544" t="s">
        <v>626</v>
      </c>
      <c r="G21" s="544" t="s">
        <v>682</v>
      </c>
      <c r="H21" s="544" t="s">
        <v>472</v>
      </c>
      <c r="I21" s="544" t="s">
        <v>683</v>
      </c>
      <c r="J21" s="544" t="s">
        <v>684</v>
      </c>
      <c r="K21" s="544" t="s">
        <v>685</v>
      </c>
      <c r="L21" s="547">
        <v>0</v>
      </c>
      <c r="M21" s="547">
        <v>0</v>
      </c>
      <c r="N21" s="544">
        <v>2</v>
      </c>
      <c r="O21" s="548">
        <v>0.5</v>
      </c>
      <c r="P21" s="547">
        <v>0</v>
      </c>
      <c r="Q21" s="549"/>
      <c r="R21" s="544">
        <v>2</v>
      </c>
      <c r="S21" s="549">
        <v>1</v>
      </c>
      <c r="T21" s="548">
        <v>0.5</v>
      </c>
      <c r="U21" s="550">
        <v>1</v>
      </c>
    </row>
    <row r="22" spans="1:21" ht="14.4" customHeight="1" x14ac:dyDescent="0.3">
      <c r="A22" s="543">
        <v>28</v>
      </c>
      <c r="B22" s="544" t="s">
        <v>614</v>
      </c>
      <c r="C22" s="544">
        <v>89301282</v>
      </c>
      <c r="D22" s="545" t="s">
        <v>702</v>
      </c>
      <c r="E22" s="546" t="s">
        <v>631</v>
      </c>
      <c r="F22" s="544" t="s">
        <v>626</v>
      </c>
      <c r="G22" s="544" t="s">
        <v>686</v>
      </c>
      <c r="H22" s="544" t="s">
        <v>472</v>
      </c>
      <c r="I22" s="544" t="s">
        <v>687</v>
      </c>
      <c r="J22" s="544" t="s">
        <v>688</v>
      </c>
      <c r="K22" s="544" t="s">
        <v>689</v>
      </c>
      <c r="L22" s="547">
        <v>314.89999999999998</v>
      </c>
      <c r="M22" s="547">
        <v>314.89999999999998</v>
      </c>
      <c r="N22" s="544">
        <v>1</v>
      </c>
      <c r="O22" s="548">
        <v>0.5</v>
      </c>
      <c r="P22" s="547"/>
      <c r="Q22" s="549">
        <v>0</v>
      </c>
      <c r="R22" s="544"/>
      <c r="S22" s="549">
        <v>0</v>
      </c>
      <c r="T22" s="548"/>
      <c r="U22" s="550">
        <v>0</v>
      </c>
    </row>
    <row r="23" spans="1:21" ht="14.4" customHeight="1" x14ac:dyDescent="0.3">
      <c r="A23" s="543">
        <v>28</v>
      </c>
      <c r="B23" s="544" t="s">
        <v>614</v>
      </c>
      <c r="C23" s="544">
        <v>89301282</v>
      </c>
      <c r="D23" s="545" t="s">
        <v>702</v>
      </c>
      <c r="E23" s="546" t="s">
        <v>631</v>
      </c>
      <c r="F23" s="544" t="s">
        <v>626</v>
      </c>
      <c r="G23" s="544" t="s">
        <v>690</v>
      </c>
      <c r="H23" s="544" t="s">
        <v>592</v>
      </c>
      <c r="I23" s="544" t="s">
        <v>691</v>
      </c>
      <c r="J23" s="544" t="s">
        <v>692</v>
      </c>
      <c r="K23" s="544" t="s">
        <v>669</v>
      </c>
      <c r="L23" s="547">
        <v>130.59</v>
      </c>
      <c r="M23" s="547">
        <v>783.54000000000008</v>
      </c>
      <c r="N23" s="544">
        <v>6</v>
      </c>
      <c r="O23" s="548">
        <v>3</v>
      </c>
      <c r="P23" s="547">
        <v>652.95000000000005</v>
      </c>
      <c r="Q23" s="549">
        <v>0.83333333333333326</v>
      </c>
      <c r="R23" s="544">
        <v>5</v>
      </c>
      <c r="S23" s="549">
        <v>0.83333333333333337</v>
      </c>
      <c r="T23" s="548">
        <v>2</v>
      </c>
      <c r="U23" s="550">
        <v>0.66666666666666663</v>
      </c>
    </row>
    <row r="24" spans="1:21" ht="14.4" customHeight="1" x14ac:dyDescent="0.3">
      <c r="A24" s="543">
        <v>28</v>
      </c>
      <c r="B24" s="544" t="s">
        <v>614</v>
      </c>
      <c r="C24" s="544">
        <v>89301282</v>
      </c>
      <c r="D24" s="545" t="s">
        <v>702</v>
      </c>
      <c r="E24" s="546" t="s">
        <v>631</v>
      </c>
      <c r="F24" s="544" t="s">
        <v>626</v>
      </c>
      <c r="G24" s="544" t="s">
        <v>690</v>
      </c>
      <c r="H24" s="544" t="s">
        <v>592</v>
      </c>
      <c r="I24" s="544" t="s">
        <v>693</v>
      </c>
      <c r="J24" s="544" t="s">
        <v>692</v>
      </c>
      <c r="K24" s="544" t="s">
        <v>677</v>
      </c>
      <c r="L24" s="547">
        <v>391.77</v>
      </c>
      <c r="M24" s="547">
        <v>783.54</v>
      </c>
      <c r="N24" s="544">
        <v>2</v>
      </c>
      <c r="O24" s="548">
        <v>2</v>
      </c>
      <c r="P24" s="547">
        <v>391.77</v>
      </c>
      <c r="Q24" s="549">
        <v>0.5</v>
      </c>
      <c r="R24" s="544">
        <v>1</v>
      </c>
      <c r="S24" s="549">
        <v>0.5</v>
      </c>
      <c r="T24" s="548">
        <v>1</v>
      </c>
      <c r="U24" s="550">
        <v>0.5</v>
      </c>
    </row>
    <row r="25" spans="1:21" ht="14.4" customHeight="1" x14ac:dyDescent="0.3">
      <c r="A25" s="543">
        <v>28</v>
      </c>
      <c r="B25" s="544" t="s">
        <v>614</v>
      </c>
      <c r="C25" s="544">
        <v>89301282</v>
      </c>
      <c r="D25" s="545" t="s">
        <v>702</v>
      </c>
      <c r="E25" s="546" t="s">
        <v>631</v>
      </c>
      <c r="F25" s="544" t="s">
        <v>626</v>
      </c>
      <c r="G25" s="544" t="s">
        <v>694</v>
      </c>
      <c r="H25" s="544" t="s">
        <v>592</v>
      </c>
      <c r="I25" s="544" t="s">
        <v>695</v>
      </c>
      <c r="J25" s="544" t="s">
        <v>696</v>
      </c>
      <c r="K25" s="544" t="s">
        <v>697</v>
      </c>
      <c r="L25" s="547">
        <v>678.26</v>
      </c>
      <c r="M25" s="547">
        <v>4069.56</v>
      </c>
      <c r="N25" s="544">
        <v>6</v>
      </c>
      <c r="O25" s="548">
        <v>0.5</v>
      </c>
      <c r="P25" s="547"/>
      <c r="Q25" s="549">
        <v>0</v>
      </c>
      <c r="R25" s="544"/>
      <c r="S25" s="549">
        <v>0</v>
      </c>
      <c r="T25" s="548"/>
      <c r="U25" s="550">
        <v>0</v>
      </c>
    </row>
    <row r="26" spans="1:21" ht="14.4" customHeight="1" thickBot="1" x14ac:dyDescent="0.35">
      <c r="A26" s="551">
        <v>28</v>
      </c>
      <c r="B26" s="552" t="s">
        <v>614</v>
      </c>
      <c r="C26" s="552">
        <v>89301282</v>
      </c>
      <c r="D26" s="553" t="s">
        <v>702</v>
      </c>
      <c r="E26" s="554" t="s">
        <v>632</v>
      </c>
      <c r="F26" s="552" t="s">
        <v>626</v>
      </c>
      <c r="G26" s="552" t="s">
        <v>698</v>
      </c>
      <c r="H26" s="552" t="s">
        <v>472</v>
      </c>
      <c r="I26" s="552" t="s">
        <v>699</v>
      </c>
      <c r="J26" s="552" t="s">
        <v>700</v>
      </c>
      <c r="K26" s="552" t="s">
        <v>701</v>
      </c>
      <c r="L26" s="555">
        <v>0</v>
      </c>
      <c r="M26" s="555">
        <v>0</v>
      </c>
      <c r="N26" s="552">
        <v>1</v>
      </c>
      <c r="O26" s="556">
        <v>1</v>
      </c>
      <c r="P26" s="555"/>
      <c r="Q26" s="557"/>
      <c r="R26" s="552"/>
      <c r="S26" s="557">
        <v>0</v>
      </c>
      <c r="T26" s="556"/>
      <c r="U26" s="558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704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559" t="s">
        <v>189</v>
      </c>
      <c r="B4" s="476" t="s">
        <v>14</v>
      </c>
      <c r="C4" s="477" t="s">
        <v>2</v>
      </c>
      <c r="D4" s="476" t="s">
        <v>14</v>
      </c>
      <c r="E4" s="477" t="s">
        <v>2</v>
      </c>
      <c r="F4" s="478" t="s">
        <v>14</v>
      </c>
    </row>
    <row r="5" spans="1:6" ht="14.4" customHeight="1" x14ac:dyDescent="0.3">
      <c r="A5" s="568" t="s">
        <v>631</v>
      </c>
      <c r="B5" s="116"/>
      <c r="C5" s="542">
        <v>0</v>
      </c>
      <c r="D5" s="116">
        <v>7217.2699999999995</v>
      </c>
      <c r="E5" s="542">
        <v>1</v>
      </c>
      <c r="F5" s="560">
        <v>7217.2699999999995</v>
      </c>
    </row>
    <row r="6" spans="1:6" ht="14.4" customHeight="1" thickBot="1" x14ac:dyDescent="0.35">
      <c r="A6" s="569" t="s">
        <v>630</v>
      </c>
      <c r="B6" s="565"/>
      <c r="C6" s="566">
        <v>0</v>
      </c>
      <c r="D6" s="565">
        <v>313.24</v>
      </c>
      <c r="E6" s="566">
        <v>1</v>
      </c>
      <c r="F6" s="567">
        <v>313.24</v>
      </c>
    </row>
    <row r="7" spans="1:6" ht="14.4" customHeight="1" thickBot="1" x14ac:dyDescent="0.35">
      <c r="A7" s="485" t="s">
        <v>3</v>
      </c>
      <c r="B7" s="486"/>
      <c r="C7" s="487">
        <v>0</v>
      </c>
      <c r="D7" s="486">
        <v>7530.5099999999993</v>
      </c>
      <c r="E7" s="487">
        <v>1</v>
      </c>
      <c r="F7" s="488">
        <v>7530.5099999999993</v>
      </c>
    </row>
    <row r="8" spans="1:6" ht="14.4" customHeight="1" thickBot="1" x14ac:dyDescent="0.35"/>
    <row r="9" spans="1:6" ht="14.4" customHeight="1" x14ac:dyDescent="0.3">
      <c r="A9" s="568" t="s">
        <v>619</v>
      </c>
      <c r="B9" s="116"/>
      <c r="C9" s="542">
        <v>0</v>
      </c>
      <c r="D9" s="116">
        <v>90.99</v>
      </c>
      <c r="E9" s="542">
        <v>1</v>
      </c>
      <c r="F9" s="560">
        <v>90.99</v>
      </c>
    </row>
    <row r="10" spans="1:6" ht="14.4" customHeight="1" x14ac:dyDescent="0.3">
      <c r="A10" s="570" t="s">
        <v>705</v>
      </c>
      <c r="B10" s="561"/>
      <c r="C10" s="549">
        <v>0</v>
      </c>
      <c r="D10" s="561">
        <v>35.380000000000003</v>
      </c>
      <c r="E10" s="549">
        <v>1</v>
      </c>
      <c r="F10" s="562">
        <v>35.380000000000003</v>
      </c>
    </row>
    <row r="11" spans="1:6" ht="14.4" customHeight="1" x14ac:dyDescent="0.3">
      <c r="A11" s="570" t="s">
        <v>706</v>
      </c>
      <c r="B11" s="561"/>
      <c r="C11" s="549">
        <v>0</v>
      </c>
      <c r="D11" s="561">
        <v>522.4</v>
      </c>
      <c r="E11" s="549">
        <v>1</v>
      </c>
      <c r="F11" s="562">
        <v>522.4</v>
      </c>
    </row>
    <row r="12" spans="1:6" ht="14.4" customHeight="1" x14ac:dyDescent="0.3">
      <c r="A12" s="570" t="s">
        <v>707</v>
      </c>
      <c r="B12" s="561"/>
      <c r="C12" s="549">
        <v>0</v>
      </c>
      <c r="D12" s="561">
        <v>1567.08</v>
      </c>
      <c r="E12" s="549">
        <v>1</v>
      </c>
      <c r="F12" s="562">
        <v>1567.08</v>
      </c>
    </row>
    <row r="13" spans="1:6" ht="14.4" customHeight="1" x14ac:dyDescent="0.3">
      <c r="A13" s="570" t="s">
        <v>708</v>
      </c>
      <c r="B13" s="561"/>
      <c r="C13" s="549">
        <v>0</v>
      </c>
      <c r="D13" s="561">
        <v>4069.56</v>
      </c>
      <c r="E13" s="549">
        <v>1</v>
      </c>
      <c r="F13" s="562">
        <v>4069.56</v>
      </c>
    </row>
    <row r="14" spans="1:6" ht="14.4" customHeight="1" x14ac:dyDescent="0.3">
      <c r="A14" s="570" t="s">
        <v>709</v>
      </c>
      <c r="B14" s="561"/>
      <c r="C14" s="549">
        <v>0</v>
      </c>
      <c r="D14" s="561">
        <v>333.31</v>
      </c>
      <c r="E14" s="549">
        <v>1</v>
      </c>
      <c r="F14" s="562">
        <v>333.31</v>
      </c>
    </row>
    <row r="15" spans="1:6" ht="14.4" customHeight="1" x14ac:dyDescent="0.3">
      <c r="A15" s="570" t="s">
        <v>710</v>
      </c>
      <c r="B15" s="561"/>
      <c r="C15" s="549">
        <v>0</v>
      </c>
      <c r="D15" s="561">
        <v>413.22</v>
      </c>
      <c r="E15" s="549">
        <v>1</v>
      </c>
      <c r="F15" s="562">
        <v>413.22</v>
      </c>
    </row>
    <row r="16" spans="1:6" ht="14.4" customHeight="1" x14ac:dyDescent="0.3">
      <c r="A16" s="570" t="s">
        <v>711</v>
      </c>
      <c r="B16" s="561"/>
      <c r="C16" s="549">
        <v>0</v>
      </c>
      <c r="D16" s="561">
        <v>276.32</v>
      </c>
      <c r="E16" s="549">
        <v>1</v>
      </c>
      <c r="F16" s="562">
        <v>276.32</v>
      </c>
    </row>
    <row r="17" spans="1:6" ht="14.4" customHeight="1" thickBot="1" x14ac:dyDescent="0.35">
      <c r="A17" s="569" t="s">
        <v>712</v>
      </c>
      <c r="B17" s="565"/>
      <c r="C17" s="566">
        <v>0</v>
      </c>
      <c r="D17" s="565">
        <v>222.25</v>
      </c>
      <c r="E17" s="566">
        <v>1</v>
      </c>
      <c r="F17" s="567">
        <v>222.25</v>
      </c>
    </row>
    <row r="18" spans="1:6" ht="14.4" customHeight="1" thickBot="1" x14ac:dyDescent="0.35">
      <c r="A18" s="485" t="s">
        <v>3</v>
      </c>
      <c r="B18" s="486"/>
      <c r="C18" s="487">
        <v>0</v>
      </c>
      <c r="D18" s="486">
        <v>7530.51</v>
      </c>
      <c r="E18" s="487">
        <v>1</v>
      </c>
      <c r="F18" s="488">
        <v>7530.51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{BB1BFA70-DEEC-4794-9701-90AE23779CAA}</x14:id>
        </ext>
      </extLst>
    </cfRule>
  </conditionalFormatting>
  <conditionalFormatting sqref="F9:F1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{BB8946DB-7278-4C52-A7E0-0027DCE5171F}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1BFA70-DEEC-4794-9701-90AE23779C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BB8946DB-7278-4C52-A7E0-0027DCE5171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721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281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32</v>
      </c>
      <c r="J3" s="43">
        <f>SUBTOTAL(9,J6:J1048576)</f>
        <v>7530.51</v>
      </c>
      <c r="K3" s="44">
        <f>IF(M3=0,0,J3/M3)</f>
        <v>1</v>
      </c>
      <c r="L3" s="43">
        <f>SUBTOTAL(9,L6:L1048576)</f>
        <v>32</v>
      </c>
      <c r="M3" s="45">
        <f>SUBTOTAL(9,M6:M1048576)</f>
        <v>7530.51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559" t="s">
        <v>137</v>
      </c>
      <c r="B5" s="571" t="s">
        <v>133</v>
      </c>
      <c r="C5" s="571" t="s">
        <v>71</v>
      </c>
      <c r="D5" s="571" t="s">
        <v>134</v>
      </c>
      <c r="E5" s="571" t="s">
        <v>135</v>
      </c>
      <c r="F5" s="492" t="s">
        <v>28</v>
      </c>
      <c r="G5" s="492" t="s">
        <v>14</v>
      </c>
      <c r="H5" s="477" t="s">
        <v>136</v>
      </c>
      <c r="I5" s="476" t="s">
        <v>28</v>
      </c>
      <c r="J5" s="492" t="s">
        <v>14</v>
      </c>
      <c r="K5" s="477" t="s">
        <v>136</v>
      </c>
      <c r="L5" s="476" t="s">
        <v>28</v>
      </c>
      <c r="M5" s="493" t="s">
        <v>14</v>
      </c>
    </row>
    <row r="6" spans="1:13" ht="14.4" customHeight="1" x14ac:dyDescent="0.3">
      <c r="A6" s="536" t="s">
        <v>630</v>
      </c>
      <c r="B6" s="537" t="s">
        <v>713</v>
      </c>
      <c r="C6" s="537" t="s">
        <v>642</v>
      </c>
      <c r="D6" s="537" t="s">
        <v>643</v>
      </c>
      <c r="E6" s="537" t="s">
        <v>644</v>
      </c>
      <c r="F6" s="116"/>
      <c r="G6" s="116"/>
      <c r="H6" s="542">
        <v>0</v>
      </c>
      <c r="I6" s="116">
        <v>1</v>
      </c>
      <c r="J6" s="116">
        <v>222.25</v>
      </c>
      <c r="K6" s="542">
        <v>1</v>
      </c>
      <c r="L6" s="116">
        <v>1</v>
      </c>
      <c r="M6" s="560">
        <v>222.25</v>
      </c>
    </row>
    <row r="7" spans="1:13" ht="14.4" customHeight="1" x14ac:dyDescent="0.3">
      <c r="A7" s="543" t="s">
        <v>630</v>
      </c>
      <c r="B7" s="544" t="s">
        <v>620</v>
      </c>
      <c r="C7" s="544" t="s">
        <v>654</v>
      </c>
      <c r="D7" s="544" t="s">
        <v>655</v>
      </c>
      <c r="E7" s="544" t="s">
        <v>656</v>
      </c>
      <c r="F7" s="561"/>
      <c r="G7" s="561"/>
      <c r="H7" s="549">
        <v>0</v>
      </c>
      <c r="I7" s="561">
        <v>3</v>
      </c>
      <c r="J7" s="561">
        <v>90.99</v>
      </c>
      <c r="K7" s="549">
        <v>1</v>
      </c>
      <c r="L7" s="561">
        <v>3</v>
      </c>
      <c r="M7" s="562">
        <v>90.99</v>
      </c>
    </row>
    <row r="8" spans="1:13" ht="14.4" customHeight="1" x14ac:dyDescent="0.3">
      <c r="A8" s="543" t="s">
        <v>631</v>
      </c>
      <c r="B8" s="544" t="s">
        <v>714</v>
      </c>
      <c r="C8" s="544" t="s">
        <v>667</v>
      </c>
      <c r="D8" s="544" t="s">
        <v>668</v>
      </c>
      <c r="E8" s="544" t="s">
        <v>669</v>
      </c>
      <c r="F8" s="561"/>
      <c r="G8" s="561"/>
      <c r="H8" s="549">
        <v>0</v>
      </c>
      <c r="I8" s="561">
        <v>8</v>
      </c>
      <c r="J8" s="561">
        <v>522.4</v>
      </c>
      <c r="K8" s="549">
        <v>1</v>
      </c>
      <c r="L8" s="561">
        <v>8</v>
      </c>
      <c r="M8" s="562">
        <v>522.4</v>
      </c>
    </row>
    <row r="9" spans="1:13" ht="14.4" customHeight="1" x14ac:dyDescent="0.3">
      <c r="A9" s="543" t="s">
        <v>631</v>
      </c>
      <c r="B9" s="544" t="s">
        <v>715</v>
      </c>
      <c r="C9" s="544" t="s">
        <v>691</v>
      </c>
      <c r="D9" s="544" t="s">
        <v>692</v>
      </c>
      <c r="E9" s="544" t="s">
        <v>669</v>
      </c>
      <c r="F9" s="561"/>
      <c r="G9" s="561"/>
      <c r="H9" s="549">
        <v>0</v>
      </c>
      <c r="I9" s="561">
        <v>6</v>
      </c>
      <c r="J9" s="561">
        <v>783.54</v>
      </c>
      <c r="K9" s="549">
        <v>1</v>
      </c>
      <c r="L9" s="561">
        <v>6</v>
      </c>
      <c r="M9" s="562">
        <v>783.54</v>
      </c>
    </row>
    <row r="10" spans="1:13" ht="14.4" customHeight="1" x14ac:dyDescent="0.3">
      <c r="A10" s="543" t="s">
        <v>631</v>
      </c>
      <c r="B10" s="544" t="s">
        <v>715</v>
      </c>
      <c r="C10" s="544" t="s">
        <v>693</v>
      </c>
      <c r="D10" s="544" t="s">
        <v>692</v>
      </c>
      <c r="E10" s="544" t="s">
        <v>677</v>
      </c>
      <c r="F10" s="561"/>
      <c r="G10" s="561"/>
      <c r="H10" s="549">
        <v>0</v>
      </c>
      <c r="I10" s="561">
        <v>2</v>
      </c>
      <c r="J10" s="561">
        <v>783.54</v>
      </c>
      <c r="K10" s="549">
        <v>1</v>
      </c>
      <c r="L10" s="561">
        <v>2</v>
      </c>
      <c r="M10" s="562">
        <v>783.54</v>
      </c>
    </row>
    <row r="11" spans="1:13" ht="14.4" customHeight="1" x14ac:dyDescent="0.3">
      <c r="A11" s="543" t="s">
        <v>631</v>
      </c>
      <c r="B11" s="544" t="s">
        <v>716</v>
      </c>
      <c r="C11" s="544" t="s">
        <v>663</v>
      </c>
      <c r="D11" s="544" t="s">
        <v>664</v>
      </c>
      <c r="E11" s="544" t="s">
        <v>665</v>
      </c>
      <c r="F11" s="561"/>
      <c r="G11" s="561"/>
      <c r="H11" s="549">
        <v>0</v>
      </c>
      <c r="I11" s="561">
        <v>1</v>
      </c>
      <c r="J11" s="561">
        <v>333.31</v>
      </c>
      <c r="K11" s="549">
        <v>1</v>
      </c>
      <c r="L11" s="561">
        <v>1</v>
      </c>
      <c r="M11" s="562">
        <v>333.31</v>
      </c>
    </row>
    <row r="12" spans="1:13" ht="14.4" customHeight="1" x14ac:dyDescent="0.3">
      <c r="A12" s="543" t="s">
        <v>631</v>
      </c>
      <c r="B12" s="544" t="s">
        <v>717</v>
      </c>
      <c r="C12" s="544" t="s">
        <v>671</v>
      </c>
      <c r="D12" s="544" t="s">
        <v>672</v>
      </c>
      <c r="E12" s="544" t="s">
        <v>673</v>
      </c>
      <c r="F12" s="561"/>
      <c r="G12" s="561"/>
      <c r="H12" s="549">
        <v>0</v>
      </c>
      <c r="I12" s="561">
        <v>2</v>
      </c>
      <c r="J12" s="561">
        <v>276.32</v>
      </c>
      <c r="K12" s="549">
        <v>1</v>
      </c>
      <c r="L12" s="561">
        <v>2</v>
      </c>
      <c r="M12" s="562">
        <v>276.32</v>
      </c>
    </row>
    <row r="13" spans="1:13" ht="14.4" customHeight="1" x14ac:dyDescent="0.3">
      <c r="A13" s="543" t="s">
        <v>631</v>
      </c>
      <c r="B13" s="544" t="s">
        <v>718</v>
      </c>
      <c r="C13" s="544" t="s">
        <v>659</v>
      </c>
      <c r="D13" s="544" t="s">
        <v>660</v>
      </c>
      <c r="E13" s="544" t="s">
        <v>661</v>
      </c>
      <c r="F13" s="561"/>
      <c r="G13" s="561"/>
      <c r="H13" s="549">
        <v>0</v>
      </c>
      <c r="I13" s="561">
        <v>2</v>
      </c>
      <c r="J13" s="561">
        <v>35.380000000000003</v>
      </c>
      <c r="K13" s="549">
        <v>1</v>
      </c>
      <c r="L13" s="561">
        <v>2</v>
      </c>
      <c r="M13" s="562">
        <v>35.380000000000003</v>
      </c>
    </row>
    <row r="14" spans="1:13" ht="14.4" customHeight="1" x14ac:dyDescent="0.3">
      <c r="A14" s="543" t="s">
        <v>631</v>
      </c>
      <c r="B14" s="544" t="s">
        <v>719</v>
      </c>
      <c r="C14" s="544" t="s">
        <v>695</v>
      </c>
      <c r="D14" s="544" t="s">
        <v>696</v>
      </c>
      <c r="E14" s="544" t="s">
        <v>697</v>
      </c>
      <c r="F14" s="561"/>
      <c r="G14" s="561"/>
      <c r="H14" s="549">
        <v>0</v>
      </c>
      <c r="I14" s="561">
        <v>6</v>
      </c>
      <c r="J14" s="561">
        <v>4069.56</v>
      </c>
      <c r="K14" s="549">
        <v>1</v>
      </c>
      <c r="L14" s="561">
        <v>6</v>
      </c>
      <c r="M14" s="562">
        <v>4069.56</v>
      </c>
    </row>
    <row r="15" spans="1:13" ht="14.4" customHeight="1" thickBot="1" x14ac:dyDescent="0.35">
      <c r="A15" s="551" t="s">
        <v>631</v>
      </c>
      <c r="B15" s="552" t="s">
        <v>720</v>
      </c>
      <c r="C15" s="552" t="s">
        <v>675</v>
      </c>
      <c r="D15" s="552" t="s">
        <v>676</v>
      </c>
      <c r="E15" s="552" t="s">
        <v>677</v>
      </c>
      <c r="F15" s="563"/>
      <c r="G15" s="563"/>
      <c r="H15" s="557">
        <v>0</v>
      </c>
      <c r="I15" s="563">
        <v>1</v>
      </c>
      <c r="J15" s="563">
        <v>413.22</v>
      </c>
      <c r="K15" s="557">
        <v>1</v>
      </c>
      <c r="L15" s="563">
        <v>1</v>
      </c>
      <c r="M15" s="564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141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281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266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5" t="s">
        <v>470</v>
      </c>
      <c r="B5" s="446" t="s">
        <v>471</v>
      </c>
      <c r="C5" s="447" t="s">
        <v>472</v>
      </c>
      <c r="D5" s="447" t="s">
        <v>472</v>
      </c>
      <c r="E5" s="447"/>
      <c r="F5" s="447" t="s">
        <v>472</v>
      </c>
      <c r="G5" s="447" t="s">
        <v>472</v>
      </c>
      <c r="H5" s="447" t="s">
        <v>472</v>
      </c>
      <c r="I5" s="448" t="s">
        <v>472</v>
      </c>
      <c r="J5" s="449" t="s">
        <v>69</v>
      </c>
    </row>
    <row r="6" spans="1:10" ht="14.4" customHeight="1" x14ac:dyDescent="0.3">
      <c r="A6" s="445" t="s">
        <v>470</v>
      </c>
      <c r="B6" s="446" t="s">
        <v>295</v>
      </c>
      <c r="C6" s="447">
        <v>903.81180999999992</v>
      </c>
      <c r="D6" s="447">
        <v>1131.0484299999998</v>
      </c>
      <c r="E6" s="447"/>
      <c r="F6" s="447">
        <v>1597.799570000001</v>
      </c>
      <c r="G6" s="447">
        <v>2611.9042176926068</v>
      </c>
      <c r="H6" s="447">
        <v>-1014.1046476926058</v>
      </c>
      <c r="I6" s="448">
        <v>0.61173742864564906</v>
      </c>
      <c r="J6" s="449" t="s">
        <v>1</v>
      </c>
    </row>
    <row r="7" spans="1:10" ht="14.4" customHeight="1" x14ac:dyDescent="0.3">
      <c r="A7" s="445" t="s">
        <v>470</v>
      </c>
      <c r="B7" s="446" t="s">
        <v>296</v>
      </c>
      <c r="C7" s="447">
        <v>69.891100000000009</v>
      </c>
      <c r="D7" s="447">
        <v>61.786650000000002</v>
      </c>
      <c r="E7" s="447"/>
      <c r="F7" s="447">
        <v>116.17661</v>
      </c>
      <c r="G7" s="447">
        <v>81.926292567032007</v>
      </c>
      <c r="H7" s="447">
        <v>34.250317432967989</v>
      </c>
      <c r="I7" s="448">
        <v>1.4180625823504025</v>
      </c>
      <c r="J7" s="449" t="s">
        <v>1</v>
      </c>
    </row>
    <row r="8" spans="1:10" ht="14.4" customHeight="1" x14ac:dyDescent="0.3">
      <c r="A8" s="445" t="s">
        <v>470</v>
      </c>
      <c r="B8" s="446" t="s">
        <v>297</v>
      </c>
      <c r="C8" s="447">
        <v>20.0306</v>
      </c>
      <c r="D8" s="447">
        <v>15.070999999999</v>
      </c>
      <c r="E8" s="447"/>
      <c r="F8" s="447">
        <v>8.7186199999999978</v>
      </c>
      <c r="G8" s="447">
        <v>19.838241566305999</v>
      </c>
      <c r="H8" s="447">
        <v>-11.119621566306002</v>
      </c>
      <c r="I8" s="448">
        <v>0.43948552450374551</v>
      </c>
      <c r="J8" s="449" t="s">
        <v>1</v>
      </c>
    </row>
    <row r="9" spans="1:10" ht="14.4" customHeight="1" x14ac:dyDescent="0.3">
      <c r="A9" s="445" t="s">
        <v>470</v>
      </c>
      <c r="B9" s="446" t="s">
        <v>298</v>
      </c>
      <c r="C9" s="447">
        <v>40.22287</v>
      </c>
      <c r="D9" s="447">
        <v>101.27632000000001</v>
      </c>
      <c r="E9" s="447"/>
      <c r="F9" s="447">
        <v>101.05561999999999</v>
      </c>
      <c r="G9" s="447">
        <v>190.27523031804466</v>
      </c>
      <c r="H9" s="447">
        <v>-89.219610318044673</v>
      </c>
      <c r="I9" s="448">
        <v>0.53110233965338383</v>
      </c>
      <c r="J9" s="449" t="s">
        <v>1</v>
      </c>
    </row>
    <row r="10" spans="1:10" ht="14.4" customHeight="1" x14ac:dyDescent="0.3">
      <c r="A10" s="445" t="s">
        <v>470</v>
      </c>
      <c r="B10" s="446" t="s">
        <v>299</v>
      </c>
      <c r="C10" s="447">
        <v>7.6899999999999996E-2</v>
      </c>
      <c r="D10" s="447" t="s">
        <v>472</v>
      </c>
      <c r="E10" s="447"/>
      <c r="F10" s="447">
        <v>8.1699999999999995E-2</v>
      </c>
      <c r="G10" s="447">
        <v>0</v>
      </c>
      <c r="H10" s="447">
        <v>8.1699999999999995E-2</v>
      </c>
      <c r="I10" s="448" t="s">
        <v>472</v>
      </c>
      <c r="J10" s="449" t="s">
        <v>1</v>
      </c>
    </row>
    <row r="11" spans="1:10" ht="14.4" customHeight="1" x14ac:dyDescent="0.3">
      <c r="A11" s="445" t="s">
        <v>470</v>
      </c>
      <c r="B11" s="446" t="s">
        <v>300</v>
      </c>
      <c r="C11" s="447">
        <v>9.2452499999999986</v>
      </c>
      <c r="D11" s="447">
        <v>3.9969999999989994</v>
      </c>
      <c r="E11" s="447"/>
      <c r="F11" s="447">
        <v>4.5273199999999996</v>
      </c>
      <c r="G11" s="447">
        <v>10.912934374783333</v>
      </c>
      <c r="H11" s="447">
        <v>-6.3856143747833336</v>
      </c>
      <c r="I11" s="448">
        <v>0.41485817146132026</v>
      </c>
      <c r="J11" s="449" t="s">
        <v>1</v>
      </c>
    </row>
    <row r="12" spans="1:10" ht="14.4" customHeight="1" x14ac:dyDescent="0.3">
      <c r="A12" s="445" t="s">
        <v>470</v>
      </c>
      <c r="B12" s="446" t="s">
        <v>301</v>
      </c>
      <c r="C12" s="447">
        <v>7.3475100000000007</v>
      </c>
      <c r="D12" s="447">
        <v>9.3860399999980011</v>
      </c>
      <c r="E12" s="447"/>
      <c r="F12" s="447">
        <v>8.2264400000000002</v>
      </c>
      <c r="G12" s="447">
        <v>20.775713958942667</v>
      </c>
      <c r="H12" s="447">
        <v>-12.549273958942667</v>
      </c>
      <c r="I12" s="448">
        <v>0.39596425019410819</v>
      </c>
      <c r="J12" s="449" t="s">
        <v>1</v>
      </c>
    </row>
    <row r="13" spans="1:10" ht="14.4" customHeight="1" x14ac:dyDescent="0.3">
      <c r="A13" s="445" t="s">
        <v>470</v>
      </c>
      <c r="B13" s="446" t="s">
        <v>473</v>
      </c>
      <c r="C13" s="447">
        <v>1050.6260400000001</v>
      </c>
      <c r="D13" s="447">
        <v>1322.5654399999958</v>
      </c>
      <c r="E13" s="447"/>
      <c r="F13" s="447">
        <v>1836.585880000001</v>
      </c>
      <c r="G13" s="447">
        <v>2935.6326304777149</v>
      </c>
      <c r="H13" s="447">
        <v>-1099.0467504777139</v>
      </c>
      <c r="I13" s="448">
        <v>0.62561843090738967</v>
      </c>
      <c r="J13" s="449" t="s">
        <v>474</v>
      </c>
    </row>
    <row r="15" spans="1:10" ht="14.4" customHeight="1" x14ac:dyDescent="0.3">
      <c r="A15" s="445" t="s">
        <v>470</v>
      </c>
      <c r="B15" s="446" t="s">
        <v>471</v>
      </c>
      <c r="C15" s="447" t="s">
        <v>472</v>
      </c>
      <c r="D15" s="447" t="s">
        <v>472</v>
      </c>
      <c r="E15" s="447"/>
      <c r="F15" s="447" t="s">
        <v>472</v>
      </c>
      <c r="G15" s="447" t="s">
        <v>472</v>
      </c>
      <c r="H15" s="447" t="s">
        <v>472</v>
      </c>
      <c r="I15" s="448" t="s">
        <v>472</v>
      </c>
      <c r="J15" s="449" t="s">
        <v>69</v>
      </c>
    </row>
    <row r="16" spans="1:10" ht="14.4" customHeight="1" x14ac:dyDescent="0.3">
      <c r="A16" s="445" t="s">
        <v>480</v>
      </c>
      <c r="B16" s="446" t="s">
        <v>481</v>
      </c>
      <c r="C16" s="447" t="s">
        <v>472</v>
      </c>
      <c r="D16" s="447" t="s">
        <v>472</v>
      </c>
      <c r="E16" s="447"/>
      <c r="F16" s="447" t="s">
        <v>472</v>
      </c>
      <c r="G16" s="447" t="s">
        <v>472</v>
      </c>
      <c r="H16" s="447" t="s">
        <v>472</v>
      </c>
      <c r="I16" s="448" t="s">
        <v>472</v>
      </c>
      <c r="J16" s="449" t="s">
        <v>0</v>
      </c>
    </row>
    <row r="17" spans="1:10" ht="14.4" customHeight="1" x14ac:dyDescent="0.3">
      <c r="A17" s="445" t="s">
        <v>480</v>
      </c>
      <c r="B17" s="446" t="s">
        <v>295</v>
      </c>
      <c r="C17" s="447">
        <v>0</v>
      </c>
      <c r="D17" s="447">
        <v>5.8669200000000004</v>
      </c>
      <c r="E17" s="447"/>
      <c r="F17" s="447">
        <v>0</v>
      </c>
      <c r="G17" s="447">
        <v>3.9112758573599997</v>
      </c>
      <c r="H17" s="447">
        <v>-3.9112758573599997</v>
      </c>
      <c r="I17" s="448">
        <v>0</v>
      </c>
      <c r="J17" s="449" t="s">
        <v>1</v>
      </c>
    </row>
    <row r="18" spans="1:10" ht="14.4" customHeight="1" x14ac:dyDescent="0.3">
      <c r="A18" s="445" t="s">
        <v>480</v>
      </c>
      <c r="B18" s="446" t="s">
        <v>296</v>
      </c>
      <c r="C18" s="447">
        <v>3.08</v>
      </c>
      <c r="D18" s="447" t="s">
        <v>472</v>
      </c>
      <c r="E18" s="447"/>
      <c r="F18" s="447" t="s">
        <v>472</v>
      </c>
      <c r="G18" s="447" t="s">
        <v>472</v>
      </c>
      <c r="H18" s="447" t="s">
        <v>472</v>
      </c>
      <c r="I18" s="448" t="s">
        <v>472</v>
      </c>
      <c r="J18" s="449" t="s">
        <v>1</v>
      </c>
    </row>
    <row r="19" spans="1:10" ht="14.4" customHeight="1" x14ac:dyDescent="0.3">
      <c r="A19" s="445" t="s">
        <v>480</v>
      </c>
      <c r="B19" s="446" t="s">
        <v>297</v>
      </c>
      <c r="C19" s="447">
        <v>16.406459999999999</v>
      </c>
      <c r="D19" s="447">
        <v>12.996309999999999</v>
      </c>
      <c r="E19" s="447"/>
      <c r="F19" s="447">
        <v>6.3901099999999991</v>
      </c>
      <c r="G19" s="447">
        <v>14.022863026812667</v>
      </c>
      <c r="H19" s="447">
        <v>-7.6327530268126678</v>
      </c>
      <c r="I19" s="448">
        <v>0.45569224970547562</v>
      </c>
      <c r="J19" s="449" t="s">
        <v>1</v>
      </c>
    </row>
    <row r="20" spans="1:10" ht="14.4" customHeight="1" x14ac:dyDescent="0.3">
      <c r="A20" s="445" t="s">
        <v>480</v>
      </c>
      <c r="B20" s="446" t="s">
        <v>298</v>
      </c>
      <c r="C20" s="447">
        <v>22.693080000000002</v>
      </c>
      <c r="D20" s="447">
        <v>18.210100000000001</v>
      </c>
      <c r="E20" s="447"/>
      <c r="F20" s="447">
        <v>11.989879999999999</v>
      </c>
      <c r="G20" s="447">
        <v>23.374063913897999</v>
      </c>
      <c r="H20" s="447">
        <v>-11.384183913897999</v>
      </c>
      <c r="I20" s="448">
        <v>0.51295658487829021</v>
      </c>
      <c r="J20" s="449" t="s">
        <v>1</v>
      </c>
    </row>
    <row r="21" spans="1:10" ht="14.4" customHeight="1" x14ac:dyDescent="0.3">
      <c r="A21" s="445" t="s">
        <v>480</v>
      </c>
      <c r="B21" s="446" t="s">
        <v>299</v>
      </c>
      <c r="C21" s="447">
        <v>7.6899999999999996E-2</v>
      </c>
      <c r="D21" s="447" t="s">
        <v>472</v>
      </c>
      <c r="E21" s="447"/>
      <c r="F21" s="447">
        <v>8.1699999999999995E-2</v>
      </c>
      <c r="G21" s="447">
        <v>0</v>
      </c>
      <c r="H21" s="447">
        <v>8.1699999999999995E-2</v>
      </c>
      <c r="I21" s="448" t="s">
        <v>472</v>
      </c>
      <c r="J21" s="449" t="s">
        <v>1</v>
      </c>
    </row>
    <row r="22" spans="1:10" ht="14.4" customHeight="1" x14ac:dyDescent="0.3">
      <c r="A22" s="445" t="s">
        <v>480</v>
      </c>
      <c r="B22" s="446" t="s">
        <v>300</v>
      </c>
      <c r="C22" s="447">
        <v>8.8112499999999994</v>
      </c>
      <c r="D22" s="447">
        <v>3.5489999999999995</v>
      </c>
      <c r="E22" s="447"/>
      <c r="F22" s="447">
        <v>4.1023199999999997</v>
      </c>
      <c r="G22" s="447">
        <v>9.1706424896466672</v>
      </c>
      <c r="H22" s="447">
        <v>-5.0683224896466674</v>
      </c>
      <c r="I22" s="448">
        <v>0.44733179868601081</v>
      </c>
      <c r="J22" s="449" t="s">
        <v>1</v>
      </c>
    </row>
    <row r="23" spans="1:10" ht="14.4" customHeight="1" x14ac:dyDescent="0.3">
      <c r="A23" s="445" t="s">
        <v>480</v>
      </c>
      <c r="B23" s="446" t="s">
        <v>301</v>
      </c>
      <c r="C23" s="447">
        <v>1.9866000000000001</v>
      </c>
      <c r="D23" s="447">
        <v>4.0240399999990002</v>
      </c>
      <c r="E23" s="447"/>
      <c r="F23" s="447">
        <v>3.1446000000000001</v>
      </c>
      <c r="G23" s="447">
        <v>4.7665343065460002</v>
      </c>
      <c r="H23" s="447">
        <v>-1.6219343065460001</v>
      </c>
      <c r="I23" s="448">
        <v>0.65972461284532091</v>
      </c>
      <c r="J23" s="449" t="s">
        <v>1</v>
      </c>
    </row>
    <row r="24" spans="1:10" ht="14.4" customHeight="1" x14ac:dyDescent="0.3">
      <c r="A24" s="445" t="s">
        <v>480</v>
      </c>
      <c r="B24" s="446" t="s">
        <v>482</v>
      </c>
      <c r="C24" s="447">
        <v>53.054290000000009</v>
      </c>
      <c r="D24" s="447">
        <v>44.646369999998996</v>
      </c>
      <c r="E24" s="447"/>
      <c r="F24" s="447">
        <v>25.70861</v>
      </c>
      <c r="G24" s="447">
        <v>55.245379594263333</v>
      </c>
      <c r="H24" s="447">
        <v>-29.536769594263333</v>
      </c>
      <c r="I24" s="448">
        <v>0.46535312434833148</v>
      </c>
      <c r="J24" s="449" t="s">
        <v>478</v>
      </c>
    </row>
    <row r="25" spans="1:10" ht="14.4" customHeight="1" x14ac:dyDescent="0.3">
      <c r="A25" s="445" t="s">
        <v>472</v>
      </c>
      <c r="B25" s="446" t="s">
        <v>472</v>
      </c>
      <c r="C25" s="447" t="s">
        <v>472</v>
      </c>
      <c r="D25" s="447" t="s">
        <v>472</v>
      </c>
      <c r="E25" s="447"/>
      <c r="F25" s="447" t="s">
        <v>472</v>
      </c>
      <c r="G25" s="447" t="s">
        <v>472</v>
      </c>
      <c r="H25" s="447" t="s">
        <v>472</v>
      </c>
      <c r="I25" s="448" t="s">
        <v>472</v>
      </c>
      <c r="J25" s="449" t="s">
        <v>479</v>
      </c>
    </row>
    <row r="26" spans="1:10" ht="14.4" customHeight="1" x14ac:dyDescent="0.3">
      <c r="A26" s="445" t="s">
        <v>483</v>
      </c>
      <c r="B26" s="446" t="s">
        <v>484</v>
      </c>
      <c r="C26" s="447" t="s">
        <v>472</v>
      </c>
      <c r="D26" s="447" t="s">
        <v>472</v>
      </c>
      <c r="E26" s="447"/>
      <c r="F26" s="447" t="s">
        <v>472</v>
      </c>
      <c r="G26" s="447" t="s">
        <v>472</v>
      </c>
      <c r="H26" s="447" t="s">
        <v>472</v>
      </c>
      <c r="I26" s="448" t="s">
        <v>472</v>
      </c>
      <c r="J26" s="449" t="s">
        <v>0</v>
      </c>
    </row>
    <row r="27" spans="1:10" ht="14.4" customHeight="1" x14ac:dyDescent="0.3">
      <c r="A27" s="445" t="s">
        <v>483</v>
      </c>
      <c r="B27" s="446" t="s">
        <v>295</v>
      </c>
      <c r="C27" s="447">
        <v>903.81180999999992</v>
      </c>
      <c r="D27" s="447">
        <v>1125.1815099999999</v>
      </c>
      <c r="E27" s="447"/>
      <c r="F27" s="447">
        <v>1597.799570000001</v>
      </c>
      <c r="G27" s="447">
        <v>2607.9929418352467</v>
      </c>
      <c r="H27" s="447">
        <v>-1010.1933718352457</v>
      </c>
      <c r="I27" s="448">
        <v>0.61265486741525776</v>
      </c>
      <c r="J27" s="449" t="s">
        <v>1</v>
      </c>
    </row>
    <row r="28" spans="1:10" ht="14.4" customHeight="1" x14ac:dyDescent="0.3">
      <c r="A28" s="445" t="s">
        <v>483</v>
      </c>
      <c r="B28" s="446" t="s">
        <v>296</v>
      </c>
      <c r="C28" s="447">
        <v>66.81110000000001</v>
      </c>
      <c r="D28" s="447">
        <v>61.786650000000002</v>
      </c>
      <c r="E28" s="447"/>
      <c r="F28" s="447">
        <v>116.17661</v>
      </c>
      <c r="G28" s="447">
        <v>81.926292567032007</v>
      </c>
      <c r="H28" s="447">
        <v>34.250317432967989</v>
      </c>
      <c r="I28" s="448">
        <v>1.4180625823504025</v>
      </c>
      <c r="J28" s="449" t="s">
        <v>1</v>
      </c>
    </row>
    <row r="29" spans="1:10" ht="14.4" customHeight="1" x14ac:dyDescent="0.3">
      <c r="A29" s="445" t="s">
        <v>483</v>
      </c>
      <c r="B29" s="446" t="s">
        <v>297</v>
      </c>
      <c r="C29" s="447">
        <v>3.6241400000000006</v>
      </c>
      <c r="D29" s="447">
        <v>2.0746899999989998</v>
      </c>
      <c r="E29" s="447"/>
      <c r="F29" s="447">
        <v>2.3285099999999996</v>
      </c>
      <c r="G29" s="447">
        <v>5.8153785394933335</v>
      </c>
      <c r="H29" s="447">
        <v>-3.4868685394933339</v>
      </c>
      <c r="I29" s="448">
        <v>0.40040557707235197</v>
      </c>
      <c r="J29" s="449" t="s">
        <v>1</v>
      </c>
    </row>
    <row r="30" spans="1:10" ht="14.4" customHeight="1" x14ac:dyDescent="0.3">
      <c r="A30" s="445" t="s">
        <v>483</v>
      </c>
      <c r="B30" s="446" t="s">
        <v>298</v>
      </c>
      <c r="C30" s="447">
        <v>17.529789999999998</v>
      </c>
      <c r="D30" s="447">
        <v>83.066220000000015</v>
      </c>
      <c r="E30" s="447"/>
      <c r="F30" s="447">
        <v>89.065739999999991</v>
      </c>
      <c r="G30" s="447">
        <v>166.90116640414666</v>
      </c>
      <c r="H30" s="447">
        <v>-77.835426404146673</v>
      </c>
      <c r="I30" s="448">
        <v>0.53364360428931756</v>
      </c>
      <c r="J30" s="449" t="s">
        <v>1</v>
      </c>
    </row>
    <row r="31" spans="1:10" ht="14.4" customHeight="1" x14ac:dyDescent="0.3">
      <c r="A31" s="445" t="s">
        <v>483</v>
      </c>
      <c r="B31" s="446" t="s">
        <v>300</v>
      </c>
      <c r="C31" s="447">
        <v>0.434</v>
      </c>
      <c r="D31" s="447">
        <v>0.44799999999899998</v>
      </c>
      <c r="E31" s="447"/>
      <c r="F31" s="447">
        <v>0.42499999999999999</v>
      </c>
      <c r="G31" s="447">
        <v>1.7422918851366667</v>
      </c>
      <c r="H31" s="447">
        <v>-1.3172918851366666</v>
      </c>
      <c r="I31" s="448">
        <v>0.24393157290442335</v>
      </c>
      <c r="J31" s="449" t="s">
        <v>1</v>
      </c>
    </row>
    <row r="32" spans="1:10" ht="14.4" customHeight="1" x14ac:dyDescent="0.3">
      <c r="A32" s="445" t="s">
        <v>483</v>
      </c>
      <c r="B32" s="446" t="s">
        <v>301</v>
      </c>
      <c r="C32" s="447">
        <v>5.3609100000000005</v>
      </c>
      <c r="D32" s="447">
        <v>5.3619999999990009</v>
      </c>
      <c r="E32" s="447"/>
      <c r="F32" s="447">
        <v>5.0818399999999997</v>
      </c>
      <c r="G32" s="447">
        <v>16.009179652396668</v>
      </c>
      <c r="H32" s="447">
        <v>-10.927339652396668</v>
      </c>
      <c r="I32" s="448">
        <v>0.31743287978152074</v>
      </c>
      <c r="J32" s="449" t="s">
        <v>1</v>
      </c>
    </row>
    <row r="33" spans="1:10" ht="14.4" customHeight="1" x14ac:dyDescent="0.3">
      <c r="A33" s="445" t="s">
        <v>483</v>
      </c>
      <c r="B33" s="446" t="s">
        <v>485</v>
      </c>
      <c r="C33" s="447">
        <v>997.57174999999995</v>
      </c>
      <c r="D33" s="447">
        <v>1277.9190699999967</v>
      </c>
      <c r="E33" s="447"/>
      <c r="F33" s="447">
        <v>1810.8772700000011</v>
      </c>
      <c r="G33" s="447">
        <v>2880.387250883452</v>
      </c>
      <c r="H33" s="447">
        <v>-1069.5099808834509</v>
      </c>
      <c r="I33" s="448">
        <v>0.62869229456719111</v>
      </c>
      <c r="J33" s="449" t="s">
        <v>478</v>
      </c>
    </row>
    <row r="34" spans="1:10" ht="14.4" customHeight="1" x14ac:dyDescent="0.3">
      <c r="A34" s="445" t="s">
        <v>472</v>
      </c>
      <c r="B34" s="446" t="s">
        <v>472</v>
      </c>
      <c r="C34" s="447" t="s">
        <v>472</v>
      </c>
      <c r="D34" s="447" t="s">
        <v>472</v>
      </c>
      <c r="E34" s="447"/>
      <c r="F34" s="447" t="s">
        <v>472</v>
      </c>
      <c r="G34" s="447" t="s">
        <v>472</v>
      </c>
      <c r="H34" s="447" t="s">
        <v>472</v>
      </c>
      <c r="I34" s="448" t="s">
        <v>472</v>
      </c>
      <c r="J34" s="449" t="s">
        <v>479</v>
      </c>
    </row>
    <row r="35" spans="1:10" ht="14.4" customHeight="1" x14ac:dyDescent="0.3">
      <c r="A35" s="445" t="s">
        <v>470</v>
      </c>
      <c r="B35" s="446" t="s">
        <v>473</v>
      </c>
      <c r="C35" s="447">
        <v>1050.6260400000001</v>
      </c>
      <c r="D35" s="447">
        <v>1322.5654399999958</v>
      </c>
      <c r="E35" s="447"/>
      <c r="F35" s="447">
        <v>1836.585880000001</v>
      </c>
      <c r="G35" s="447">
        <v>2935.6326304777153</v>
      </c>
      <c r="H35" s="447">
        <v>-1099.0467504777143</v>
      </c>
      <c r="I35" s="448">
        <v>0.62561843090738967</v>
      </c>
      <c r="J35" s="449" t="s">
        <v>474</v>
      </c>
    </row>
  </sheetData>
  <mergeCells count="3">
    <mergeCell ref="A1:I1"/>
    <mergeCell ref="F3:I3"/>
    <mergeCell ref="C4:D4"/>
  </mergeCells>
  <conditionalFormatting sqref="F14 F3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5">
    <cfRule type="expression" dxfId="11" priority="5">
      <formula>$H15&gt;0</formula>
    </cfRule>
  </conditionalFormatting>
  <conditionalFormatting sqref="A15:A35">
    <cfRule type="expression" dxfId="10" priority="2">
      <formula>AND($J15&lt;&gt;"mezeraKL",$J15&lt;&gt;"")</formula>
    </cfRule>
  </conditionalFormatting>
  <conditionalFormatting sqref="I15:I35">
    <cfRule type="expression" dxfId="9" priority="6">
      <formula>$I15&gt;1</formula>
    </cfRule>
  </conditionalFormatting>
  <conditionalFormatting sqref="B15:B35">
    <cfRule type="expression" dxfId="8" priority="1">
      <formula>OR($J15="NS",$J15="SumaNS",$J15="Účet")</formula>
    </cfRule>
  </conditionalFormatting>
  <conditionalFormatting sqref="A15:D35 F15:I35">
    <cfRule type="expression" dxfId="7" priority="8">
      <formula>AND($J15&lt;&gt;"",$J15&lt;&gt;"mezeraKL")</formula>
    </cfRule>
  </conditionalFormatting>
  <conditionalFormatting sqref="B15:D35 F15:I35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0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1111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281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129</v>
      </c>
      <c r="I3" s="98">
        <f>IF(J3&lt;&gt;0,K3/J3,0)</f>
        <v>13.573690263976903</v>
      </c>
      <c r="J3" s="98">
        <f>SUBTOTAL(9,J5:J1048576)</f>
        <v>135563</v>
      </c>
      <c r="K3" s="99">
        <f>SUBTOTAL(9,K5:K1048576)</f>
        <v>1840090.1732555011</v>
      </c>
    </row>
    <row r="4" spans="1:11" s="209" customFormat="1" ht="14.4" customHeight="1" thickBot="1" x14ac:dyDescent="0.35">
      <c r="A4" s="572" t="s">
        <v>4</v>
      </c>
      <c r="B4" s="573" t="s">
        <v>5</v>
      </c>
      <c r="C4" s="573" t="s">
        <v>0</v>
      </c>
      <c r="D4" s="573" t="s">
        <v>6</v>
      </c>
      <c r="E4" s="573" t="s">
        <v>7</v>
      </c>
      <c r="F4" s="573" t="s">
        <v>1</v>
      </c>
      <c r="G4" s="573" t="s">
        <v>71</v>
      </c>
      <c r="H4" s="452" t="s">
        <v>11</v>
      </c>
      <c r="I4" s="453" t="s">
        <v>144</v>
      </c>
      <c r="J4" s="453" t="s">
        <v>13</v>
      </c>
      <c r="K4" s="454" t="s">
        <v>161</v>
      </c>
    </row>
    <row r="5" spans="1:11" ht="14.4" customHeight="1" x14ac:dyDescent="0.3">
      <c r="A5" s="536" t="s">
        <v>470</v>
      </c>
      <c r="B5" s="537" t="s">
        <v>614</v>
      </c>
      <c r="C5" s="540" t="s">
        <v>480</v>
      </c>
      <c r="D5" s="574" t="s">
        <v>615</v>
      </c>
      <c r="E5" s="540" t="s">
        <v>1097</v>
      </c>
      <c r="F5" s="574" t="s">
        <v>1098</v>
      </c>
      <c r="G5" s="540" t="s">
        <v>722</v>
      </c>
      <c r="H5" s="540" t="s">
        <v>723</v>
      </c>
      <c r="I5" s="116">
        <v>260.3</v>
      </c>
      <c r="J5" s="116">
        <v>8</v>
      </c>
      <c r="K5" s="560">
        <v>2082.4</v>
      </c>
    </row>
    <row r="6" spans="1:11" ht="14.4" customHeight="1" x14ac:dyDescent="0.3">
      <c r="A6" s="543" t="s">
        <v>470</v>
      </c>
      <c r="B6" s="544" t="s">
        <v>614</v>
      </c>
      <c r="C6" s="547" t="s">
        <v>480</v>
      </c>
      <c r="D6" s="575" t="s">
        <v>615</v>
      </c>
      <c r="E6" s="547" t="s">
        <v>1097</v>
      </c>
      <c r="F6" s="575" t="s">
        <v>1098</v>
      </c>
      <c r="G6" s="547" t="s">
        <v>724</v>
      </c>
      <c r="H6" s="547" t="s">
        <v>725</v>
      </c>
      <c r="I6" s="561">
        <v>4.3</v>
      </c>
      <c r="J6" s="561">
        <v>24</v>
      </c>
      <c r="K6" s="562">
        <v>103.2</v>
      </c>
    </row>
    <row r="7" spans="1:11" ht="14.4" customHeight="1" x14ac:dyDescent="0.3">
      <c r="A7" s="543" t="s">
        <v>470</v>
      </c>
      <c r="B7" s="544" t="s">
        <v>614</v>
      </c>
      <c r="C7" s="547" t="s">
        <v>480</v>
      </c>
      <c r="D7" s="575" t="s">
        <v>615</v>
      </c>
      <c r="E7" s="547" t="s">
        <v>1097</v>
      </c>
      <c r="F7" s="575" t="s">
        <v>1098</v>
      </c>
      <c r="G7" s="547" t="s">
        <v>726</v>
      </c>
      <c r="H7" s="547" t="s">
        <v>727</v>
      </c>
      <c r="I7" s="561">
        <v>8.5299999999999994</v>
      </c>
      <c r="J7" s="561">
        <v>1</v>
      </c>
      <c r="K7" s="562">
        <v>8.5299999999999994</v>
      </c>
    </row>
    <row r="8" spans="1:11" ht="14.4" customHeight="1" x14ac:dyDescent="0.3">
      <c r="A8" s="543" t="s">
        <v>470</v>
      </c>
      <c r="B8" s="544" t="s">
        <v>614</v>
      </c>
      <c r="C8" s="547" t="s">
        <v>480</v>
      </c>
      <c r="D8" s="575" t="s">
        <v>615</v>
      </c>
      <c r="E8" s="547" t="s">
        <v>1097</v>
      </c>
      <c r="F8" s="575" t="s">
        <v>1098</v>
      </c>
      <c r="G8" s="547" t="s">
        <v>728</v>
      </c>
      <c r="H8" s="547" t="s">
        <v>729</v>
      </c>
      <c r="I8" s="561">
        <v>27.410000000000004</v>
      </c>
      <c r="J8" s="561">
        <v>37</v>
      </c>
      <c r="K8" s="562">
        <v>1014.1899999999998</v>
      </c>
    </row>
    <row r="9" spans="1:11" ht="14.4" customHeight="1" x14ac:dyDescent="0.3">
      <c r="A9" s="543" t="s">
        <v>470</v>
      </c>
      <c r="B9" s="544" t="s">
        <v>614</v>
      </c>
      <c r="C9" s="547" t="s">
        <v>480</v>
      </c>
      <c r="D9" s="575" t="s">
        <v>615</v>
      </c>
      <c r="E9" s="547" t="s">
        <v>1097</v>
      </c>
      <c r="F9" s="575" t="s">
        <v>1098</v>
      </c>
      <c r="G9" s="547" t="s">
        <v>730</v>
      </c>
      <c r="H9" s="547" t="s">
        <v>731</v>
      </c>
      <c r="I9" s="561">
        <v>41.542499999999997</v>
      </c>
      <c r="J9" s="561">
        <v>65</v>
      </c>
      <c r="K9" s="562">
        <v>2700.1500000000005</v>
      </c>
    </row>
    <row r="10" spans="1:11" ht="14.4" customHeight="1" x14ac:dyDescent="0.3">
      <c r="A10" s="543" t="s">
        <v>470</v>
      </c>
      <c r="B10" s="544" t="s">
        <v>614</v>
      </c>
      <c r="C10" s="547" t="s">
        <v>480</v>
      </c>
      <c r="D10" s="575" t="s">
        <v>615</v>
      </c>
      <c r="E10" s="547" t="s">
        <v>1097</v>
      </c>
      <c r="F10" s="575" t="s">
        <v>1098</v>
      </c>
      <c r="G10" s="547" t="s">
        <v>732</v>
      </c>
      <c r="H10" s="547" t="s">
        <v>733</v>
      </c>
      <c r="I10" s="561">
        <v>8.58</v>
      </c>
      <c r="J10" s="561">
        <v>12</v>
      </c>
      <c r="K10" s="562">
        <v>102.96</v>
      </c>
    </row>
    <row r="11" spans="1:11" ht="14.4" customHeight="1" x14ac:dyDescent="0.3">
      <c r="A11" s="543" t="s">
        <v>470</v>
      </c>
      <c r="B11" s="544" t="s">
        <v>614</v>
      </c>
      <c r="C11" s="547" t="s">
        <v>480</v>
      </c>
      <c r="D11" s="575" t="s">
        <v>615</v>
      </c>
      <c r="E11" s="547" t="s">
        <v>1097</v>
      </c>
      <c r="F11" s="575" t="s">
        <v>1098</v>
      </c>
      <c r="G11" s="547" t="s">
        <v>734</v>
      </c>
      <c r="H11" s="547" t="s">
        <v>735</v>
      </c>
      <c r="I11" s="561">
        <v>13.01</v>
      </c>
      <c r="J11" s="561">
        <v>1</v>
      </c>
      <c r="K11" s="562">
        <v>13.01</v>
      </c>
    </row>
    <row r="12" spans="1:11" ht="14.4" customHeight="1" x14ac:dyDescent="0.3">
      <c r="A12" s="543" t="s">
        <v>470</v>
      </c>
      <c r="B12" s="544" t="s">
        <v>614</v>
      </c>
      <c r="C12" s="547" t="s">
        <v>480</v>
      </c>
      <c r="D12" s="575" t="s">
        <v>615</v>
      </c>
      <c r="E12" s="547" t="s">
        <v>1097</v>
      </c>
      <c r="F12" s="575" t="s">
        <v>1098</v>
      </c>
      <c r="G12" s="547" t="s">
        <v>736</v>
      </c>
      <c r="H12" s="547" t="s">
        <v>737</v>
      </c>
      <c r="I12" s="561">
        <v>28.218</v>
      </c>
      <c r="J12" s="561">
        <v>10</v>
      </c>
      <c r="K12" s="562">
        <v>282.18</v>
      </c>
    </row>
    <row r="13" spans="1:11" ht="14.4" customHeight="1" x14ac:dyDescent="0.3">
      <c r="A13" s="543" t="s">
        <v>470</v>
      </c>
      <c r="B13" s="544" t="s">
        <v>614</v>
      </c>
      <c r="C13" s="547" t="s">
        <v>480</v>
      </c>
      <c r="D13" s="575" t="s">
        <v>615</v>
      </c>
      <c r="E13" s="547" t="s">
        <v>1097</v>
      </c>
      <c r="F13" s="575" t="s">
        <v>1098</v>
      </c>
      <c r="G13" s="547" t="s">
        <v>738</v>
      </c>
      <c r="H13" s="547" t="s">
        <v>739</v>
      </c>
      <c r="I13" s="561">
        <v>0.31</v>
      </c>
      <c r="J13" s="561">
        <v>25</v>
      </c>
      <c r="K13" s="562">
        <v>7.75</v>
      </c>
    </row>
    <row r="14" spans="1:11" ht="14.4" customHeight="1" x14ac:dyDescent="0.3">
      <c r="A14" s="543" t="s">
        <v>470</v>
      </c>
      <c r="B14" s="544" t="s">
        <v>614</v>
      </c>
      <c r="C14" s="547" t="s">
        <v>480</v>
      </c>
      <c r="D14" s="575" t="s">
        <v>615</v>
      </c>
      <c r="E14" s="547" t="s">
        <v>1097</v>
      </c>
      <c r="F14" s="575" t="s">
        <v>1098</v>
      </c>
      <c r="G14" s="547" t="s">
        <v>740</v>
      </c>
      <c r="H14" s="547" t="s">
        <v>741</v>
      </c>
      <c r="I14" s="561">
        <v>11.73</v>
      </c>
      <c r="J14" s="561">
        <v>2</v>
      </c>
      <c r="K14" s="562">
        <v>23.47</v>
      </c>
    </row>
    <row r="15" spans="1:11" ht="14.4" customHeight="1" x14ac:dyDescent="0.3">
      <c r="A15" s="543" t="s">
        <v>470</v>
      </c>
      <c r="B15" s="544" t="s">
        <v>614</v>
      </c>
      <c r="C15" s="547" t="s">
        <v>480</v>
      </c>
      <c r="D15" s="575" t="s">
        <v>615</v>
      </c>
      <c r="E15" s="547" t="s">
        <v>1097</v>
      </c>
      <c r="F15" s="575" t="s">
        <v>1098</v>
      </c>
      <c r="G15" s="547" t="s">
        <v>742</v>
      </c>
      <c r="H15" s="547" t="s">
        <v>743</v>
      </c>
      <c r="I15" s="561">
        <v>14.08</v>
      </c>
      <c r="J15" s="561">
        <v>1</v>
      </c>
      <c r="K15" s="562">
        <v>14.08</v>
      </c>
    </row>
    <row r="16" spans="1:11" ht="14.4" customHeight="1" x14ac:dyDescent="0.3">
      <c r="A16" s="543" t="s">
        <v>470</v>
      </c>
      <c r="B16" s="544" t="s">
        <v>614</v>
      </c>
      <c r="C16" s="547" t="s">
        <v>480</v>
      </c>
      <c r="D16" s="575" t="s">
        <v>615</v>
      </c>
      <c r="E16" s="547" t="s">
        <v>1097</v>
      </c>
      <c r="F16" s="575" t="s">
        <v>1098</v>
      </c>
      <c r="G16" s="547" t="s">
        <v>744</v>
      </c>
      <c r="H16" s="547" t="s">
        <v>745</v>
      </c>
      <c r="I16" s="561">
        <v>2.5449999999999999</v>
      </c>
      <c r="J16" s="561">
        <v>15</v>
      </c>
      <c r="K16" s="562">
        <v>38.19</v>
      </c>
    </row>
    <row r="17" spans="1:11" ht="14.4" customHeight="1" x14ac:dyDescent="0.3">
      <c r="A17" s="543" t="s">
        <v>470</v>
      </c>
      <c r="B17" s="544" t="s">
        <v>614</v>
      </c>
      <c r="C17" s="547" t="s">
        <v>480</v>
      </c>
      <c r="D17" s="575" t="s">
        <v>615</v>
      </c>
      <c r="E17" s="547" t="s">
        <v>1099</v>
      </c>
      <c r="F17" s="575" t="s">
        <v>1100</v>
      </c>
      <c r="G17" s="547" t="s">
        <v>746</v>
      </c>
      <c r="H17" s="547" t="s">
        <v>747</v>
      </c>
      <c r="I17" s="561">
        <v>68.510000000000005</v>
      </c>
      <c r="J17" s="561">
        <v>2</v>
      </c>
      <c r="K17" s="562">
        <v>137.02000000000001</v>
      </c>
    </row>
    <row r="18" spans="1:11" ht="14.4" customHeight="1" x14ac:dyDescent="0.3">
      <c r="A18" s="543" t="s">
        <v>470</v>
      </c>
      <c r="B18" s="544" t="s">
        <v>614</v>
      </c>
      <c r="C18" s="547" t="s">
        <v>480</v>
      </c>
      <c r="D18" s="575" t="s">
        <v>615</v>
      </c>
      <c r="E18" s="547" t="s">
        <v>1099</v>
      </c>
      <c r="F18" s="575" t="s">
        <v>1100</v>
      </c>
      <c r="G18" s="547" t="s">
        <v>748</v>
      </c>
      <c r="H18" s="547" t="s">
        <v>749</v>
      </c>
      <c r="I18" s="561">
        <v>94.38</v>
      </c>
      <c r="J18" s="561">
        <v>2</v>
      </c>
      <c r="K18" s="562">
        <v>188.76</v>
      </c>
    </row>
    <row r="19" spans="1:11" ht="14.4" customHeight="1" x14ac:dyDescent="0.3">
      <c r="A19" s="543" t="s">
        <v>470</v>
      </c>
      <c r="B19" s="544" t="s">
        <v>614</v>
      </c>
      <c r="C19" s="547" t="s">
        <v>480</v>
      </c>
      <c r="D19" s="575" t="s">
        <v>615</v>
      </c>
      <c r="E19" s="547" t="s">
        <v>1099</v>
      </c>
      <c r="F19" s="575" t="s">
        <v>1100</v>
      </c>
      <c r="G19" s="547" t="s">
        <v>750</v>
      </c>
      <c r="H19" s="547" t="s">
        <v>751</v>
      </c>
      <c r="I19" s="561">
        <v>2.37</v>
      </c>
      <c r="J19" s="561">
        <v>35</v>
      </c>
      <c r="K19" s="562">
        <v>82.949999999999989</v>
      </c>
    </row>
    <row r="20" spans="1:11" ht="14.4" customHeight="1" x14ac:dyDescent="0.3">
      <c r="A20" s="543" t="s">
        <v>470</v>
      </c>
      <c r="B20" s="544" t="s">
        <v>614</v>
      </c>
      <c r="C20" s="547" t="s">
        <v>480</v>
      </c>
      <c r="D20" s="575" t="s">
        <v>615</v>
      </c>
      <c r="E20" s="547" t="s">
        <v>1099</v>
      </c>
      <c r="F20" s="575" t="s">
        <v>1100</v>
      </c>
      <c r="G20" s="547" t="s">
        <v>752</v>
      </c>
      <c r="H20" s="547" t="s">
        <v>753</v>
      </c>
      <c r="I20" s="561">
        <v>1.8399999999999999</v>
      </c>
      <c r="J20" s="561">
        <v>40</v>
      </c>
      <c r="K20" s="562">
        <v>73.599999999999994</v>
      </c>
    </row>
    <row r="21" spans="1:11" ht="14.4" customHeight="1" x14ac:dyDescent="0.3">
      <c r="A21" s="543" t="s">
        <v>470</v>
      </c>
      <c r="B21" s="544" t="s">
        <v>614</v>
      </c>
      <c r="C21" s="547" t="s">
        <v>480</v>
      </c>
      <c r="D21" s="575" t="s">
        <v>615</v>
      </c>
      <c r="E21" s="547" t="s">
        <v>1099</v>
      </c>
      <c r="F21" s="575" t="s">
        <v>1100</v>
      </c>
      <c r="G21" s="547" t="s">
        <v>754</v>
      </c>
      <c r="H21" s="547" t="s">
        <v>755</v>
      </c>
      <c r="I21" s="561">
        <v>1.9116666666666664</v>
      </c>
      <c r="J21" s="561">
        <v>950</v>
      </c>
      <c r="K21" s="562">
        <v>1816.5</v>
      </c>
    </row>
    <row r="22" spans="1:11" ht="14.4" customHeight="1" x14ac:dyDescent="0.3">
      <c r="A22" s="543" t="s">
        <v>470</v>
      </c>
      <c r="B22" s="544" t="s">
        <v>614</v>
      </c>
      <c r="C22" s="547" t="s">
        <v>480</v>
      </c>
      <c r="D22" s="575" t="s">
        <v>615</v>
      </c>
      <c r="E22" s="547" t="s">
        <v>1099</v>
      </c>
      <c r="F22" s="575" t="s">
        <v>1100</v>
      </c>
      <c r="G22" s="547" t="s">
        <v>756</v>
      </c>
      <c r="H22" s="547" t="s">
        <v>757</v>
      </c>
      <c r="I22" s="561">
        <v>2.79</v>
      </c>
      <c r="J22" s="561">
        <v>50</v>
      </c>
      <c r="K22" s="562">
        <v>139.5</v>
      </c>
    </row>
    <row r="23" spans="1:11" ht="14.4" customHeight="1" x14ac:dyDescent="0.3">
      <c r="A23" s="543" t="s">
        <v>470</v>
      </c>
      <c r="B23" s="544" t="s">
        <v>614</v>
      </c>
      <c r="C23" s="547" t="s">
        <v>480</v>
      </c>
      <c r="D23" s="575" t="s">
        <v>615</v>
      </c>
      <c r="E23" s="547" t="s">
        <v>1099</v>
      </c>
      <c r="F23" s="575" t="s">
        <v>1100</v>
      </c>
      <c r="G23" s="547" t="s">
        <v>758</v>
      </c>
      <c r="H23" s="547" t="s">
        <v>759</v>
      </c>
      <c r="I23" s="561">
        <v>1.77</v>
      </c>
      <c r="J23" s="561">
        <v>50</v>
      </c>
      <c r="K23" s="562">
        <v>88.5</v>
      </c>
    </row>
    <row r="24" spans="1:11" ht="14.4" customHeight="1" x14ac:dyDescent="0.3">
      <c r="A24" s="543" t="s">
        <v>470</v>
      </c>
      <c r="B24" s="544" t="s">
        <v>614</v>
      </c>
      <c r="C24" s="547" t="s">
        <v>480</v>
      </c>
      <c r="D24" s="575" t="s">
        <v>615</v>
      </c>
      <c r="E24" s="547" t="s">
        <v>1099</v>
      </c>
      <c r="F24" s="575" t="s">
        <v>1100</v>
      </c>
      <c r="G24" s="547" t="s">
        <v>760</v>
      </c>
      <c r="H24" s="547" t="s">
        <v>761</v>
      </c>
      <c r="I24" s="561">
        <v>2.4333333333333336</v>
      </c>
      <c r="J24" s="561">
        <v>250</v>
      </c>
      <c r="K24" s="562">
        <v>608.5</v>
      </c>
    </row>
    <row r="25" spans="1:11" ht="14.4" customHeight="1" x14ac:dyDescent="0.3">
      <c r="A25" s="543" t="s">
        <v>470</v>
      </c>
      <c r="B25" s="544" t="s">
        <v>614</v>
      </c>
      <c r="C25" s="547" t="s">
        <v>480</v>
      </c>
      <c r="D25" s="575" t="s">
        <v>615</v>
      </c>
      <c r="E25" s="547" t="s">
        <v>1099</v>
      </c>
      <c r="F25" s="575" t="s">
        <v>1100</v>
      </c>
      <c r="G25" s="547" t="s">
        <v>762</v>
      </c>
      <c r="H25" s="547" t="s">
        <v>763</v>
      </c>
      <c r="I25" s="561">
        <v>1.2500000000000001E-2</v>
      </c>
      <c r="J25" s="561">
        <v>2800</v>
      </c>
      <c r="K25" s="562">
        <v>36</v>
      </c>
    </row>
    <row r="26" spans="1:11" ht="14.4" customHeight="1" x14ac:dyDescent="0.3">
      <c r="A26" s="543" t="s">
        <v>470</v>
      </c>
      <c r="B26" s="544" t="s">
        <v>614</v>
      </c>
      <c r="C26" s="547" t="s">
        <v>480</v>
      </c>
      <c r="D26" s="575" t="s">
        <v>615</v>
      </c>
      <c r="E26" s="547" t="s">
        <v>1099</v>
      </c>
      <c r="F26" s="575" t="s">
        <v>1100</v>
      </c>
      <c r="G26" s="547" t="s">
        <v>764</v>
      </c>
      <c r="H26" s="547" t="s">
        <v>765</v>
      </c>
      <c r="I26" s="561">
        <v>2</v>
      </c>
      <c r="J26" s="561">
        <v>20</v>
      </c>
      <c r="K26" s="562">
        <v>40</v>
      </c>
    </row>
    <row r="27" spans="1:11" ht="14.4" customHeight="1" x14ac:dyDescent="0.3">
      <c r="A27" s="543" t="s">
        <v>470</v>
      </c>
      <c r="B27" s="544" t="s">
        <v>614</v>
      </c>
      <c r="C27" s="547" t="s">
        <v>480</v>
      </c>
      <c r="D27" s="575" t="s">
        <v>615</v>
      </c>
      <c r="E27" s="547" t="s">
        <v>1099</v>
      </c>
      <c r="F27" s="575" t="s">
        <v>1100</v>
      </c>
      <c r="G27" s="547" t="s">
        <v>766</v>
      </c>
      <c r="H27" s="547" t="s">
        <v>767</v>
      </c>
      <c r="I27" s="561">
        <v>2.0550000000000002</v>
      </c>
      <c r="J27" s="561">
        <v>30</v>
      </c>
      <c r="K27" s="562">
        <v>62.3</v>
      </c>
    </row>
    <row r="28" spans="1:11" ht="14.4" customHeight="1" x14ac:dyDescent="0.3">
      <c r="A28" s="543" t="s">
        <v>470</v>
      </c>
      <c r="B28" s="544" t="s">
        <v>614</v>
      </c>
      <c r="C28" s="547" t="s">
        <v>480</v>
      </c>
      <c r="D28" s="575" t="s">
        <v>615</v>
      </c>
      <c r="E28" s="547" t="s">
        <v>1099</v>
      </c>
      <c r="F28" s="575" t="s">
        <v>1100</v>
      </c>
      <c r="G28" s="547" t="s">
        <v>768</v>
      </c>
      <c r="H28" s="547" t="s">
        <v>769</v>
      </c>
      <c r="I28" s="561">
        <v>2.4080000000000004</v>
      </c>
      <c r="J28" s="561">
        <v>1300</v>
      </c>
      <c r="K28" s="562">
        <v>3130</v>
      </c>
    </row>
    <row r="29" spans="1:11" ht="14.4" customHeight="1" x14ac:dyDescent="0.3">
      <c r="A29" s="543" t="s">
        <v>470</v>
      </c>
      <c r="B29" s="544" t="s">
        <v>614</v>
      </c>
      <c r="C29" s="547" t="s">
        <v>480</v>
      </c>
      <c r="D29" s="575" t="s">
        <v>615</v>
      </c>
      <c r="E29" s="547" t="s">
        <v>1099</v>
      </c>
      <c r="F29" s="575" t="s">
        <v>1100</v>
      </c>
      <c r="G29" s="547" t="s">
        <v>770</v>
      </c>
      <c r="H29" s="547" t="s">
        <v>771</v>
      </c>
      <c r="I29" s="561">
        <v>1.63</v>
      </c>
      <c r="J29" s="561">
        <v>450</v>
      </c>
      <c r="K29" s="562">
        <v>733.5</v>
      </c>
    </row>
    <row r="30" spans="1:11" ht="14.4" customHeight="1" x14ac:dyDescent="0.3">
      <c r="A30" s="543" t="s">
        <v>470</v>
      </c>
      <c r="B30" s="544" t="s">
        <v>614</v>
      </c>
      <c r="C30" s="547" t="s">
        <v>480</v>
      </c>
      <c r="D30" s="575" t="s">
        <v>615</v>
      </c>
      <c r="E30" s="547" t="s">
        <v>1099</v>
      </c>
      <c r="F30" s="575" t="s">
        <v>1100</v>
      </c>
      <c r="G30" s="547" t="s">
        <v>772</v>
      </c>
      <c r="H30" s="547" t="s">
        <v>773</v>
      </c>
      <c r="I30" s="561">
        <v>15.001666666666667</v>
      </c>
      <c r="J30" s="561">
        <v>105</v>
      </c>
      <c r="K30" s="562">
        <v>1575.2</v>
      </c>
    </row>
    <row r="31" spans="1:11" ht="14.4" customHeight="1" x14ac:dyDescent="0.3">
      <c r="A31" s="543" t="s">
        <v>470</v>
      </c>
      <c r="B31" s="544" t="s">
        <v>614</v>
      </c>
      <c r="C31" s="547" t="s">
        <v>480</v>
      </c>
      <c r="D31" s="575" t="s">
        <v>615</v>
      </c>
      <c r="E31" s="547" t="s">
        <v>1099</v>
      </c>
      <c r="F31" s="575" t="s">
        <v>1100</v>
      </c>
      <c r="G31" s="547" t="s">
        <v>774</v>
      </c>
      <c r="H31" s="547" t="s">
        <v>775</v>
      </c>
      <c r="I31" s="561">
        <v>2.94</v>
      </c>
      <c r="J31" s="561">
        <v>50</v>
      </c>
      <c r="K31" s="562">
        <v>147</v>
      </c>
    </row>
    <row r="32" spans="1:11" ht="14.4" customHeight="1" x14ac:dyDescent="0.3">
      <c r="A32" s="543" t="s">
        <v>470</v>
      </c>
      <c r="B32" s="544" t="s">
        <v>614</v>
      </c>
      <c r="C32" s="547" t="s">
        <v>480</v>
      </c>
      <c r="D32" s="575" t="s">
        <v>615</v>
      </c>
      <c r="E32" s="547" t="s">
        <v>1099</v>
      </c>
      <c r="F32" s="575" t="s">
        <v>1100</v>
      </c>
      <c r="G32" s="547" t="s">
        <v>776</v>
      </c>
      <c r="H32" s="547" t="s">
        <v>777</v>
      </c>
      <c r="I32" s="561">
        <v>21.24</v>
      </c>
      <c r="J32" s="561">
        <v>5</v>
      </c>
      <c r="K32" s="562">
        <v>106.2</v>
      </c>
    </row>
    <row r="33" spans="1:11" ht="14.4" customHeight="1" x14ac:dyDescent="0.3">
      <c r="A33" s="543" t="s">
        <v>470</v>
      </c>
      <c r="B33" s="544" t="s">
        <v>614</v>
      </c>
      <c r="C33" s="547" t="s">
        <v>480</v>
      </c>
      <c r="D33" s="575" t="s">
        <v>615</v>
      </c>
      <c r="E33" s="547" t="s">
        <v>1099</v>
      </c>
      <c r="F33" s="575" t="s">
        <v>1100</v>
      </c>
      <c r="G33" s="547" t="s">
        <v>778</v>
      </c>
      <c r="H33" s="547" t="s">
        <v>779</v>
      </c>
      <c r="I33" s="561">
        <v>216.35</v>
      </c>
      <c r="J33" s="561">
        <v>1</v>
      </c>
      <c r="K33" s="562">
        <v>216.35</v>
      </c>
    </row>
    <row r="34" spans="1:11" ht="14.4" customHeight="1" x14ac:dyDescent="0.3">
      <c r="A34" s="543" t="s">
        <v>470</v>
      </c>
      <c r="B34" s="544" t="s">
        <v>614</v>
      </c>
      <c r="C34" s="547" t="s">
        <v>480</v>
      </c>
      <c r="D34" s="575" t="s">
        <v>615</v>
      </c>
      <c r="E34" s="547" t="s">
        <v>1101</v>
      </c>
      <c r="F34" s="575" t="s">
        <v>1102</v>
      </c>
      <c r="G34" s="547" t="s">
        <v>780</v>
      </c>
      <c r="H34" s="547" t="s">
        <v>781</v>
      </c>
      <c r="I34" s="561">
        <v>8.17</v>
      </c>
      <c r="J34" s="561">
        <v>10</v>
      </c>
      <c r="K34" s="562">
        <v>81.7</v>
      </c>
    </row>
    <row r="35" spans="1:11" ht="14.4" customHeight="1" x14ac:dyDescent="0.3">
      <c r="A35" s="543" t="s">
        <v>470</v>
      </c>
      <c r="B35" s="544" t="s">
        <v>614</v>
      </c>
      <c r="C35" s="547" t="s">
        <v>480</v>
      </c>
      <c r="D35" s="575" t="s">
        <v>615</v>
      </c>
      <c r="E35" s="547" t="s">
        <v>1103</v>
      </c>
      <c r="F35" s="575" t="s">
        <v>1104</v>
      </c>
      <c r="G35" s="547" t="s">
        <v>782</v>
      </c>
      <c r="H35" s="547" t="s">
        <v>783</v>
      </c>
      <c r="I35" s="561">
        <v>0.31</v>
      </c>
      <c r="J35" s="561">
        <v>100</v>
      </c>
      <c r="K35" s="562">
        <v>31</v>
      </c>
    </row>
    <row r="36" spans="1:11" ht="14.4" customHeight="1" x14ac:dyDescent="0.3">
      <c r="A36" s="543" t="s">
        <v>470</v>
      </c>
      <c r="B36" s="544" t="s">
        <v>614</v>
      </c>
      <c r="C36" s="547" t="s">
        <v>480</v>
      </c>
      <c r="D36" s="575" t="s">
        <v>615</v>
      </c>
      <c r="E36" s="547" t="s">
        <v>1103</v>
      </c>
      <c r="F36" s="575" t="s">
        <v>1104</v>
      </c>
      <c r="G36" s="547" t="s">
        <v>784</v>
      </c>
      <c r="H36" s="547" t="s">
        <v>785</v>
      </c>
      <c r="I36" s="561">
        <v>1.7524999999999999</v>
      </c>
      <c r="J36" s="561">
        <v>2700</v>
      </c>
      <c r="K36" s="562">
        <v>4733</v>
      </c>
    </row>
    <row r="37" spans="1:11" ht="14.4" customHeight="1" x14ac:dyDescent="0.3">
      <c r="A37" s="543" t="s">
        <v>470</v>
      </c>
      <c r="B37" s="544" t="s">
        <v>614</v>
      </c>
      <c r="C37" s="547" t="s">
        <v>480</v>
      </c>
      <c r="D37" s="575" t="s">
        <v>615</v>
      </c>
      <c r="E37" s="547" t="s">
        <v>1103</v>
      </c>
      <c r="F37" s="575" t="s">
        <v>1104</v>
      </c>
      <c r="G37" s="547" t="s">
        <v>786</v>
      </c>
      <c r="H37" s="547" t="s">
        <v>787</v>
      </c>
      <c r="I37" s="561">
        <v>48.78</v>
      </c>
      <c r="J37" s="561">
        <v>25</v>
      </c>
      <c r="K37" s="562">
        <v>1219.5</v>
      </c>
    </row>
    <row r="38" spans="1:11" ht="14.4" customHeight="1" x14ac:dyDescent="0.3">
      <c r="A38" s="543" t="s">
        <v>470</v>
      </c>
      <c r="B38" s="544" t="s">
        <v>614</v>
      </c>
      <c r="C38" s="547" t="s">
        <v>480</v>
      </c>
      <c r="D38" s="575" t="s">
        <v>615</v>
      </c>
      <c r="E38" s="547" t="s">
        <v>1103</v>
      </c>
      <c r="F38" s="575" t="s">
        <v>1104</v>
      </c>
      <c r="G38" s="547" t="s">
        <v>786</v>
      </c>
      <c r="H38" s="547" t="s">
        <v>788</v>
      </c>
      <c r="I38" s="561">
        <v>48.78</v>
      </c>
      <c r="J38" s="561">
        <v>19</v>
      </c>
      <c r="K38" s="562">
        <v>926.82</v>
      </c>
    </row>
    <row r="39" spans="1:11" ht="14.4" customHeight="1" x14ac:dyDescent="0.3">
      <c r="A39" s="543" t="s">
        <v>470</v>
      </c>
      <c r="B39" s="544" t="s">
        <v>614</v>
      </c>
      <c r="C39" s="547" t="s">
        <v>480</v>
      </c>
      <c r="D39" s="575" t="s">
        <v>615</v>
      </c>
      <c r="E39" s="547" t="s">
        <v>1105</v>
      </c>
      <c r="F39" s="575" t="s">
        <v>1106</v>
      </c>
      <c r="G39" s="547" t="s">
        <v>789</v>
      </c>
      <c r="H39" s="547" t="s">
        <v>790</v>
      </c>
      <c r="I39" s="561">
        <v>0.72833333333333317</v>
      </c>
      <c r="J39" s="561">
        <v>1500</v>
      </c>
      <c r="K39" s="562">
        <v>1090.2</v>
      </c>
    </row>
    <row r="40" spans="1:11" ht="14.4" customHeight="1" x14ac:dyDescent="0.3">
      <c r="A40" s="543" t="s">
        <v>470</v>
      </c>
      <c r="B40" s="544" t="s">
        <v>614</v>
      </c>
      <c r="C40" s="547" t="s">
        <v>480</v>
      </c>
      <c r="D40" s="575" t="s">
        <v>615</v>
      </c>
      <c r="E40" s="547" t="s">
        <v>1105</v>
      </c>
      <c r="F40" s="575" t="s">
        <v>1106</v>
      </c>
      <c r="G40" s="547" t="s">
        <v>791</v>
      </c>
      <c r="H40" s="547" t="s">
        <v>792</v>
      </c>
      <c r="I40" s="561">
        <v>0.72750000000000004</v>
      </c>
      <c r="J40" s="561">
        <v>400</v>
      </c>
      <c r="K40" s="562">
        <v>290.8</v>
      </c>
    </row>
    <row r="41" spans="1:11" ht="14.4" customHeight="1" x14ac:dyDescent="0.3">
      <c r="A41" s="543" t="s">
        <v>470</v>
      </c>
      <c r="B41" s="544" t="s">
        <v>614</v>
      </c>
      <c r="C41" s="547" t="s">
        <v>480</v>
      </c>
      <c r="D41" s="575" t="s">
        <v>615</v>
      </c>
      <c r="E41" s="547" t="s">
        <v>1105</v>
      </c>
      <c r="F41" s="575" t="s">
        <v>1106</v>
      </c>
      <c r="G41" s="547" t="s">
        <v>793</v>
      </c>
      <c r="H41" s="547" t="s">
        <v>794</v>
      </c>
      <c r="I41" s="561">
        <v>7.5</v>
      </c>
      <c r="J41" s="561">
        <v>40</v>
      </c>
      <c r="K41" s="562">
        <v>300</v>
      </c>
    </row>
    <row r="42" spans="1:11" ht="14.4" customHeight="1" x14ac:dyDescent="0.3">
      <c r="A42" s="543" t="s">
        <v>470</v>
      </c>
      <c r="B42" s="544" t="s">
        <v>614</v>
      </c>
      <c r="C42" s="547" t="s">
        <v>480</v>
      </c>
      <c r="D42" s="575" t="s">
        <v>615</v>
      </c>
      <c r="E42" s="547" t="s">
        <v>1105</v>
      </c>
      <c r="F42" s="575" t="s">
        <v>1106</v>
      </c>
      <c r="G42" s="547" t="s">
        <v>795</v>
      </c>
      <c r="H42" s="547" t="s">
        <v>796</v>
      </c>
      <c r="I42" s="561">
        <v>11.013333333333334</v>
      </c>
      <c r="J42" s="561">
        <v>120</v>
      </c>
      <c r="K42" s="562">
        <v>1321.6</v>
      </c>
    </row>
    <row r="43" spans="1:11" ht="14.4" customHeight="1" x14ac:dyDescent="0.3">
      <c r="A43" s="543" t="s">
        <v>470</v>
      </c>
      <c r="B43" s="544" t="s">
        <v>614</v>
      </c>
      <c r="C43" s="547" t="s">
        <v>480</v>
      </c>
      <c r="D43" s="575" t="s">
        <v>615</v>
      </c>
      <c r="E43" s="547" t="s">
        <v>1105</v>
      </c>
      <c r="F43" s="575" t="s">
        <v>1106</v>
      </c>
      <c r="G43" s="547" t="s">
        <v>797</v>
      </c>
      <c r="H43" s="547" t="s">
        <v>798</v>
      </c>
      <c r="I43" s="561">
        <v>0.71</v>
      </c>
      <c r="J43" s="561">
        <v>200</v>
      </c>
      <c r="K43" s="562">
        <v>142</v>
      </c>
    </row>
    <row r="44" spans="1:11" ht="14.4" customHeight="1" x14ac:dyDescent="0.3">
      <c r="A44" s="543" t="s">
        <v>470</v>
      </c>
      <c r="B44" s="544" t="s">
        <v>614</v>
      </c>
      <c r="C44" s="547" t="s">
        <v>483</v>
      </c>
      <c r="D44" s="575" t="s">
        <v>616</v>
      </c>
      <c r="E44" s="547" t="s">
        <v>1097</v>
      </c>
      <c r="F44" s="575" t="s">
        <v>1098</v>
      </c>
      <c r="G44" s="547" t="s">
        <v>799</v>
      </c>
      <c r="H44" s="547" t="s">
        <v>800</v>
      </c>
      <c r="I44" s="561">
        <v>0.49</v>
      </c>
      <c r="J44" s="561">
        <v>1000</v>
      </c>
      <c r="K44" s="562">
        <v>490</v>
      </c>
    </row>
    <row r="45" spans="1:11" ht="14.4" customHeight="1" x14ac:dyDescent="0.3">
      <c r="A45" s="543" t="s">
        <v>470</v>
      </c>
      <c r="B45" s="544" t="s">
        <v>614</v>
      </c>
      <c r="C45" s="547" t="s">
        <v>483</v>
      </c>
      <c r="D45" s="575" t="s">
        <v>616</v>
      </c>
      <c r="E45" s="547" t="s">
        <v>1097</v>
      </c>
      <c r="F45" s="575" t="s">
        <v>1098</v>
      </c>
      <c r="G45" s="547" t="s">
        <v>728</v>
      </c>
      <c r="H45" s="547" t="s">
        <v>729</v>
      </c>
      <c r="I45" s="561">
        <v>27.398571428571426</v>
      </c>
      <c r="J45" s="561">
        <v>27</v>
      </c>
      <c r="K45" s="562">
        <v>740.11</v>
      </c>
    </row>
    <row r="46" spans="1:11" ht="14.4" customHeight="1" x14ac:dyDescent="0.3">
      <c r="A46" s="543" t="s">
        <v>470</v>
      </c>
      <c r="B46" s="544" t="s">
        <v>614</v>
      </c>
      <c r="C46" s="547" t="s">
        <v>483</v>
      </c>
      <c r="D46" s="575" t="s">
        <v>616</v>
      </c>
      <c r="E46" s="547" t="s">
        <v>1097</v>
      </c>
      <c r="F46" s="575" t="s">
        <v>1098</v>
      </c>
      <c r="G46" s="547" t="s">
        <v>801</v>
      </c>
      <c r="H46" s="547" t="s">
        <v>802</v>
      </c>
      <c r="I46" s="561">
        <v>1.2233333333333334</v>
      </c>
      <c r="J46" s="561">
        <v>600</v>
      </c>
      <c r="K46" s="562">
        <v>734</v>
      </c>
    </row>
    <row r="47" spans="1:11" ht="14.4" customHeight="1" x14ac:dyDescent="0.3">
      <c r="A47" s="543" t="s">
        <v>470</v>
      </c>
      <c r="B47" s="544" t="s">
        <v>614</v>
      </c>
      <c r="C47" s="547" t="s">
        <v>483</v>
      </c>
      <c r="D47" s="575" t="s">
        <v>616</v>
      </c>
      <c r="E47" s="547" t="s">
        <v>1097</v>
      </c>
      <c r="F47" s="575" t="s">
        <v>1098</v>
      </c>
      <c r="G47" s="547" t="s">
        <v>736</v>
      </c>
      <c r="H47" s="547" t="s">
        <v>737</v>
      </c>
      <c r="I47" s="561">
        <v>27.94</v>
      </c>
      <c r="J47" s="561">
        <v>6</v>
      </c>
      <c r="K47" s="562">
        <v>167.64000000000001</v>
      </c>
    </row>
    <row r="48" spans="1:11" ht="14.4" customHeight="1" x14ac:dyDescent="0.3">
      <c r="A48" s="543" t="s">
        <v>470</v>
      </c>
      <c r="B48" s="544" t="s">
        <v>614</v>
      </c>
      <c r="C48" s="547" t="s">
        <v>483</v>
      </c>
      <c r="D48" s="575" t="s">
        <v>616</v>
      </c>
      <c r="E48" s="547" t="s">
        <v>1097</v>
      </c>
      <c r="F48" s="575" t="s">
        <v>1098</v>
      </c>
      <c r="G48" s="547" t="s">
        <v>803</v>
      </c>
      <c r="H48" s="547" t="s">
        <v>804</v>
      </c>
      <c r="I48" s="561">
        <v>98.38</v>
      </c>
      <c r="J48" s="561">
        <v>2</v>
      </c>
      <c r="K48" s="562">
        <v>196.76</v>
      </c>
    </row>
    <row r="49" spans="1:11" ht="14.4" customHeight="1" x14ac:dyDescent="0.3">
      <c r="A49" s="543" t="s">
        <v>470</v>
      </c>
      <c r="B49" s="544" t="s">
        <v>614</v>
      </c>
      <c r="C49" s="547" t="s">
        <v>483</v>
      </c>
      <c r="D49" s="575" t="s">
        <v>616</v>
      </c>
      <c r="E49" s="547" t="s">
        <v>1099</v>
      </c>
      <c r="F49" s="575" t="s">
        <v>1100</v>
      </c>
      <c r="G49" s="547" t="s">
        <v>805</v>
      </c>
      <c r="H49" s="547" t="s">
        <v>806</v>
      </c>
      <c r="I49" s="561">
        <v>1.44</v>
      </c>
      <c r="J49" s="561">
        <v>100</v>
      </c>
      <c r="K49" s="562">
        <v>144</v>
      </c>
    </row>
    <row r="50" spans="1:11" ht="14.4" customHeight="1" x14ac:dyDescent="0.3">
      <c r="A50" s="543" t="s">
        <v>470</v>
      </c>
      <c r="B50" s="544" t="s">
        <v>614</v>
      </c>
      <c r="C50" s="547" t="s">
        <v>483</v>
      </c>
      <c r="D50" s="575" t="s">
        <v>616</v>
      </c>
      <c r="E50" s="547" t="s">
        <v>1099</v>
      </c>
      <c r="F50" s="575" t="s">
        <v>1100</v>
      </c>
      <c r="G50" s="547" t="s">
        <v>807</v>
      </c>
      <c r="H50" s="547" t="s">
        <v>808</v>
      </c>
      <c r="I50" s="561">
        <v>0.43999999999999995</v>
      </c>
      <c r="J50" s="561">
        <v>900</v>
      </c>
      <c r="K50" s="562">
        <v>396</v>
      </c>
    </row>
    <row r="51" spans="1:11" ht="14.4" customHeight="1" x14ac:dyDescent="0.3">
      <c r="A51" s="543" t="s">
        <v>470</v>
      </c>
      <c r="B51" s="544" t="s">
        <v>614</v>
      </c>
      <c r="C51" s="547" t="s">
        <v>483</v>
      </c>
      <c r="D51" s="575" t="s">
        <v>616</v>
      </c>
      <c r="E51" s="547" t="s">
        <v>1099</v>
      </c>
      <c r="F51" s="575" t="s">
        <v>1100</v>
      </c>
      <c r="G51" s="547" t="s">
        <v>809</v>
      </c>
      <c r="H51" s="547" t="s">
        <v>810</v>
      </c>
      <c r="I51" s="561">
        <v>1.84</v>
      </c>
      <c r="J51" s="561">
        <v>1400</v>
      </c>
      <c r="K51" s="562">
        <v>2576</v>
      </c>
    </row>
    <row r="52" spans="1:11" ht="14.4" customHeight="1" x14ac:dyDescent="0.3">
      <c r="A52" s="543" t="s">
        <v>470</v>
      </c>
      <c r="B52" s="544" t="s">
        <v>614</v>
      </c>
      <c r="C52" s="547" t="s">
        <v>483</v>
      </c>
      <c r="D52" s="575" t="s">
        <v>616</v>
      </c>
      <c r="E52" s="547" t="s">
        <v>1099</v>
      </c>
      <c r="F52" s="575" t="s">
        <v>1100</v>
      </c>
      <c r="G52" s="547" t="s">
        <v>811</v>
      </c>
      <c r="H52" s="547" t="s">
        <v>812</v>
      </c>
      <c r="I52" s="561">
        <v>0.59</v>
      </c>
      <c r="J52" s="561">
        <v>800</v>
      </c>
      <c r="K52" s="562">
        <v>472</v>
      </c>
    </row>
    <row r="53" spans="1:11" ht="14.4" customHeight="1" x14ac:dyDescent="0.3">
      <c r="A53" s="543" t="s">
        <v>470</v>
      </c>
      <c r="B53" s="544" t="s">
        <v>614</v>
      </c>
      <c r="C53" s="547" t="s">
        <v>483</v>
      </c>
      <c r="D53" s="575" t="s">
        <v>616</v>
      </c>
      <c r="E53" s="547" t="s">
        <v>1099</v>
      </c>
      <c r="F53" s="575" t="s">
        <v>1100</v>
      </c>
      <c r="G53" s="547" t="s">
        <v>813</v>
      </c>
      <c r="H53" s="547" t="s">
        <v>814</v>
      </c>
      <c r="I53" s="561">
        <v>4.24</v>
      </c>
      <c r="J53" s="561">
        <v>100</v>
      </c>
      <c r="K53" s="562">
        <v>424</v>
      </c>
    </row>
    <row r="54" spans="1:11" ht="14.4" customHeight="1" x14ac:dyDescent="0.3">
      <c r="A54" s="543" t="s">
        <v>470</v>
      </c>
      <c r="B54" s="544" t="s">
        <v>614</v>
      </c>
      <c r="C54" s="547" t="s">
        <v>483</v>
      </c>
      <c r="D54" s="575" t="s">
        <v>616</v>
      </c>
      <c r="E54" s="547" t="s">
        <v>1099</v>
      </c>
      <c r="F54" s="575" t="s">
        <v>1100</v>
      </c>
      <c r="G54" s="547" t="s">
        <v>772</v>
      </c>
      <c r="H54" s="547" t="s">
        <v>773</v>
      </c>
      <c r="I54" s="561">
        <v>15</v>
      </c>
      <c r="J54" s="561">
        <v>86</v>
      </c>
      <c r="K54" s="562">
        <v>1290</v>
      </c>
    </row>
    <row r="55" spans="1:11" ht="14.4" customHeight="1" x14ac:dyDescent="0.3">
      <c r="A55" s="543" t="s">
        <v>470</v>
      </c>
      <c r="B55" s="544" t="s">
        <v>614</v>
      </c>
      <c r="C55" s="547" t="s">
        <v>483</v>
      </c>
      <c r="D55" s="575" t="s">
        <v>616</v>
      </c>
      <c r="E55" s="547" t="s">
        <v>1099</v>
      </c>
      <c r="F55" s="575" t="s">
        <v>1100</v>
      </c>
      <c r="G55" s="547" t="s">
        <v>815</v>
      </c>
      <c r="H55" s="547" t="s">
        <v>816</v>
      </c>
      <c r="I55" s="561">
        <v>25.53</v>
      </c>
      <c r="J55" s="561">
        <v>10</v>
      </c>
      <c r="K55" s="562">
        <v>255.3</v>
      </c>
    </row>
    <row r="56" spans="1:11" ht="14.4" customHeight="1" x14ac:dyDescent="0.3">
      <c r="A56" s="543" t="s">
        <v>470</v>
      </c>
      <c r="B56" s="544" t="s">
        <v>614</v>
      </c>
      <c r="C56" s="547" t="s">
        <v>483</v>
      </c>
      <c r="D56" s="575" t="s">
        <v>616</v>
      </c>
      <c r="E56" s="547" t="s">
        <v>1099</v>
      </c>
      <c r="F56" s="575" t="s">
        <v>1100</v>
      </c>
      <c r="G56" s="547" t="s">
        <v>817</v>
      </c>
      <c r="H56" s="547" t="s">
        <v>818</v>
      </c>
      <c r="I56" s="561">
        <v>2</v>
      </c>
      <c r="J56" s="561">
        <v>1000</v>
      </c>
      <c r="K56" s="562">
        <v>2001.34</v>
      </c>
    </row>
    <row r="57" spans="1:11" ht="14.4" customHeight="1" x14ac:dyDescent="0.3">
      <c r="A57" s="543" t="s">
        <v>470</v>
      </c>
      <c r="B57" s="544" t="s">
        <v>614</v>
      </c>
      <c r="C57" s="547" t="s">
        <v>483</v>
      </c>
      <c r="D57" s="575" t="s">
        <v>616</v>
      </c>
      <c r="E57" s="547" t="s">
        <v>1099</v>
      </c>
      <c r="F57" s="575" t="s">
        <v>1100</v>
      </c>
      <c r="G57" s="547" t="s">
        <v>819</v>
      </c>
      <c r="H57" s="547" t="s">
        <v>820</v>
      </c>
      <c r="I57" s="561">
        <v>2.0099999999999998</v>
      </c>
      <c r="J57" s="561">
        <v>1400</v>
      </c>
      <c r="K57" s="562">
        <v>2814</v>
      </c>
    </row>
    <row r="58" spans="1:11" ht="14.4" customHeight="1" x14ac:dyDescent="0.3">
      <c r="A58" s="543" t="s">
        <v>470</v>
      </c>
      <c r="B58" s="544" t="s">
        <v>614</v>
      </c>
      <c r="C58" s="547" t="s">
        <v>483</v>
      </c>
      <c r="D58" s="575" t="s">
        <v>616</v>
      </c>
      <c r="E58" s="547" t="s">
        <v>1099</v>
      </c>
      <c r="F58" s="575" t="s">
        <v>1100</v>
      </c>
      <c r="G58" s="547" t="s">
        <v>821</v>
      </c>
      <c r="H58" s="547" t="s">
        <v>822</v>
      </c>
      <c r="I58" s="561">
        <v>209.5</v>
      </c>
      <c r="J58" s="561">
        <v>2</v>
      </c>
      <c r="K58" s="562">
        <v>419</v>
      </c>
    </row>
    <row r="59" spans="1:11" ht="14.4" customHeight="1" x14ac:dyDescent="0.3">
      <c r="A59" s="543" t="s">
        <v>470</v>
      </c>
      <c r="B59" s="544" t="s">
        <v>614</v>
      </c>
      <c r="C59" s="547" t="s">
        <v>483</v>
      </c>
      <c r="D59" s="575" t="s">
        <v>616</v>
      </c>
      <c r="E59" s="547" t="s">
        <v>1099</v>
      </c>
      <c r="F59" s="575" t="s">
        <v>1100</v>
      </c>
      <c r="G59" s="547" t="s">
        <v>823</v>
      </c>
      <c r="H59" s="547" t="s">
        <v>824</v>
      </c>
      <c r="I59" s="561">
        <v>21.68</v>
      </c>
      <c r="J59" s="561">
        <v>250</v>
      </c>
      <c r="K59" s="562">
        <v>5420.8</v>
      </c>
    </row>
    <row r="60" spans="1:11" ht="14.4" customHeight="1" x14ac:dyDescent="0.3">
      <c r="A60" s="543" t="s">
        <v>470</v>
      </c>
      <c r="B60" s="544" t="s">
        <v>614</v>
      </c>
      <c r="C60" s="547" t="s">
        <v>483</v>
      </c>
      <c r="D60" s="575" t="s">
        <v>616</v>
      </c>
      <c r="E60" s="547" t="s">
        <v>1099</v>
      </c>
      <c r="F60" s="575" t="s">
        <v>1100</v>
      </c>
      <c r="G60" s="547" t="s">
        <v>825</v>
      </c>
      <c r="H60" s="547" t="s">
        <v>826</v>
      </c>
      <c r="I60" s="561">
        <v>523.92999999999995</v>
      </c>
      <c r="J60" s="561">
        <v>4</v>
      </c>
      <c r="K60" s="562">
        <v>2095.7199999999998</v>
      </c>
    </row>
    <row r="61" spans="1:11" ht="14.4" customHeight="1" x14ac:dyDescent="0.3">
      <c r="A61" s="543" t="s">
        <v>470</v>
      </c>
      <c r="B61" s="544" t="s">
        <v>614</v>
      </c>
      <c r="C61" s="547" t="s">
        <v>483</v>
      </c>
      <c r="D61" s="575" t="s">
        <v>616</v>
      </c>
      <c r="E61" s="547" t="s">
        <v>1099</v>
      </c>
      <c r="F61" s="575" t="s">
        <v>1100</v>
      </c>
      <c r="G61" s="547" t="s">
        <v>827</v>
      </c>
      <c r="H61" s="547" t="s">
        <v>828</v>
      </c>
      <c r="I61" s="561">
        <v>94.38</v>
      </c>
      <c r="J61" s="561">
        <v>5</v>
      </c>
      <c r="K61" s="562">
        <v>471.9</v>
      </c>
    </row>
    <row r="62" spans="1:11" ht="14.4" customHeight="1" x14ac:dyDescent="0.3">
      <c r="A62" s="543" t="s">
        <v>470</v>
      </c>
      <c r="B62" s="544" t="s">
        <v>614</v>
      </c>
      <c r="C62" s="547" t="s">
        <v>483</v>
      </c>
      <c r="D62" s="575" t="s">
        <v>616</v>
      </c>
      <c r="E62" s="547" t="s">
        <v>1099</v>
      </c>
      <c r="F62" s="575" t="s">
        <v>1100</v>
      </c>
      <c r="G62" s="547" t="s">
        <v>829</v>
      </c>
      <c r="H62" s="547" t="s">
        <v>830</v>
      </c>
      <c r="I62" s="561">
        <v>8223.81</v>
      </c>
      <c r="J62" s="561">
        <v>1</v>
      </c>
      <c r="K62" s="562">
        <v>8223.81</v>
      </c>
    </row>
    <row r="63" spans="1:11" ht="14.4" customHeight="1" x14ac:dyDescent="0.3">
      <c r="A63" s="543" t="s">
        <v>470</v>
      </c>
      <c r="B63" s="544" t="s">
        <v>614</v>
      </c>
      <c r="C63" s="547" t="s">
        <v>483</v>
      </c>
      <c r="D63" s="575" t="s">
        <v>616</v>
      </c>
      <c r="E63" s="547" t="s">
        <v>1099</v>
      </c>
      <c r="F63" s="575" t="s">
        <v>1100</v>
      </c>
      <c r="G63" s="547" t="s">
        <v>831</v>
      </c>
      <c r="H63" s="547" t="s">
        <v>832</v>
      </c>
      <c r="I63" s="561">
        <v>4.45</v>
      </c>
      <c r="J63" s="561">
        <v>480</v>
      </c>
      <c r="K63" s="562">
        <v>2134.44</v>
      </c>
    </row>
    <row r="64" spans="1:11" ht="14.4" customHeight="1" x14ac:dyDescent="0.3">
      <c r="A64" s="543" t="s">
        <v>470</v>
      </c>
      <c r="B64" s="544" t="s">
        <v>614</v>
      </c>
      <c r="C64" s="547" t="s">
        <v>483</v>
      </c>
      <c r="D64" s="575" t="s">
        <v>616</v>
      </c>
      <c r="E64" s="547" t="s">
        <v>1099</v>
      </c>
      <c r="F64" s="575" t="s">
        <v>1100</v>
      </c>
      <c r="G64" s="547" t="s">
        <v>833</v>
      </c>
      <c r="H64" s="547" t="s">
        <v>834</v>
      </c>
      <c r="I64" s="561">
        <v>33.49</v>
      </c>
      <c r="J64" s="561">
        <v>125</v>
      </c>
      <c r="K64" s="562">
        <v>4185.63</v>
      </c>
    </row>
    <row r="65" spans="1:11" ht="14.4" customHeight="1" x14ac:dyDescent="0.3">
      <c r="A65" s="543" t="s">
        <v>470</v>
      </c>
      <c r="B65" s="544" t="s">
        <v>614</v>
      </c>
      <c r="C65" s="547" t="s">
        <v>483</v>
      </c>
      <c r="D65" s="575" t="s">
        <v>616</v>
      </c>
      <c r="E65" s="547" t="s">
        <v>1099</v>
      </c>
      <c r="F65" s="575" t="s">
        <v>1100</v>
      </c>
      <c r="G65" s="547" t="s">
        <v>835</v>
      </c>
      <c r="H65" s="547" t="s">
        <v>836</v>
      </c>
      <c r="I65" s="561">
        <v>1943.865</v>
      </c>
      <c r="J65" s="561">
        <v>6</v>
      </c>
      <c r="K65" s="562">
        <v>11660.769999999999</v>
      </c>
    </row>
    <row r="66" spans="1:11" ht="14.4" customHeight="1" x14ac:dyDescent="0.3">
      <c r="A66" s="543" t="s">
        <v>470</v>
      </c>
      <c r="B66" s="544" t="s">
        <v>614</v>
      </c>
      <c r="C66" s="547" t="s">
        <v>483</v>
      </c>
      <c r="D66" s="575" t="s">
        <v>616</v>
      </c>
      <c r="E66" s="547" t="s">
        <v>1099</v>
      </c>
      <c r="F66" s="575" t="s">
        <v>1100</v>
      </c>
      <c r="G66" s="547" t="s">
        <v>837</v>
      </c>
      <c r="H66" s="547" t="s">
        <v>838</v>
      </c>
      <c r="I66" s="561">
        <v>49.01</v>
      </c>
      <c r="J66" s="561">
        <v>40</v>
      </c>
      <c r="K66" s="562">
        <v>1960.2</v>
      </c>
    </row>
    <row r="67" spans="1:11" ht="14.4" customHeight="1" x14ac:dyDescent="0.3">
      <c r="A67" s="543" t="s">
        <v>470</v>
      </c>
      <c r="B67" s="544" t="s">
        <v>614</v>
      </c>
      <c r="C67" s="547" t="s">
        <v>483</v>
      </c>
      <c r="D67" s="575" t="s">
        <v>616</v>
      </c>
      <c r="E67" s="547" t="s">
        <v>1099</v>
      </c>
      <c r="F67" s="575" t="s">
        <v>1100</v>
      </c>
      <c r="G67" s="547" t="s">
        <v>839</v>
      </c>
      <c r="H67" s="547" t="s">
        <v>840</v>
      </c>
      <c r="I67" s="561">
        <v>68.73</v>
      </c>
      <c r="J67" s="561">
        <v>100</v>
      </c>
      <c r="K67" s="562">
        <v>6872.8</v>
      </c>
    </row>
    <row r="68" spans="1:11" ht="14.4" customHeight="1" x14ac:dyDescent="0.3">
      <c r="A68" s="543" t="s">
        <v>470</v>
      </c>
      <c r="B68" s="544" t="s">
        <v>614</v>
      </c>
      <c r="C68" s="547" t="s">
        <v>483</v>
      </c>
      <c r="D68" s="575" t="s">
        <v>616</v>
      </c>
      <c r="E68" s="547" t="s">
        <v>1099</v>
      </c>
      <c r="F68" s="575" t="s">
        <v>1100</v>
      </c>
      <c r="G68" s="547" t="s">
        <v>841</v>
      </c>
      <c r="H68" s="547" t="s">
        <v>842</v>
      </c>
      <c r="I68" s="561">
        <v>3.61</v>
      </c>
      <c r="J68" s="561">
        <v>100</v>
      </c>
      <c r="K68" s="562">
        <v>360.58</v>
      </c>
    </row>
    <row r="69" spans="1:11" ht="14.4" customHeight="1" x14ac:dyDescent="0.3">
      <c r="A69" s="543" t="s">
        <v>470</v>
      </c>
      <c r="B69" s="544" t="s">
        <v>614</v>
      </c>
      <c r="C69" s="547" t="s">
        <v>483</v>
      </c>
      <c r="D69" s="575" t="s">
        <v>616</v>
      </c>
      <c r="E69" s="547" t="s">
        <v>1099</v>
      </c>
      <c r="F69" s="575" t="s">
        <v>1100</v>
      </c>
      <c r="G69" s="547" t="s">
        <v>843</v>
      </c>
      <c r="H69" s="547" t="s">
        <v>844</v>
      </c>
      <c r="I69" s="561">
        <v>5.51</v>
      </c>
      <c r="J69" s="561">
        <v>500</v>
      </c>
      <c r="K69" s="562">
        <v>2756.38</v>
      </c>
    </row>
    <row r="70" spans="1:11" ht="14.4" customHeight="1" x14ac:dyDescent="0.3">
      <c r="A70" s="543" t="s">
        <v>470</v>
      </c>
      <c r="B70" s="544" t="s">
        <v>614</v>
      </c>
      <c r="C70" s="547" t="s">
        <v>483</v>
      </c>
      <c r="D70" s="575" t="s">
        <v>616</v>
      </c>
      <c r="E70" s="547" t="s">
        <v>1099</v>
      </c>
      <c r="F70" s="575" t="s">
        <v>1100</v>
      </c>
      <c r="G70" s="547" t="s">
        <v>845</v>
      </c>
      <c r="H70" s="547" t="s">
        <v>846</v>
      </c>
      <c r="I70" s="561">
        <v>22408.720000000001</v>
      </c>
      <c r="J70" s="561">
        <v>1</v>
      </c>
      <c r="K70" s="562">
        <v>22408.720000000001</v>
      </c>
    </row>
    <row r="71" spans="1:11" ht="14.4" customHeight="1" x14ac:dyDescent="0.3">
      <c r="A71" s="543" t="s">
        <v>470</v>
      </c>
      <c r="B71" s="544" t="s">
        <v>614</v>
      </c>
      <c r="C71" s="547" t="s">
        <v>483</v>
      </c>
      <c r="D71" s="575" t="s">
        <v>616</v>
      </c>
      <c r="E71" s="547" t="s">
        <v>1107</v>
      </c>
      <c r="F71" s="575" t="s">
        <v>1108</v>
      </c>
      <c r="G71" s="547" t="s">
        <v>847</v>
      </c>
      <c r="H71" s="547" t="s">
        <v>848</v>
      </c>
      <c r="I71" s="561">
        <v>2.2050000000000001</v>
      </c>
      <c r="J71" s="561">
        <v>2048</v>
      </c>
      <c r="K71" s="562">
        <v>4519.96</v>
      </c>
    </row>
    <row r="72" spans="1:11" ht="14.4" customHeight="1" x14ac:dyDescent="0.3">
      <c r="A72" s="543" t="s">
        <v>470</v>
      </c>
      <c r="B72" s="544" t="s">
        <v>614</v>
      </c>
      <c r="C72" s="547" t="s">
        <v>483</v>
      </c>
      <c r="D72" s="575" t="s">
        <v>616</v>
      </c>
      <c r="E72" s="547" t="s">
        <v>1107</v>
      </c>
      <c r="F72" s="575" t="s">
        <v>1108</v>
      </c>
      <c r="G72" s="547" t="s">
        <v>849</v>
      </c>
      <c r="H72" s="547" t="s">
        <v>850</v>
      </c>
      <c r="I72" s="561">
        <v>1.4000000000000001</v>
      </c>
      <c r="J72" s="561">
        <v>5300</v>
      </c>
      <c r="K72" s="562">
        <v>7420</v>
      </c>
    </row>
    <row r="73" spans="1:11" ht="14.4" customHeight="1" x14ac:dyDescent="0.3">
      <c r="A73" s="543" t="s">
        <v>470</v>
      </c>
      <c r="B73" s="544" t="s">
        <v>614</v>
      </c>
      <c r="C73" s="547" t="s">
        <v>483</v>
      </c>
      <c r="D73" s="575" t="s">
        <v>616</v>
      </c>
      <c r="E73" s="547" t="s">
        <v>1107</v>
      </c>
      <c r="F73" s="575" t="s">
        <v>1108</v>
      </c>
      <c r="G73" s="547" t="s">
        <v>851</v>
      </c>
      <c r="H73" s="547" t="s">
        <v>852</v>
      </c>
      <c r="I73" s="561">
        <v>0.41</v>
      </c>
      <c r="J73" s="561">
        <v>9000</v>
      </c>
      <c r="K73" s="562">
        <v>3678.7999999999997</v>
      </c>
    </row>
    <row r="74" spans="1:11" ht="14.4" customHeight="1" x14ac:dyDescent="0.3">
      <c r="A74" s="543" t="s">
        <v>470</v>
      </c>
      <c r="B74" s="544" t="s">
        <v>614</v>
      </c>
      <c r="C74" s="547" t="s">
        <v>483</v>
      </c>
      <c r="D74" s="575" t="s">
        <v>616</v>
      </c>
      <c r="E74" s="547" t="s">
        <v>1107</v>
      </c>
      <c r="F74" s="575" t="s">
        <v>1108</v>
      </c>
      <c r="G74" s="547" t="s">
        <v>851</v>
      </c>
      <c r="H74" s="547" t="s">
        <v>853</v>
      </c>
      <c r="I74" s="561">
        <v>0.44666666666666671</v>
      </c>
      <c r="J74" s="561">
        <v>19960</v>
      </c>
      <c r="K74" s="562">
        <v>8590.2000000000007</v>
      </c>
    </row>
    <row r="75" spans="1:11" ht="14.4" customHeight="1" x14ac:dyDescent="0.3">
      <c r="A75" s="543" t="s">
        <v>470</v>
      </c>
      <c r="B75" s="544" t="s">
        <v>614</v>
      </c>
      <c r="C75" s="547" t="s">
        <v>483</v>
      </c>
      <c r="D75" s="575" t="s">
        <v>616</v>
      </c>
      <c r="E75" s="547" t="s">
        <v>1107</v>
      </c>
      <c r="F75" s="575" t="s">
        <v>1108</v>
      </c>
      <c r="G75" s="547" t="s">
        <v>854</v>
      </c>
      <c r="H75" s="547" t="s">
        <v>855</v>
      </c>
      <c r="I75" s="561">
        <v>0.13222222222222221</v>
      </c>
      <c r="J75" s="561">
        <v>42000</v>
      </c>
      <c r="K75" s="562">
        <v>5540.5</v>
      </c>
    </row>
    <row r="76" spans="1:11" ht="14.4" customHeight="1" x14ac:dyDescent="0.3">
      <c r="A76" s="543" t="s">
        <v>470</v>
      </c>
      <c r="B76" s="544" t="s">
        <v>614</v>
      </c>
      <c r="C76" s="547" t="s">
        <v>483</v>
      </c>
      <c r="D76" s="575" t="s">
        <v>616</v>
      </c>
      <c r="E76" s="547" t="s">
        <v>1107</v>
      </c>
      <c r="F76" s="575" t="s">
        <v>1108</v>
      </c>
      <c r="G76" s="547" t="s">
        <v>856</v>
      </c>
      <c r="H76" s="547" t="s">
        <v>857</v>
      </c>
      <c r="I76" s="561">
        <v>1.65</v>
      </c>
      <c r="J76" s="561">
        <v>4000</v>
      </c>
      <c r="K76" s="562">
        <v>6582.4</v>
      </c>
    </row>
    <row r="77" spans="1:11" ht="14.4" customHeight="1" x14ac:dyDescent="0.3">
      <c r="A77" s="543" t="s">
        <v>470</v>
      </c>
      <c r="B77" s="544" t="s">
        <v>614</v>
      </c>
      <c r="C77" s="547" t="s">
        <v>483</v>
      </c>
      <c r="D77" s="575" t="s">
        <v>616</v>
      </c>
      <c r="E77" s="547" t="s">
        <v>1107</v>
      </c>
      <c r="F77" s="575" t="s">
        <v>1108</v>
      </c>
      <c r="G77" s="547" t="s">
        <v>858</v>
      </c>
      <c r="H77" s="547" t="s">
        <v>859</v>
      </c>
      <c r="I77" s="561">
        <v>33.880000000000003</v>
      </c>
      <c r="J77" s="561">
        <v>10</v>
      </c>
      <c r="K77" s="562">
        <v>338.8</v>
      </c>
    </row>
    <row r="78" spans="1:11" ht="14.4" customHeight="1" x14ac:dyDescent="0.3">
      <c r="A78" s="543" t="s">
        <v>470</v>
      </c>
      <c r="B78" s="544" t="s">
        <v>614</v>
      </c>
      <c r="C78" s="547" t="s">
        <v>483</v>
      </c>
      <c r="D78" s="575" t="s">
        <v>616</v>
      </c>
      <c r="E78" s="547" t="s">
        <v>1107</v>
      </c>
      <c r="F78" s="575" t="s">
        <v>1108</v>
      </c>
      <c r="G78" s="547" t="s">
        <v>860</v>
      </c>
      <c r="H78" s="547" t="s">
        <v>861</v>
      </c>
      <c r="I78" s="561">
        <v>20.329999999999998</v>
      </c>
      <c r="J78" s="561">
        <v>125</v>
      </c>
      <c r="K78" s="562">
        <v>2541</v>
      </c>
    </row>
    <row r="79" spans="1:11" ht="14.4" customHeight="1" x14ac:dyDescent="0.3">
      <c r="A79" s="543" t="s">
        <v>470</v>
      </c>
      <c r="B79" s="544" t="s">
        <v>614</v>
      </c>
      <c r="C79" s="547" t="s">
        <v>483</v>
      </c>
      <c r="D79" s="575" t="s">
        <v>616</v>
      </c>
      <c r="E79" s="547" t="s">
        <v>1107</v>
      </c>
      <c r="F79" s="575" t="s">
        <v>1108</v>
      </c>
      <c r="G79" s="547" t="s">
        <v>862</v>
      </c>
      <c r="H79" s="547" t="s">
        <v>863</v>
      </c>
      <c r="I79" s="561">
        <v>0.66500000000000004</v>
      </c>
      <c r="J79" s="561">
        <v>6000</v>
      </c>
      <c r="K79" s="562">
        <v>4005.4</v>
      </c>
    </row>
    <row r="80" spans="1:11" ht="14.4" customHeight="1" x14ac:dyDescent="0.3">
      <c r="A80" s="543" t="s">
        <v>470</v>
      </c>
      <c r="B80" s="544" t="s">
        <v>614</v>
      </c>
      <c r="C80" s="547" t="s">
        <v>483</v>
      </c>
      <c r="D80" s="575" t="s">
        <v>616</v>
      </c>
      <c r="E80" s="547" t="s">
        <v>1107</v>
      </c>
      <c r="F80" s="575" t="s">
        <v>1108</v>
      </c>
      <c r="G80" s="547" t="s">
        <v>864</v>
      </c>
      <c r="H80" s="547" t="s">
        <v>865</v>
      </c>
      <c r="I80" s="561">
        <v>0.66</v>
      </c>
      <c r="J80" s="561">
        <v>700</v>
      </c>
      <c r="K80" s="562">
        <v>462</v>
      </c>
    </row>
    <row r="81" spans="1:11" ht="14.4" customHeight="1" x14ac:dyDescent="0.3">
      <c r="A81" s="543" t="s">
        <v>470</v>
      </c>
      <c r="B81" s="544" t="s">
        <v>614</v>
      </c>
      <c r="C81" s="547" t="s">
        <v>483</v>
      </c>
      <c r="D81" s="575" t="s">
        <v>616</v>
      </c>
      <c r="E81" s="547" t="s">
        <v>1107</v>
      </c>
      <c r="F81" s="575" t="s">
        <v>1108</v>
      </c>
      <c r="G81" s="547" t="s">
        <v>866</v>
      </c>
      <c r="H81" s="547" t="s">
        <v>867</v>
      </c>
      <c r="I81" s="561">
        <v>128.5</v>
      </c>
      <c r="J81" s="561">
        <v>50</v>
      </c>
      <c r="K81" s="562">
        <v>6425.1</v>
      </c>
    </row>
    <row r="82" spans="1:11" ht="14.4" customHeight="1" x14ac:dyDescent="0.3">
      <c r="A82" s="543" t="s">
        <v>470</v>
      </c>
      <c r="B82" s="544" t="s">
        <v>614</v>
      </c>
      <c r="C82" s="547" t="s">
        <v>483</v>
      </c>
      <c r="D82" s="575" t="s">
        <v>616</v>
      </c>
      <c r="E82" s="547" t="s">
        <v>1107</v>
      </c>
      <c r="F82" s="575" t="s">
        <v>1108</v>
      </c>
      <c r="G82" s="547" t="s">
        <v>868</v>
      </c>
      <c r="H82" s="547" t="s">
        <v>869</v>
      </c>
      <c r="I82" s="561">
        <v>2.68</v>
      </c>
      <c r="J82" s="561">
        <v>1920</v>
      </c>
      <c r="K82" s="562">
        <v>5154.6000000000004</v>
      </c>
    </row>
    <row r="83" spans="1:11" ht="14.4" customHeight="1" x14ac:dyDescent="0.3">
      <c r="A83" s="543" t="s">
        <v>470</v>
      </c>
      <c r="B83" s="544" t="s">
        <v>614</v>
      </c>
      <c r="C83" s="547" t="s">
        <v>483</v>
      </c>
      <c r="D83" s="575" t="s">
        <v>616</v>
      </c>
      <c r="E83" s="547" t="s">
        <v>1107</v>
      </c>
      <c r="F83" s="575" t="s">
        <v>1108</v>
      </c>
      <c r="G83" s="547" t="s">
        <v>870</v>
      </c>
      <c r="H83" s="547" t="s">
        <v>871</v>
      </c>
      <c r="I83" s="561">
        <v>0.27750000000000002</v>
      </c>
      <c r="J83" s="561">
        <v>4000</v>
      </c>
      <c r="K83" s="562">
        <v>1101.1000000000001</v>
      </c>
    </row>
    <row r="84" spans="1:11" ht="14.4" customHeight="1" x14ac:dyDescent="0.3">
      <c r="A84" s="543" t="s">
        <v>470</v>
      </c>
      <c r="B84" s="544" t="s">
        <v>614</v>
      </c>
      <c r="C84" s="547" t="s">
        <v>483</v>
      </c>
      <c r="D84" s="575" t="s">
        <v>616</v>
      </c>
      <c r="E84" s="547" t="s">
        <v>1107</v>
      </c>
      <c r="F84" s="575" t="s">
        <v>1108</v>
      </c>
      <c r="G84" s="547" t="s">
        <v>872</v>
      </c>
      <c r="H84" s="547" t="s">
        <v>873</v>
      </c>
      <c r="I84" s="561">
        <v>2940.3</v>
      </c>
      <c r="J84" s="561">
        <v>1</v>
      </c>
      <c r="K84" s="562">
        <v>2940.3</v>
      </c>
    </row>
    <row r="85" spans="1:11" ht="14.4" customHeight="1" x14ac:dyDescent="0.3">
      <c r="A85" s="543" t="s">
        <v>470</v>
      </c>
      <c r="B85" s="544" t="s">
        <v>614</v>
      </c>
      <c r="C85" s="547" t="s">
        <v>483</v>
      </c>
      <c r="D85" s="575" t="s">
        <v>616</v>
      </c>
      <c r="E85" s="547" t="s">
        <v>1107</v>
      </c>
      <c r="F85" s="575" t="s">
        <v>1108</v>
      </c>
      <c r="G85" s="547" t="s">
        <v>874</v>
      </c>
      <c r="H85" s="547" t="s">
        <v>875</v>
      </c>
      <c r="I85" s="561">
        <v>0.71</v>
      </c>
      <c r="J85" s="561">
        <v>1000</v>
      </c>
      <c r="K85" s="562">
        <v>713.9</v>
      </c>
    </row>
    <row r="86" spans="1:11" ht="14.4" customHeight="1" x14ac:dyDescent="0.3">
      <c r="A86" s="543" t="s">
        <v>470</v>
      </c>
      <c r="B86" s="544" t="s">
        <v>614</v>
      </c>
      <c r="C86" s="547" t="s">
        <v>483</v>
      </c>
      <c r="D86" s="575" t="s">
        <v>616</v>
      </c>
      <c r="E86" s="547" t="s">
        <v>1107</v>
      </c>
      <c r="F86" s="575" t="s">
        <v>1108</v>
      </c>
      <c r="G86" s="547" t="s">
        <v>876</v>
      </c>
      <c r="H86" s="547" t="s">
        <v>877</v>
      </c>
      <c r="I86" s="561">
        <v>1246.3</v>
      </c>
      <c r="J86" s="561">
        <v>1</v>
      </c>
      <c r="K86" s="562">
        <v>1246.3</v>
      </c>
    </row>
    <row r="87" spans="1:11" ht="14.4" customHeight="1" x14ac:dyDescent="0.3">
      <c r="A87" s="543" t="s">
        <v>470</v>
      </c>
      <c r="B87" s="544" t="s">
        <v>614</v>
      </c>
      <c r="C87" s="547" t="s">
        <v>483</v>
      </c>
      <c r="D87" s="575" t="s">
        <v>616</v>
      </c>
      <c r="E87" s="547" t="s">
        <v>1107</v>
      </c>
      <c r="F87" s="575" t="s">
        <v>1108</v>
      </c>
      <c r="G87" s="547" t="s">
        <v>876</v>
      </c>
      <c r="H87" s="547" t="s">
        <v>878</v>
      </c>
      <c r="I87" s="561">
        <v>1283</v>
      </c>
      <c r="J87" s="561">
        <v>1</v>
      </c>
      <c r="K87" s="562">
        <v>1283</v>
      </c>
    </row>
    <row r="88" spans="1:11" ht="14.4" customHeight="1" x14ac:dyDescent="0.3">
      <c r="A88" s="543" t="s">
        <v>470</v>
      </c>
      <c r="B88" s="544" t="s">
        <v>614</v>
      </c>
      <c r="C88" s="547" t="s">
        <v>483</v>
      </c>
      <c r="D88" s="575" t="s">
        <v>616</v>
      </c>
      <c r="E88" s="547" t="s">
        <v>1107</v>
      </c>
      <c r="F88" s="575" t="s">
        <v>1108</v>
      </c>
      <c r="G88" s="547" t="s">
        <v>879</v>
      </c>
      <c r="H88" s="547" t="s">
        <v>880</v>
      </c>
      <c r="I88" s="561">
        <v>39.450000000000003</v>
      </c>
      <c r="J88" s="561">
        <v>200</v>
      </c>
      <c r="K88" s="562">
        <v>7889.2</v>
      </c>
    </row>
    <row r="89" spans="1:11" ht="14.4" customHeight="1" x14ac:dyDescent="0.3">
      <c r="A89" s="543" t="s">
        <v>470</v>
      </c>
      <c r="B89" s="544" t="s">
        <v>614</v>
      </c>
      <c r="C89" s="547" t="s">
        <v>483</v>
      </c>
      <c r="D89" s="575" t="s">
        <v>616</v>
      </c>
      <c r="E89" s="547" t="s">
        <v>1107</v>
      </c>
      <c r="F89" s="575" t="s">
        <v>1108</v>
      </c>
      <c r="G89" s="547" t="s">
        <v>881</v>
      </c>
      <c r="H89" s="547" t="s">
        <v>882</v>
      </c>
      <c r="I89" s="561">
        <v>3.84</v>
      </c>
      <c r="J89" s="561">
        <v>864</v>
      </c>
      <c r="K89" s="562">
        <v>3319.03</v>
      </c>
    </row>
    <row r="90" spans="1:11" ht="14.4" customHeight="1" x14ac:dyDescent="0.3">
      <c r="A90" s="543" t="s">
        <v>470</v>
      </c>
      <c r="B90" s="544" t="s">
        <v>614</v>
      </c>
      <c r="C90" s="547" t="s">
        <v>483</v>
      </c>
      <c r="D90" s="575" t="s">
        <v>616</v>
      </c>
      <c r="E90" s="547" t="s">
        <v>1107</v>
      </c>
      <c r="F90" s="575" t="s">
        <v>1108</v>
      </c>
      <c r="G90" s="547" t="s">
        <v>881</v>
      </c>
      <c r="H90" s="547" t="s">
        <v>883</v>
      </c>
      <c r="I90" s="561">
        <v>3.8540000000000001</v>
      </c>
      <c r="J90" s="561">
        <v>3840</v>
      </c>
      <c r="K90" s="562">
        <v>14680.05</v>
      </c>
    </row>
    <row r="91" spans="1:11" ht="14.4" customHeight="1" x14ac:dyDescent="0.3">
      <c r="A91" s="543" t="s">
        <v>470</v>
      </c>
      <c r="B91" s="544" t="s">
        <v>614</v>
      </c>
      <c r="C91" s="547" t="s">
        <v>483</v>
      </c>
      <c r="D91" s="575" t="s">
        <v>616</v>
      </c>
      <c r="E91" s="547" t="s">
        <v>1107</v>
      </c>
      <c r="F91" s="575" t="s">
        <v>1108</v>
      </c>
      <c r="G91" s="547" t="s">
        <v>884</v>
      </c>
      <c r="H91" s="547" t="s">
        <v>885</v>
      </c>
      <c r="I91" s="561">
        <v>2.5099999999999998</v>
      </c>
      <c r="J91" s="561">
        <v>2880</v>
      </c>
      <c r="K91" s="562">
        <v>7223.7000000000007</v>
      </c>
    </row>
    <row r="92" spans="1:11" ht="14.4" customHeight="1" x14ac:dyDescent="0.3">
      <c r="A92" s="543" t="s">
        <v>470</v>
      </c>
      <c r="B92" s="544" t="s">
        <v>614</v>
      </c>
      <c r="C92" s="547" t="s">
        <v>483</v>
      </c>
      <c r="D92" s="575" t="s">
        <v>616</v>
      </c>
      <c r="E92" s="547" t="s">
        <v>1107</v>
      </c>
      <c r="F92" s="575" t="s">
        <v>1108</v>
      </c>
      <c r="G92" s="547" t="s">
        <v>886</v>
      </c>
      <c r="H92" s="547" t="s">
        <v>887</v>
      </c>
      <c r="I92" s="561">
        <v>37.51</v>
      </c>
      <c r="J92" s="561">
        <v>10</v>
      </c>
      <c r="K92" s="562">
        <v>375.1</v>
      </c>
    </row>
    <row r="93" spans="1:11" ht="14.4" customHeight="1" x14ac:dyDescent="0.3">
      <c r="A93" s="543" t="s">
        <v>470</v>
      </c>
      <c r="B93" s="544" t="s">
        <v>614</v>
      </c>
      <c r="C93" s="547" t="s">
        <v>483</v>
      </c>
      <c r="D93" s="575" t="s">
        <v>616</v>
      </c>
      <c r="E93" s="547" t="s">
        <v>1107</v>
      </c>
      <c r="F93" s="575" t="s">
        <v>1108</v>
      </c>
      <c r="G93" s="547" t="s">
        <v>888</v>
      </c>
      <c r="H93" s="547" t="s">
        <v>889</v>
      </c>
      <c r="I93" s="561">
        <v>30.98</v>
      </c>
      <c r="J93" s="561">
        <v>5</v>
      </c>
      <c r="K93" s="562">
        <v>154.88</v>
      </c>
    </row>
    <row r="94" spans="1:11" ht="14.4" customHeight="1" x14ac:dyDescent="0.3">
      <c r="A94" s="543" t="s">
        <v>470</v>
      </c>
      <c r="B94" s="544" t="s">
        <v>614</v>
      </c>
      <c r="C94" s="547" t="s">
        <v>483</v>
      </c>
      <c r="D94" s="575" t="s">
        <v>616</v>
      </c>
      <c r="E94" s="547" t="s">
        <v>1107</v>
      </c>
      <c r="F94" s="575" t="s">
        <v>1108</v>
      </c>
      <c r="G94" s="547" t="s">
        <v>890</v>
      </c>
      <c r="H94" s="547" t="s">
        <v>891</v>
      </c>
      <c r="I94" s="561">
        <v>2.16</v>
      </c>
      <c r="J94" s="561">
        <v>1024</v>
      </c>
      <c r="K94" s="562">
        <v>2210.67</v>
      </c>
    </row>
    <row r="95" spans="1:11" ht="14.4" customHeight="1" x14ac:dyDescent="0.3">
      <c r="A95" s="543" t="s">
        <v>470</v>
      </c>
      <c r="B95" s="544" t="s">
        <v>614</v>
      </c>
      <c r="C95" s="547" t="s">
        <v>483</v>
      </c>
      <c r="D95" s="575" t="s">
        <v>616</v>
      </c>
      <c r="E95" s="547" t="s">
        <v>1107</v>
      </c>
      <c r="F95" s="575" t="s">
        <v>1108</v>
      </c>
      <c r="G95" s="547" t="s">
        <v>892</v>
      </c>
      <c r="H95" s="547" t="s">
        <v>893</v>
      </c>
      <c r="I95" s="561">
        <v>3.75</v>
      </c>
      <c r="J95" s="561">
        <v>192</v>
      </c>
      <c r="K95" s="562">
        <v>719.62</v>
      </c>
    </row>
    <row r="96" spans="1:11" ht="14.4" customHeight="1" x14ac:dyDescent="0.3">
      <c r="A96" s="543" t="s">
        <v>470</v>
      </c>
      <c r="B96" s="544" t="s">
        <v>614</v>
      </c>
      <c r="C96" s="547" t="s">
        <v>483</v>
      </c>
      <c r="D96" s="575" t="s">
        <v>616</v>
      </c>
      <c r="E96" s="547" t="s">
        <v>1107</v>
      </c>
      <c r="F96" s="575" t="s">
        <v>1108</v>
      </c>
      <c r="G96" s="547" t="s">
        <v>894</v>
      </c>
      <c r="H96" s="547" t="s">
        <v>895</v>
      </c>
      <c r="I96" s="561">
        <v>1.52</v>
      </c>
      <c r="J96" s="561">
        <v>2000</v>
      </c>
      <c r="K96" s="562">
        <v>3049.2</v>
      </c>
    </row>
    <row r="97" spans="1:11" ht="14.4" customHeight="1" x14ac:dyDescent="0.3">
      <c r="A97" s="543" t="s">
        <v>470</v>
      </c>
      <c r="B97" s="544" t="s">
        <v>614</v>
      </c>
      <c r="C97" s="547" t="s">
        <v>483</v>
      </c>
      <c r="D97" s="575" t="s">
        <v>616</v>
      </c>
      <c r="E97" s="547" t="s">
        <v>1107</v>
      </c>
      <c r="F97" s="575" t="s">
        <v>1108</v>
      </c>
      <c r="G97" s="547" t="s">
        <v>896</v>
      </c>
      <c r="H97" s="547" t="s">
        <v>897</v>
      </c>
      <c r="I97" s="561">
        <v>3.52</v>
      </c>
      <c r="J97" s="561">
        <v>960</v>
      </c>
      <c r="K97" s="562">
        <v>3375.9</v>
      </c>
    </row>
    <row r="98" spans="1:11" ht="14.4" customHeight="1" x14ac:dyDescent="0.3">
      <c r="A98" s="543" t="s">
        <v>470</v>
      </c>
      <c r="B98" s="544" t="s">
        <v>614</v>
      </c>
      <c r="C98" s="547" t="s">
        <v>483</v>
      </c>
      <c r="D98" s="575" t="s">
        <v>616</v>
      </c>
      <c r="E98" s="547" t="s">
        <v>1107</v>
      </c>
      <c r="F98" s="575" t="s">
        <v>1108</v>
      </c>
      <c r="G98" s="547" t="s">
        <v>898</v>
      </c>
      <c r="H98" s="547" t="s">
        <v>899</v>
      </c>
      <c r="I98" s="561">
        <v>2928.2</v>
      </c>
      <c r="J98" s="561">
        <v>1</v>
      </c>
      <c r="K98" s="562">
        <v>2928.2</v>
      </c>
    </row>
    <row r="99" spans="1:11" ht="14.4" customHeight="1" x14ac:dyDescent="0.3">
      <c r="A99" s="543" t="s">
        <v>470</v>
      </c>
      <c r="B99" s="544" t="s">
        <v>614</v>
      </c>
      <c r="C99" s="547" t="s">
        <v>483</v>
      </c>
      <c r="D99" s="575" t="s">
        <v>616</v>
      </c>
      <c r="E99" s="547" t="s">
        <v>1107</v>
      </c>
      <c r="F99" s="575" t="s">
        <v>1108</v>
      </c>
      <c r="G99" s="547" t="s">
        <v>900</v>
      </c>
      <c r="H99" s="547" t="s">
        <v>901</v>
      </c>
      <c r="I99" s="561">
        <v>21.41</v>
      </c>
      <c r="J99" s="561">
        <v>360</v>
      </c>
      <c r="K99" s="562">
        <v>7707.7</v>
      </c>
    </row>
    <row r="100" spans="1:11" ht="14.4" customHeight="1" x14ac:dyDescent="0.3">
      <c r="A100" s="543" t="s">
        <v>470</v>
      </c>
      <c r="B100" s="544" t="s">
        <v>614</v>
      </c>
      <c r="C100" s="547" t="s">
        <v>483</v>
      </c>
      <c r="D100" s="575" t="s">
        <v>616</v>
      </c>
      <c r="E100" s="547" t="s">
        <v>1103</v>
      </c>
      <c r="F100" s="575" t="s">
        <v>1104</v>
      </c>
      <c r="G100" s="547" t="s">
        <v>782</v>
      </c>
      <c r="H100" s="547" t="s">
        <v>783</v>
      </c>
      <c r="I100" s="561">
        <v>0.30333333333333334</v>
      </c>
      <c r="J100" s="561">
        <v>1100</v>
      </c>
      <c r="K100" s="562">
        <v>335</v>
      </c>
    </row>
    <row r="101" spans="1:11" ht="14.4" customHeight="1" x14ac:dyDescent="0.3">
      <c r="A101" s="543" t="s">
        <v>470</v>
      </c>
      <c r="B101" s="544" t="s">
        <v>614</v>
      </c>
      <c r="C101" s="547" t="s">
        <v>483</v>
      </c>
      <c r="D101" s="575" t="s">
        <v>616</v>
      </c>
      <c r="E101" s="547" t="s">
        <v>1103</v>
      </c>
      <c r="F101" s="575" t="s">
        <v>1104</v>
      </c>
      <c r="G101" s="547" t="s">
        <v>782</v>
      </c>
      <c r="H101" s="547" t="s">
        <v>902</v>
      </c>
      <c r="I101" s="561">
        <v>0.3</v>
      </c>
      <c r="J101" s="561">
        <v>300</v>
      </c>
      <c r="K101" s="562">
        <v>90</v>
      </c>
    </row>
    <row r="102" spans="1:11" ht="14.4" customHeight="1" x14ac:dyDescent="0.3">
      <c r="A102" s="543" t="s">
        <v>470</v>
      </c>
      <c r="B102" s="544" t="s">
        <v>614</v>
      </c>
      <c r="C102" s="547" t="s">
        <v>483</v>
      </c>
      <c r="D102" s="575" t="s">
        <v>616</v>
      </c>
      <c r="E102" s="547" t="s">
        <v>1105</v>
      </c>
      <c r="F102" s="575" t="s">
        <v>1106</v>
      </c>
      <c r="G102" s="547" t="s">
        <v>903</v>
      </c>
      <c r="H102" s="547" t="s">
        <v>904</v>
      </c>
      <c r="I102" s="561">
        <v>0.73499999999999999</v>
      </c>
      <c r="J102" s="561">
        <v>1200</v>
      </c>
      <c r="K102" s="562">
        <v>880.8</v>
      </c>
    </row>
    <row r="103" spans="1:11" ht="14.4" customHeight="1" x14ac:dyDescent="0.3">
      <c r="A103" s="543" t="s">
        <v>470</v>
      </c>
      <c r="B103" s="544" t="s">
        <v>614</v>
      </c>
      <c r="C103" s="547" t="s">
        <v>483</v>
      </c>
      <c r="D103" s="575" t="s">
        <v>616</v>
      </c>
      <c r="E103" s="547" t="s">
        <v>1105</v>
      </c>
      <c r="F103" s="575" t="s">
        <v>1106</v>
      </c>
      <c r="G103" s="547" t="s">
        <v>791</v>
      </c>
      <c r="H103" s="547" t="s">
        <v>792</v>
      </c>
      <c r="I103" s="561">
        <v>0.72</v>
      </c>
      <c r="J103" s="561">
        <v>400</v>
      </c>
      <c r="K103" s="562">
        <v>288.04000000000002</v>
      </c>
    </row>
    <row r="104" spans="1:11" ht="14.4" customHeight="1" x14ac:dyDescent="0.3">
      <c r="A104" s="543" t="s">
        <v>470</v>
      </c>
      <c r="B104" s="544" t="s">
        <v>614</v>
      </c>
      <c r="C104" s="547" t="s">
        <v>483</v>
      </c>
      <c r="D104" s="575" t="s">
        <v>616</v>
      </c>
      <c r="E104" s="547" t="s">
        <v>1105</v>
      </c>
      <c r="F104" s="575" t="s">
        <v>1106</v>
      </c>
      <c r="G104" s="547" t="s">
        <v>905</v>
      </c>
      <c r="H104" s="547" t="s">
        <v>906</v>
      </c>
      <c r="I104" s="561">
        <v>7.5</v>
      </c>
      <c r="J104" s="561">
        <v>240</v>
      </c>
      <c r="K104" s="562">
        <v>1800</v>
      </c>
    </row>
    <row r="105" spans="1:11" ht="14.4" customHeight="1" x14ac:dyDescent="0.3">
      <c r="A105" s="543" t="s">
        <v>470</v>
      </c>
      <c r="B105" s="544" t="s">
        <v>614</v>
      </c>
      <c r="C105" s="547" t="s">
        <v>483</v>
      </c>
      <c r="D105" s="575" t="s">
        <v>616</v>
      </c>
      <c r="E105" s="547" t="s">
        <v>1105</v>
      </c>
      <c r="F105" s="575" t="s">
        <v>1106</v>
      </c>
      <c r="G105" s="547" t="s">
        <v>907</v>
      </c>
      <c r="H105" s="547" t="s">
        <v>908</v>
      </c>
      <c r="I105" s="561">
        <v>0.77</v>
      </c>
      <c r="J105" s="561">
        <v>900</v>
      </c>
      <c r="K105" s="562">
        <v>693</v>
      </c>
    </row>
    <row r="106" spans="1:11" ht="14.4" customHeight="1" x14ac:dyDescent="0.3">
      <c r="A106" s="543" t="s">
        <v>470</v>
      </c>
      <c r="B106" s="544" t="s">
        <v>614</v>
      </c>
      <c r="C106" s="547" t="s">
        <v>483</v>
      </c>
      <c r="D106" s="575" t="s">
        <v>616</v>
      </c>
      <c r="E106" s="547" t="s">
        <v>1105</v>
      </c>
      <c r="F106" s="575" t="s">
        <v>1106</v>
      </c>
      <c r="G106" s="547" t="s">
        <v>797</v>
      </c>
      <c r="H106" s="547" t="s">
        <v>798</v>
      </c>
      <c r="I106" s="561">
        <v>0.71</v>
      </c>
      <c r="J106" s="561">
        <v>600</v>
      </c>
      <c r="K106" s="562">
        <v>426</v>
      </c>
    </row>
    <row r="107" spans="1:11" ht="14.4" customHeight="1" x14ac:dyDescent="0.3">
      <c r="A107" s="543" t="s">
        <v>470</v>
      </c>
      <c r="B107" s="544" t="s">
        <v>614</v>
      </c>
      <c r="C107" s="547" t="s">
        <v>483</v>
      </c>
      <c r="D107" s="575" t="s">
        <v>616</v>
      </c>
      <c r="E107" s="547" t="s">
        <v>1105</v>
      </c>
      <c r="F107" s="575" t="s">
        <v>1106</v>
      </c>
      <c r="G107" s="547" t="s">
        <v>909</v>
      </c>
      <c r="H107" s="547" t="s">
        <v>910</v>
      </c>
      <c r="I107" s="561">
        <v>0.71</v>
      </c>
      <c r="J107" s="561">
        <v>1400</v>
      </c>
      <c r="K107" s="562">
        <v>994</v>
      </c>
    </row>
    <row r="108" spans="1:11" ht="14.4" customHeight="1" x14ac:dyDescent="0.3">
      <c r="A108" s="543" t="s">
        <v>470</v>
      </c>
      <c r="B108" s="544" t="s">
        <v>614</v>
      </c>
      <c r="C108" s="547" t="s">
        <v>483</v>
      </c>
      <c r="D108" s="575" t="s">
        <v>616</v>
      </c>
      <c r="E108" s="547" t="s">
        <v>1109</v>
      </c>
      <c r="F108" s="575" t="s">
        <v>1110</v>
      </c>
      <c r="G108" s="547" t="s">
        <v>911</v>
      </c>
      <c r="H108" s="547" t="s">
        <v>912</v>
      </c>
      <c r="I108" s="561">
        <v>225.47559118821209</v>
      </c>
      <c r="J108" s="561">
        <v>4</v>
      </c>
      <c r="K108" s="562">
        <v>901.90236475284837</v>
      </c>
    </row>
    <row r="109" spans="1:11" ht="14.4" customHeight="1" x14ac:dyDescent="0.3">
      <c r="A109" s="543" t="s">
        <v>470</v>
      </c>
      <c r="B109" s="544" t="s">
        <v>614</v>
      </c>
      <c r="C109" s="547" t="s">
        <v>483</v>
      </c>
      <c r="D109" s="575" t="s">
        <v>616</v>
      </c>
      <c r="E109" s="547" t="s">
        <v>1109</v>
      </c>
      <c r="F109" s="575" t="s">
        <v>1110</v>
      </c>
      <c r="G109" s="547" t="s">
        <v>913</v>
      </c>
      <c r="H109" s="547" t="s">
        <v>914</v>
      </c>
      <c r="I109" s="561">
        <v>769.87444961384836</v>
      </c>
      <c r="J109" s="561">
        <v>3</v>
      </c>
      <c r="K109" s="562">
        <v>2309.6233488415451</v>
      </c>
    </row>
    <row r="110" spans="1:11" ht="14.4" customHeight="1" x14ac:dyDescent="0.3">
      <c r="A110" s="543" t="s">
        <v>470</v>
      </c>
      <c r="B110" s="544" t="s">
        <v>614</v>
      </c>
      <c r="C110" s="547" t="s">
        <v>483</v>
      </c>
      <c r="D110" s="575" t="s">
        <v>616</v>
      </c>
      <c r="E110" s="547" t="s">
        <v>1109</v>
      </c>
      <c r="F110" s="575" t="s">
        <v>1110</v>
      </c>
      <c r="G110" s="547" t="s">
        <v>915</v>
      </c>
      <c r="H110" s="547" t="s">
        <v>916</v>
      </c>
      <c r="I110" s="561">
        <v>198.75131676517114</v>
      </c>
      <c r="J110" s="561">
        <v>38</v>
      </c>
      <c r="K110" s="562">
        <v>7557.9171821136752</v>
      </c>
    </row>
    <row r="111" spans="1:11" ht="14.4" customHeight="1" x14ac:dyDescent="0.3">
      <c r="A111" s="543" t="s">
        <v>470</v>
      </c>
      <c r="B111" s="544" t="s">
        <v>614</v>
      </c>
      <c r="C111" s="547" t="s">
        <v>483</v>
      </c>
      <c r="D111" s="575" t="s">
        <v>616</v>
      </c>
      <c r="E111" s="547" t="s">
        <v>1109</v>
      </c>
      <c r="F111" s="575" t="s">
        <v>1110</v>
      </c>
      <c r="G111" s="547" t="s">
        <v>917</v>
      </c>
      <c r="H111" s="547" t="s">
        <v>918</v>
      </c>
      <c r="I111" s="561">
        <v>392.239642857143</v>
      </c>
      <c r="J111" s="561">
        <v>28</v>
      </c>
      <c r="K111" s="562">
        <v>10982.710000000005</v>
      </c>
    </row>
    <row r="112" spans="1:11" ht="14.4" customHeight="1" x14ac:dyDescent="0.3">
      <c r="A112" s="543" t="s">
        <v>470</v>
      </c>
      <c r="B112" s="544" t="s">
        <v>614</v>
      </c>
      <c r="C112" s="547" t="s">
        <v>483</v>
      </c>
      <c r="D112" s="575" t="s">
        <v>616</v>
      </c>
      <c r="E112" s="547" t="s">
        <v>1109</v>
      </c>
      <c r="F112" s="575" t="s">
        <v>1110</v>
      </c>
      <c r="G112" s="547" t="s">
        <v>919</v>
      </c>
      <c r="H112" s="547" t="s">
        <v>920</v>
      </c>
      <c r="I112" s="561">
        <v>182.07924231918321</v>
      </c>
      <c r="J112" s="561">
        <v>3</v>
      </c>
      <c r="K112" s="562">
        <v>546.23772695754963</v>
      </c>
    </row>
    <row r="113" spans="1:11" ht="14.4" customHeight="1" x14ac:dyDescent="0.3">
      <c r="A113" s="543" t="s">
        <v>470</v>
      </c>
      <c r="B113" s="544" t="s">
        <v>614</v>
      </c>
      <c r="C113" s="547" t="s">
        <v>483</v>
      </c>
      <c r="D113" s="575" t="s">
        <v>616</v>
      </c>
      <c r="E113" s="547" t="s">
        <v>1109</v>
      </c>
      <c r="F113" s="575" t="s">
        <v>1110</v>
      </c>
      <c r="G113" s="547" t="s">
        <v>921</v>
      </c>
      <c r="H113" s="547" t="s">
        <v>922</v>
      </c>
      <c r="I113" s="561">
        <v>251.34577796377431</v>
      </c>
      <c r="J113" s="561">
        <v>14</v>
      </c>
      <c r="K113" s="562">
        <v>3518.8408914928405</v>
      </c>
    </row>
    <row r="114" spans="1:11" ht="14.4" customHeight="1" x14ac:dyDescent="0.3">
      <c r="A114" s="543" t="s">
        <v>470</v>
      </c>
      <c r="B114" s="544" t="s">
        <v>614</v>
      </c>
      <c r="C114" s="547" t="s">
        <v>483</v>
      </c>
      <c r="D114" s="575" t="s">
        <v>616</v>
      </c>
      <c r="E114" s="547" t="s">
        <v>1109</v>
      </c>
      <c r="F114" s="575" t="s">
        <v>1110</v>
      </c>
      <c r="G114" s="547" t="s">
        <v>923</v>
      </c>
      <c r="H114" s="547" t="s">
        <v>924</v>
      </c>
      <c r="I114" s="561">
        <v>266.61846111980924</v>
      </c>
      <c r="J114" s="561">
        <v>9</v>
      </c>
      <c r="K114" s="562">
        <v>2399.566150078283</v>
      </c>
    </row>
    <row r="115" spans="1:11" ht="14.4" customHeight="1" x14ac:dyDescent="0.3">
      <c r="A115" s="543" t="s">
        <v>470</v>
      </c>
      <c r="B115" s="544" t="s">
        <v>614</v>
      </c>
      <c r="C115" s="547" t="s">
        <v>483</v>
      </c>
      <c r="D115" s="575" t="s">
        <v>616</v>
      </c>
      <c r="E115" s="547" t="s">
        <v>1109</v>
      </c>
      <c r="F115" s="575" t="s">
        <v>1110</v>
      </c>
      <c r="G115" s="547" t="s">
        <v>925</v>
      </c>
      <c r="H115" s="547" t="s">
        <v>926</v>
      </c>
      <c r="I115" s="561">
        <v>188.49841336676718</v>
      </c>
      <c r="J115" s="561">
        <v>3</v>
      </c>
      <c r="K115" s="562">
        <v>565.49524010030154</v>
      </c>
    </row>
    <row r="116" spans="1:11" ht="14.4" customHeight="1" x14ac:dyDescent="0.3">
      <c r="A116" s="543" t="s">
        <v>470</v>
      </c>
      <c r="B116" s="544" t="s">
        <v>614</v>
      </c>
      <c r="C116" s="547" t="s">
        <v>483</v>
      </c>
      <c r="D116" s="575" t="s">
        <v>616</v>
      </c>
      <c r="E116" s="547" t="s">
        <v>1109</v>
      </c>
      <c r="F116" s="575" t="s">
        <v>1110</v>
      </c>
      <c r="G116" s="547" t="s">
        <v>927</v>
      </c>
      <c r="H116" s="547" t="s">
        <v>928</v>
      </c>
      <c r="I116" s="561">
        <v>18150</v>
      </c>
      <c r="J116" s="561">
        <v>3</v>
      </c>
      <c r="K116" s="562">
        <v>54450</v>
      </c>
    </row>
    <row r="117" spans="1:11" ht="14.4" customHeight="1" x14ac:dyDescent="0.3">
      <c r="A117" s="543" t="s">
        <v>470</v>
      </c>
      <c r="B117" s="544" t="s">
        <v>614</v>
      </c>
      <c r="C117" s="547" t="s">
        <v>483</v>
      </c>
      <c r="D117" s="575" t="s">
        <v>616</v>
      </c>
      <c r="E117" s="547" t="s">
        <v>1109</v>
      </c>
      <c r="F117" s="575" t="s">
        <v>1110</v>
      </c>
      <c r="G117" s="547" t="s">
        <v>929</v>
      </c>
      <c r="H117" s="547" t="s">
        <v>930</v>
      </c>
      <c r="I117" s="561">
        <v>93.17</v>
      </c>
      <c r="J117" s="561">
        <v>6</v>
      </c>
      <c r="K117" s="562">
        <v>559.02</v>
      </c>
    </row>
    <row r="118" spans="1:11" ht="14.4" customHeight="1" x14ac:dyDescent="0.3">
      <c r="A118" s="543" t="s">
        <v>470</v>
      </c>
      <c r="B118" s="544" t="s">
        <v>614</v>
      </c>
      <c r="C118" s="547" t="s">
        <v>483</v>
      </c>
      <c r="D118" s="575" t="s">
        <v>616</v>
      </c>
      <c r="E118" s="547" t="s">
        <v>1109</v>
      </c>
      <c r="F118" s="575" t="s">
        <v>1110</v>
      </c>
      <c r="G118" s="547" t="s">
        <v>931</v>
      </c>
      <c r="H118" s="547" t="s">
        <v>932</v>
      </c>
      <c r="I118" s="561">
        <v>132.58035116389928</v>
      </c>
      <c r="J118" s="561">
        <v>1</v>
      </c>
      <c r="K118" s="562">
        <v>132.58035116389928</v>
      </c>
    </row>
    <row r="119" spans="1:11" ht="14.4" customHeight="1" x14ac:dyDescent="0.3">
      <c r="A119" s="543" t="s">
        <v>470</v>
      </c>
      <c r="B119" s="544" t="s">
        <v>614</v>
      </c>
      <c r="C119" s="547" t="s">
        <v>483</v>
      </c>
      <c r="D119" s="575" t="s">
        <v>616</v>
      </c>
      <c r="E119" s="547" t="s">
        <v>1109</v>
      </c>
      <c r="F119" s="575" t="s">
        <v>1110</v>
      </c>
      <c r="G119" s="547" t="s">
        <v>933</v>
      </c>
      <c r="H119" s="547" t="s">
        <v>934</v>
      </c>
      <c r="I119" s="561">
        <v>136.65000000000003</v>
      </c>
      <c r="J119" s="561">
        <v>13</v>
      </c>
      <c r="K119" s="562">
        <v>1769.02</v>
      </c>
    </row>
    <row r="120" spans="1:11" ht="14.4" customHeight="1" x14ac:dyDescent="0.3">
      <c r="A120" s="543" t="s">
        <v>470</v>
      </c>
      <c r="B120" s="544" t="s">
        <v>614</v>
      </c>
      <c r="C120" s="547" t="s">
        <v>483</v>
      </c>
      <c r="D120" s="575" t="s">
        <v>616</v>
      </c>
      <c r="E120" s="547" t="s">
        <v>1109</v>
      </c>
      <c r="F120" s="575" t="s">
        <v>1110</v>
      </c>
      <c r="G120" s="547" t="s">
        <v>935</v>
      </c>
      <c r="H120" s="547" t="s">
        <v>936</v>
      </c>
      <c r="I120" s="561">
        <v>581.90181818181827</v>
      </c>
      <c r="J120" s="561">
        <v>11</v>
      </c>
      <c r="K120" s="562">
        <v>6400.920000000001</v>
      </c>
    </row>
    <row r="121" spans="1:11" ht="14.4" customHeight="1" x14ac:dyDescent="0.3">
      <c r="A121" s="543" t="s">
        <v>470</v>
      </c>
      <c r="B121" s="544" t="s">
        <v>614</v>
      </c>
      <c r="C121" s="547" t="s">
        <v>483</v>
      </c>
      <c r="D121" s="575" t="s">
        <v>616</v>
      </c>
      <c r="E121" s="547" t="s">
        <v>1109</v>
      </c>
      <c r="F121" s="575" t="s">
        <v>1110</v>
      </c>
      <c r="G121" s="547" t="s">
        <v>937</v>
      </c>
      <c r="H121" s="547" t="s">
        <v>938</v>
      </c>
      <c r="I121" s="561">
        <v>140.602</v>
      </c>
      <c r="J121" s="561">
        <v>5</v>
      </c>
      <c r="K121" s="562">
        <v>703.01</v>
      </c>
    </row>
    <row r="122" spans="1:11" ht="14.4" customHeight="1" x14ac:dyDescent="0.3">
      <c r="A122" s="543" t="s">
        <v>470</v>
      </c>
      <c r="B122" s="544" t="s">
        <v>614</v>
      </c>
      <c r="C122" s="547" t="s">
        <v>483</v>
      </c>
      <c r="D122" s="575" t="s">
        <v>616</v>
      </c>
      <c r="E122" s="547" t="s">
        <v>1109</v>
      </c>
      <c r="F122" s="575" t="s">
        <v>1110</v>
      </c>
      <c r="G122" s="547" t="s">
        <v>939</v>
      </c>
      <c r="H122" s="547" t="s">
        <v>940</v>
      </c>
      <c r="I122" s="561">
        <v>1254.885</v>
      </c>
      <c r="J122" s="561">
        <v>87</v>
      </c>
      <c r="K122" s="562">
        <v>23107.599999999999</v>
      </c>
    </row>
    <row r="123" spans="1:11" ht="14.4" customHeight="1" x14ac:dyDescent="0.3">
      <c r="A123" s="543" t="s">
        <v>470</v>
      </c>
      <c r="B123" s="544" t="s">
        <v>614</v>
      </c>
      <c r="C123" s="547" t="s">
        <v>483</v>
      </c>
      <c r="D123" s="575" t="s">
        <v>616</v>
      </c>
      <c r="E123" s="547" t="s">
        <v>1109</v>
      </c>
      <c r="F123" s="575" t="s">
        <v>1110</v>
      </c>
      <c r="G123" s="547" t="s">
        <v>941</v>
      </c>
      <c r="H123" s="547" t="s">
        <v>942</v>
      </c>
      <c r="I123" s="561">
        <v>9349.7214285714272</v>
      </c>
      <c r="J123" s="561">
        <v>7</v>
      </c>
      <c r="K123" s="562">
        <v>65448.049999999988</v>
      </c>
    </row>
    <row r="124" spans="1:11" ht="14.4" customHeight="1" x14ac:dyDescent="0.3">
      <c r="A124" s="543" t="s">
        <v>470</v>
      </c>
      <c r="B124" s="544" t="s">
        <v>614</v>
      </c>
      <c r="C124" s="547" t="s">
        <v>483</v>
      </c>
      <c r="D124" s="575" t="s">
        <v>616</v>
      </c>
      <c r="E124" s="547" t="s">
        <v>1109</v>
      </c>
      <c r="F124" s="575" t="s">
        <v>1110</v>
      </c>
      <c r="G124" s="547" t="s">
        <v>943</v>
      </c>
      <c r="H124" s="547" t="s">
        <v>944</v>
      </c>
      <c r="I124" s="561">
        <v>113.32333333333332</v>
      </c>
      <c r="J124" s="561">
        <v>5</v>
      </c>
      <c r="K124" s="562">
        <v>568.62999999999988</v>
      </c>
    </row>
    <row r="125" spans="1:11" ht="14.4" customHeight="1" x14ac:dyDescent="0.3">
      <c r="A125" s="543" t="s">
        <v>470</v>
      </c>
      <c r="B125" s="544" t="s">
        <v>614</v>
      </c>
      <c r="C125" s="547" t="s">
        <v>483</v>
      </c>
      <c r="D125" s="575" t="s">
        <v>616</v>
      </c>
      <c r="E125" s="547" t="s">
        <v>1109</v>
      </c>
      <c r="F125" s="575" t="s">
        <v>1110</v>
      </c>
      <c r="G125" s="547" t="s">
        <v>945</v>
      </c>
      <c r="H125" s="547" t="s">
        <v>946</v>
      </c>
      <c r="I125" s="561">
        <v>7593.6</v>
      </c>
      <c r="J125" s="561">
        <v>1</v>
      </c>
      <c r="K125" s="562">
        <v>7593.6</v>
      </c>
    </row>
    <row r="126" spans="1:11" ht="14.4" customHeight="1" x14ac:dyDescent="0.3">
      <c r="A126" s="543" t="s">
        <v>470</v>
      </c>
      <c r="B126" s="544" t="s">
        <v>614</v>
      </c>
      <c r="C126" s="547" t="s">
        <v>483</v>
      </c>
      <c r="D126" s="575" t="s">
        <v>616</v>
      </c>
      <c r="E126" s="547" t="s">
        <v>1109</v>
      </c>
      <c r="F126" s="575" t="s">
        <v>1110</v>
      </c>
      <c r="G126" s="547" t="s">
        <v>947</v>
      </c>
      <c r="H126" s="547" t="s">
        <v>948</v>
      </c>
      <c r="I126" s="561">
        <v>4917</v>
      </c>
      <c r="J126" s="561">
        <v>1</v>
      </c>
      <c r="K126" s="562">
        <v>4917</v>
      </c>
    </row>
    <row r="127" spans="1:11" ht="14.4" customHeight="1" x14ac:dyDescent="0.3">
      <c r="A127" s="543" t="s">
        <v>470</v>
      </c>
      <c r="B127" s="544" t="s">
        <v>614</v>
      </c>
      <c r="C127" s="547" t="s">
        <v>483</v>
      </c>
      <c r="D127" s="575" t="s">
        <v>616</v>
      </c>
      <c r="E127" s="547" t="s">
        <v>1109</v>
      </c>
      <c r="F127" s="575" t="s">
        <v>1110</v>
      </c>
      <c r="G127" s="547" t="s">
        <v>949</v>
      </c>
      <c r="H127" s="547" t="s">
        <v>950</v>
      </c>
      <c r="I127" s="561">
        <v>15160.985000000001</v>
      </c>
      <c r="J127" s="561">
        <v>2</v>
      </c>
      <c r="K127" s="562">
        <v>30321.97</v>
      </c>
    </row>
    <row r="128" spans="1:11" ht="14.4" customHeight="1" x14ac:dyDescent="0.3">
      <c r="A128" s="543" t="s">
        <v>470</v>
      </c>
      <c r="B128" s="544" t="s">
        <v>614</v>
      </c>
      <c r="C128" s="547" t="s">
        <v>483</v>
      </c>
      <c r="D128" s="575" t="s">
        <v>616</v>
      </c>
      <c r="E128" s="547" t="s">
        <v>1109</v>
      </c>
      <c r="F128" s="575" t="s">
        <v>1110</v>
      </c>
      <c r="G128" s="547" t="s">
        <v>951</v>
      </c>
      <c r="H128" s="547" t="s">
        <v>952</v>
      </c>
      <c r="I128" s="561">
        <v>8349</v>
      </c>
      <c r="J128" s="561">
        <v>2</v>
      </c>
      <c r="K128" s="562">
        <v>16698</v>
      </c>
    </row>
    <row r="129" spans="1:11" ht="14.4" customHeight="1" x14ac:dyDescent="0.3">
      <c r="A129" s="543" t="s">
        <v>470</v>
      </c>
      <c r="B129" s="544" t="s">
        <v>614</v>
      </c>
      <c r="C129" s="547" t="s">
        <v>483</v>
      </c>
      <c r="D129" s="575" t="s">
        <v>616</v>
      </c>
      <c r="E129" s="547" t="s">
        <v>1109</v>
      </c>
      <c r="F129" s="575" t="s">
        <v>1110</v>
      </c>
      <c r="G129" s="547" t="s">
        <v>953</v>
      </c>
      <c r="H129" s="547" t="s">
        <v>954</v>
      </c>
      <c r="I129" s="561">
        <v>3569.5</v>
      </c>
      <c r="J129" s="561">
        <v>8</v>
      </c>
      <c r="K129" s="562">
        <v>28556</v>
      </c>
    </row>
    <row r="130" spans="1:11" ht="14.4" customHeight="1" x14ac:dyDescent="0.3">
      <c r="A130" s="543" t="s">
        <v>470</v>
      </c>
      <c r="B130" s="544" t="s">
        <v>614</v>
      </c>
      <c r="C130" s="547" t="s">
        <v>483</v>
      </c>
      <c r="D130" s="575" t="s">
        <v>616</v>
      </c>
      <c r="E130" s="547" t="s">
        <v>1109</v>
      </c>
      <c r="F130" s="575" t="s">
        <v>1110</v>
      </c>
      <c r="G130" s="547" t="s">
        <v>955</v>
      </c>
      <c r="H130" s="547" t="s">
        <v>956</v>
      </c>
      <c r="I130" s="561">
        <v>7575.665</v>
      </c>
      <c r="J130" s="561">
        <v>2</v>
      </c>
      <c r="K130" s="562">
        <v>15151.33</v>
      </c>
    </row>
    <row r="131" spans="1:11" ht="14.4" customHeight="1" x14ac:dyDescent="0.3">
      <c r="A131" s="543" t="s">
        <v>470</v>
      </c>
      <c r="B131" s="544" t="s">
        <v>614</v>
      </c>
      <c r="C131" s="547" t="s">
        <v>483</v>
      </c>
      <c r="D131" s="575" t="s">
        <v>616</v>
      </c>
      <c r="E131" s="547" t="s">
        <v>1109</v>
      </c>
      <c r="F131" s="575" t="s">
        <v>1110</v>
      </c>
      <c r="G131" s="547" t="s">
        <v>957</v>
      </c>
      <c r="H131" s="547" t="s">
        <v>958</v>
      </c>
      <c r="I131" s="561">
        <v>13915</v>
      </c>
      <c r="J131" s="561">
        <v>1</v>
      </c>
      <c r="K131" s="562">
        <v>13915</v>
      </c>
    </row>
    <row r="132" spans="1:11" ht="14.4" customHeight="1" x14ac:dyDescent="0.3">
      <c r="A132" s="543" t="s">
        <v>470</v>
      </c>
      <c r="B132" s="544" t="s">
        <v>614</v>
      </c>
      <c r="C132" s="547" t="s">
        <v>483</v>
      </c>
      <c r="D132" s="575" t="s">
        <v>616</v>
      </c>
      <c r="E132" s="547" t="s">
        <v>1109</v>
      </c>
      <c r="F132" s="575" t="s">
        <v>1110</v>
      </c>
      <c r="G132" s="547" t="s">
        <v>959</v>
      </c>
      <c r="H132" s="547" t="s">
        <v>960</v>
      </c>
      <c r="I132" s="561">
        <v>7575.666666666667</v>
      </c>
      <c r="J132" s="561">
        <v>3</v>
      </c>
      <c r="K132" s="562">
        <v>22727</v>
      </c>
    </row>
    <row r="133" spans="1:11" ht="14.4" customHeight="1" x14ac:dyDescent="0.3">
      <c r="A133" s="543" t="s">
        <v>470</v>
      </c>
      <c r="B133" s="544" t="s">
        <v>614</v>
      </c>
      <c r="C133" s="547" t="s">
        <v>483</v>
      </c>
      <c r="D133" s="575" t="s">
        <v>616</v>
      </c>
      <c r="E133" s="547" t="s">
        <v>1109</v>
      </c>
      <c r="F133" s="575" t="s">
        <v>1110</v>
      </c>
      <c r="G133" s="547" t="s">
        <v>961</v>
      </c>
      <c r="H133" s="547" t="s">
        <v>962</v>
      </c>
      <c r="I133" s="561">
        <v>92.161666666666648</v>
      </c>
      <c r="J133" s="561">
        <v>20</v>
      </c>
      <c r="K133" s="562">
        <v>1842.8299999999997</v>
      </c>
    </row>
    <row r="134" spans="1:11" ht="14.4" customHeight="1" x14ac:dyDescent="0.3">
      <c r="A134" s="543" t="s">
        <v>470</v>
      </c>
      <c r="B134" s="544" t="s">
        <v>614</v>
      </c>
      <c r="C134" s="547" t="s">
        <v>483</v>
      </c>
      <c r="D134" s="575" t="s">
        <v>616</v>
      </c>
      <c r="E134" s="547" t="s">
        <v>1109</v>
      </c>
      <c r="F134" s="575" t="s">
        <v>1110</v>
      </c>
      <c r="G134" s="547" t="s">
        <v>963</v>
      </c>
      <c r="H134" s="547" t="s">
        <v>964</v>
      </c>
      <c r="I134" s="561">
        <v>15172.02</v>
      </c>
      <c r="J134" s="561">
        <v>2</v>
      </c>
      <c r="K134" s="562">
        <v>30344.04</v>
      </c>
    </row>
    <row r="135" spans="1:11" ht="14.4" customHeight="1" x14ac:dyDescent="0.3">
      <c r="A135" s="543" t="s">
        <v>470</v>
      </c>
      <c r="B135" s="544" t="s">
        <v>614</v>
      </c>
      <c r="C135" s="547" t="s">
        <v>483</v>
      </c>
      <c r="D135" s="575" t="s">
        <v>616</v>
      </c>
      <c r="E135" s="547" t="s">
        <v>1109</v>
      </c>
      <c r="F135" s="575" t="s">
        <v>1110</v>
      </c>
      <c r="G135" s="547" t="s">
        <v>965</v>
      </c>
      <c r="H135" s="547" t="s">
        <v>966</v>
      </c>
      <c r="I135" s="561">
        <v>22553</v>
      </c>
      <c r="J135" s="561">
        <v>1</v>
      </c>
      <c r="K135" s="562">
        <v>22553</v>
      </c>
    </row>
    <row r="136" spans="1:11" ht="14.4" customHeight="1" x14ac:dyDescent="0.3">
      <c r="A136" s="543" t="s">
        <v>470</v>
      </c>
      <c r="B136" s="544" t="s">
        <v>614</v>
      </c>
      <c r="C136" s="547" t="s">
        <v>483</v>
      </c>
      <c r="D136" s="575" t="s">
        <v>616</v>
      </c>
      <c r="E136" s="547" t="s">
        <v>1109</v>
      </c>
      <c r="F136" s="575" t="s">
        <v>1110</v>
      </c>
      <c r="G136" s="547" t="s">
        <v>967</v>
      </c>
      <c r="H136" s="547" t="s">
        <v>968</v>
      </c>
      <c r="I136" s="561">
        <v>343.11</v>
      </c>
      <c r="J136" s="561">
        <v>8</v>
      </c>
      <c r="K136" s="562">
        <v>2744.8999999999996</v>
      </c>
    </row>
    <row r="137" spans="1:11" ht="14.4" customHeight="1" x14ac:dyDescent="0.3">
      <c r="A137" s="543" t="s">
        <v>470</v>
      </c>
      <c r="B137" s="544" t="s">
        <v>614</v>
      </c>
      <c r="C137" s="547" t="s">
        <v>483</v>
      </c>
      <c r="D137" s="575" t="s">
        <v>616</v>
      </c>
      <c r="E137" s="547" t="s">
        <v>1109</v>
      </c>
      <c r="F137" s="575" t="s">
        <v>1110</v>
      </c>
      <c r="G137" s="547" t="s">
        <v>969</v>
      </c>
      <c r="H137" s="547" t="s">
        <v>970</v>
      </c>
      <c r="I137" s="561">
        <v>1270.5</v>
      </c>
      <c r="J137" s="561">
        <v>50</v>
      </c>
      <c r="K137" s="562">
        <v>63525</v>
      </c>
    </row>
    <row r="138" spans="1:11" ht="14.4" customHeight="1" x14ac:dyDescent="0.3">
      <c r="A138" s="543" t="s">
        <v>470</v>
      </c>
      <c r="B138" s="544" t="s">
        <v>614</v>
      </c>
      <c r="C138" s="547" t="s">
        <v>483</v>
      </c>
      <c r="D138" s="575" t="s">
        <v>616</v>
      </c>
      <c r="E138" s="547" t="s">
        <v>1109</v>
      </c>
      <c r="F138" s="575" t="s">
        <v>1110</v>
      </c>
      <c r="G138" s="547" t="s">
        <v>971</v>
      </c>
      <c r="H138" s="547" t="s">
        <v>972</v>
      </c>
      <c r="I138" s="561">
        <v>13189.060000000001</v>
      </c>
      <c r="J138" s="561">
        <v>2</v>
      </c>
      <c r="K138" s="562">
        <v>26378.120000000003</v>
      </c>
    </row>
    <row r="139" spans="1:11" ht="14.4" customHeight="1" x14ac:dyDescent="0.3">
      <c r="A139" s="543" t="s">
        <v>470</v>
      </c>
      <c r="B139" s="544" t="s">
        <v>614</v>
      </c>
      <c r="C139" s="547" t="s">
        <v>483</v>
      </c>
      <c r="D139" s="575" t="s">
        <v>616</v>
      </c>
      <c r="E139" s="547" t="s">
        <v>1109</v>
      </c>
      <c r="F139" s="575" t="s">
        <v>1110</v>
      </c>
      <c r="G139" s="547" t="s">
        <v>973</v>
      </c>
      <c r="H139" s="547" t="s">
        <v>974</v>
      </c>
      <c r="I139" s="561">
        <v>23170.29</v>
      </c>
      <c r="J139" s="561">
        <v>1</v>
      </c>
      <c r="K139" s="562">
        <v>23170.29</v>
      </c>
    </row>
    <row r="140" spans="1:11" ht="14.4" customHeight="1" x14ac:dyDescent="0.3">
      <c r="A140" s="543" t="s">
        <v>470</v>
      </c>
      <c r="B140" s="544" t="s">
        <v>614</v>
      </c>
      <c r="C140" s="547" t="s">
        <v>483</v>
      </c>
      <c r="D140" s="575" t="s">
        <v>616</v>
      </c>
      <c r="E140" s="547" t="s">
        <v>1109</v>
      </c>
      <c r="F140" s="575" t="s">
        <v>1110</v>
      </c>
      <c r="G140" s="547" t="s">
        <v>975</v>
      </c>
      <c r="H140" s="547" t="s">
        <v>976</v>
      </c>
      <c r="I140" s="561">
        <v>5747.4</v>
      </c>
      <c r="J140" s="561">
        <v>1</v>
      </c>
      <c r="K140" s="562">
        <v>5747.4</v>
      </c>
    </row>
    <row r="141" spans="1:11" ht="14.4" customHeight="1" x14ac:dyDescent="0.3">
      <c r="A141" s="543" t="s">
        <v>470</v>
      </c>
      <c r="B141" s="544" t="s">
        <v>614</v>
      </c>
      <c r="C141" s="547" t="s">
        <v>483</v>
      </c>
      <c r="D141" s="575" t="s">
        <v>616</v>
      </c>
      <c r="E141" s="547" t="s">
        <v>1109</v>
      </c>
      <c r="F141" s="575" t="s">
        <v>1110</v>
      </c>
      <c r="G141" s="547" t="s">
        <v>977</v>
      </c>
      <c r="H141" s="547" t="s">
        <v>978</v>
      </c>
      <c r="I141" s="561">
        <v>4948.82</v>
      </c>
      <c r="J141" s="561">
        <v>1</v>
      </c>
      <c r="K141" s="562">
        <v>4948.82</v>
      </c>
    </row>
    <row r="142" spans="1:11" ht="14.4" customHeight="1" x14ac:dyDescent="0.3">
      <c r="A142" s="543" t="s">
        <v>470</v>
      </c>
      <c r="B142" s="544" t="s">
        <v>614</v>
      </c>
      <c r="C142" s="547" t="s">
        <v>483</v>
      </c>
      <c r="D142" s="575" t="s">
        <v>616</v>
      </c>
      <c r="E142" s="547" t="s">
        <v>1109</v>
      </c>
      <c r="F142" s="575" t="s">
        <v>1110</v>
      </c>
      <c r="G142" s="547" t="s">
        <v>979</v>
      </c>
      <c r="H142" s="547" t="s">
        <v>980</v>
      </c>
      <c r="I142" s="561">
        <v>13733.5</v>
      </c>
      <c r="J142" s="561">
        <v>1</v>
      </c>
      <c r="K142" s="562">
        <v>13733.5</v>
      </c>
    </row>
    <row r="143" spans="1:11" ht="14.4" customHeight="1" x14ac:dyDescent="0.3">
      <c r="A143" s="543" t="s">
        <v>470</v>
      </c>
      <c r="B143" s="544" t="s">
        <v>614</v>
      </c>
      <c r="C143" s="547" t="s">
        <v>483</v>
      </c>
      <c r="D143" s="575" t="s">
        <v>616</v>
      </c>
      <c r="E143" s="547" t="s">
        <v>1109</v>
      </c>
      <c r="F143" s="575" t="s">
        <v>1110</v>
      </c>
      <c r="G143" s="547" t="s">
        <v>981</v>
      </c>
      <c r="H143" s="547" t="s">
        <v>982</v>
      </c>
      <c r="I143" s="561">
        <v>7840.89</v>
      </c>
      <c r="J143" s="561">
        <v>1</v>
      </c>
      <c r="K143" s="562">
        <v>7840.89</v>
      </c>
    </row>
    <row r="144" spans="1:11" ht="14.4" customHeight="1" x14ac:dyDescent="0.3">
      <c r="A144" s="543" t="s">
        <v>470</v>
      </c>
      <c r="B144" s="544" t="s">
        <v>614</v>
      </c>
      <c r="C144" s="547" t="s">
        <v>483</v>
      </c>
      <c r="D144" s="575" t="s">
        <v>616</v>
      </c>
      <c r="E144" s="547" t="s">
        <v>1109</v>
      </c>
      <c r="F144" s="575" t="s">
        <v>1110</v>
      </c>
      <c r="G144" s="547" t="s">
        <v>983</v>
      </c>
      <c r="H144" s="547" t="s">
        <v>984</v>
      </c>
      <c r="I144" s="561">
        <v>7840.89</v>
      </c>
      <c r="J144" s="561">
        <v>1</v>
      </c>
      <c r="K144" s="562">
        <v>7840.89</v>
      </c>
    </row>
    <row r="145" spans="1:11" ht="14.4" customHeight="1" x14ac:dyDescent="0.3">
      <c r="A145" s="543" t="s">
        <v>470</v>
      </c>
      <c r="B145" s="544" t="s">
        <v>614</v>
      </c>
      <c r="C145" s="547" t="s">
        <v>483</v>
      </c>
      <c r="D145" s="575" t="s">
        <v>616</v>
      </c>
      <c r="E145" s="547" t="s">
        <v>1109</v>
      </c>
      <c r="F145" s="575" t="s">
        <v>1110</v>
      </c>
      <c r="G145" s="547" t="s">
        <v>985</v>
      </c>
      <c r="H145" s="547" t="s">
        <v>986</v>
      </c>
      <c r="I145" s="561">
        <v>2182.2533333333336</v>
      </c>
      <c r="J145" s="561">
        <v>4</v>
      </c>
      <c r="K145" s="562">
        <v>8770.0600000000013</v>
      </c>
    </row>
    <row r="146" spans="1:11" ht="14.4" customHeight="1" x14ac:dyDescent="0.3">
      <c r="A146" s="543" t="s">
        <v>470</v>
      </c>
      <c r="B146" s="544" t="s">
        <v>614</v>
      </c>
      <c r="C146" s="547" t="s">
        <v>483</v>
      </c>
      <c r="D146" s="575" t="s">
        <v>616</v>
      </c>
      <c r="E146" s="547" t="s">
        <v>1109</v>
      </c>
      <c r="F146" s="575" t="s">
        <v>1110</v>
      </c>
      <c r="G146" s="547" t="s">
        <v>987</v>
      </c>
      <c r="H146" s="547" t="s">
        <v>988</v>
      </c>
      <c r="I146" s="561">
        <v>2596.0433333333335</v>
      </c>
      <c r="J146" s="561">
        <v>8</v>
      </c>
      <c r="K146" s="562">
        <v>20866.18</v>
      </c>
    </row>
    <row r="147" spans="1:11" ht="14.4" customHeight="1" x14ac:dyDescent="0.3">
      <c r="A147" s="543" t="s">
        <v>470</v>
      </c>
      <c r="B147" s="544" t="s">
        <v>614</v>
      </c>
      <c r="C147" s="547" t="s">
        <v>483</v>
      </c>
      <c r="D147" s="575" t="s">
        <v>616</v>
      </c>
      <c r="E147" s="547" t="s">
        <v>1109</v>
      </c>
      <c r="F147" s="575" t="s">
        <v>1110</v>
      </c>
      <c r="G147" s="547" t="s">
        <v>989</v>
      </c>
      <c r="H147" s="547" t="s">
        <v>990</v>
      </c>
      <c r="I147" s="561">
        <v>8893.61</v>
      </c>
      <c r="J147" s="561">
        <v>1</v>
      </c>
      <c r="K147" s="562">
        <v>8893.61</v>
      </c>
    </row>
    <row r="148" spans="1:11" ht="14.4" customHeight="1" x14ac:dyDescent="0.3">
      <c r="A148" s="543" t="s">
        <v>470</v>
      </c>
      <c r="B148" s="544" t="s">
        <v>614</v>
      </c>
      <c r="C148" s="547" t="s">
        <v>483</v>
      </c>
      <c r="D148" s="575" t="s">
        <v>616</v>
      </c>
      <c r="E148" s="547" t="s">
        <v>1109</v>
      </c>
      <c r="F148" s="575" t="s">
        <v>1110</v>
      </c>
      <c r="G148" s="547" t="s">
        <v>991</v>
      </c>
      <c r="H148" s="547" t="s">
        <v>992</v>
      </c>
      <c r="I148" s="561">
        <v>8893.61</v>
      </c>
      <c r="J148" s="561">
        <v>1</v>
      </c>
      <c r="K148" s="562">
        <v>8893.61</v>
      </c>
    </row>
    <row r="149" spans="1:11" ht="14.4" customHeight="1" x14ac:dyDescent="0.3">
      <c r="A149" s="543" t="s">
        <v>470</v>
      </c>
      <c r="B149" s="544" t="s">
        <v>614</v>
      </c>
      <c r="C149" s="547" t="s">
        <v>483</v>
      </c>
      <c r="D149" s="575" t="s">
        <v>616</v>
      </c>
      <c r="E149" s="547" t="s">
        <v>1109</v>
      </c>
      <c r="F149" s="575" t="s">
        <v>1110</v>
      </c>
      <c r="G149" s="547" t="s">
        <v>993</v>
      </c>
      <c r="H149" s="547" t="s">
        <v>994</v>
      </c>
      <c r="I149" s="561">
        <v>241.99666666666667</v>
      </c>
      <c r="J149" s="561">
        <v>4</v>
      </c>
      <c r="K149" s="562">
        <v>967.99</v>
      </c>
    </row>
    <row r="150" spans="1:11" ht="14.4" customHeight="1" x14ac:dyDescent="0.3">
      <c r="A150" s="543" t="s">
        <v>470</v>
      </c>
      <c r="B150" s="544" t="s">
        <v>614</v>
      </c>
      <c r="C150" s="547" t="s">
        <v>483</v>
      </c>
      <c r="D150" s="575" t="s">
        <v>616</v>
      </c>
      <c r="E150" s="547" t="s">
        <v>1109</v>
      </c>
      <c r="F150" s="575" t="s">
        <v>1110</v>
      </c>
      <c r="G150" s="547" t="s">
        <v>995</v>
      </c>
      <c r="H150" s="547" t="s">
        <v>996</v>
      </c>
      <c r="I150" s="561">
        <v>2420</v>
      </c>
      <c r="J150" s="561">
        <v>2</v>
      </c>
      <c r="K150" s="562">
        <v>4840</v>
      </c>
    </row>
    <row r="151" spans="1:11" ht="14.4" customHeight="1" x14ac:dyDescent="0.3">
      <c r="A151" s="543" t="s">
        <v>470</v>
      </c>
      <c r="B151" s="544" t="s">
        <v>614</v>
      </c>
      <c r="C151" s="547" t="s">
        <v>483</v>
      </c>
      <c r="D151" s="575" t="s">
        <v>616</v>
      </c>
      <c r="E151" s="547" t="s">
        <v>1109</v>
      </c>
      <c r="F151" s="575" t="s">
        <v>1110</v>
      </c>
      <c r="G151" s="547" t="s">
        <v>997</v>
      </c>
      <c r="H151" s="547" t="s">
        <v>998</v>
      </c>
      <c r="I151" s="561">
        <v>8552.2999999999993</v>
      </c>
      <c r="J151" s="561">
        <v>1</v>
      </c>
      <c r="K151" s="562">
        <v>8552.2999999999993</v>
      </c>
    </row>
    <row r="152" spans="1:11" ht="14.4" customHeight="1" x14ac:dyDescent="0.3">
      <c r="A152" s="543" t="s">
        <v>470</v>
      </c>
      <c r="B152" s="544" t="s">
        <v>614</v>
      </c>
      <c r="C152" s="547" t="s">
        <v>483</v>
      </c>
      <c r="D152" s="575" t="s">
        <v>616</v>
      </c>
      <c r="E152" s="547" t="s">
        <v>1109</v>
      </c>
      <c r="F152" s="575" t="s">
        <v>1110</v>
      </c>
      <c r="G152" s="547" t="s">
        <v>999</v>
      </c>
      <c r="H152" s="547" t="s">
        <v>1000</v>
      </c>
      <c r="I152" s="561">
        <v>30181.27</v>
      </c>
      <c r="J152" s="561">
        <v>1</v>
      </c>
      <c r="K152" s="562">
        <v>30181.27</v>
      </c>
    </row>
    <row r="153" spans="1:11" ht="14.4" customHeight="1" x14ac:dyDescent="0.3">
      <c r="A153" s="543" t="s">
        <v>470</v>
      </c>
      <c r="B153" s="544" t="s">
        <v>614</v>
      </c>
      <c r="C153" s="547" t="s">
        <v>483</v>
      </c>
      <c r="D153" s="575" t="s">
        <v>616</v>
      </c>
      <c r="E153" s="547" t="s">
        <v>1109</v>
      </c>
      <c r="F153" s="575" t="s">
        <v>1110</v>
      </c>
      <c r="G153" s="547" t="s">
        <v>1001</v>
      </c>
      <c r="H153" s="547" t="s">
        <v>1002</v>
      </c>
      <c r="I153" s="561">
        <v>15151.33</v>
      </c>
      <c r="J153" s="561">
        <v>1</v>
      </c>
      <c r="K153" s="562">
        <v>15151.33</v>
      </c>
    </row>
    <row r="154" spans="1:11" ht="14.4" customHeight="1" x14ac:dyDescent="0.3">
      <c r="A154" s="543" t="s">
        <v>470</v>
      </c>
      <c r="B154" s="544" t="s">
        <v>614</v>
      </c>
      <c r="C154" s="547" t="s">
        <v>483</v>
      </c>
      <c r="D154" s="575" t="s">
        <v>616</v>
      </c>
      <c r="E154" s="547" t="s">
        <v>1109</v>
      </c>
      <c r="F154" s="575" t="s">
        <v>1110</v>
      </c>
      <c r="G154" s="547" t="s">
        <v>1003</v>
      </c>
      <c r="H154" s="547" t="s">
        <v>1004</v>
      </c>
      <c r="I154" s="561">
        <v>14604.7</v>
      </c>
      <c r="J154" s="561">
        <v>1</v>
      </c>
      <c r="K154" s="562">
        <v>14604.7</v>
      </c>
    </row>
    <row r="155" spans="1:11" ht="14.4" customHeight="1" x14ac:dyDescent="0.3">
      <c r="A155" s="543" t="s">
        <v>470</v>
      </c>
      <c r="B155" s="544" t="s">
        <v>614</v>
      </c>
      <c r="C155" s="547" t="s">
        <v>483</v>
      </c>
      <c r="D155" s="575" t="s">
        <v>616</v>
      </c>
      <c r="E155" s="547" t="s">
        <v>1109</v>
      </c>
      <c r="F155" s="575" t="s">
        <v>1110</v>
      </c>
      <c r="G155" s="547" t="s">
        <v>1005</v>
      </c>
      <c r="H155" s="547" t="s">
        <v>1006</v>
      </c>
      <c r="I155" s="561">
        <v>7435.42</v>
      </c>
      <c r="J155" s="561">
        <v>2</v>
      </c>
      <c r="K155" s="562">
        <v>14870.84</v>
      </c>
    </row>
    <row r="156" spans="1:11" ht="14.4" customHeight="1" x14ac:dyDescent="0.3">
      <c r="A156" s="543" t="s">
        <v>470</v>
      </c>
      <c r="B156" s="544" t="s">
        <v>614</v>
      </c>
      <c r="C156" s="547" t="s">
        <v>483</v>
      </c>
      <c r="D156" s="575" t="s">
        <v>616</v>
      </c>
      <c r="E156" s="547" t="s">
        <v>1109</v>
      </c>
      <c r="F156" s="575" t="s">
        <v>1110</v>
      </c>
      <c r="G156" s="547" t="s">
        <v>1007</v>
      </c>
      <c r="H156" s="547" t="s">
        <v>1008</v>
      </c>
      <c r="I156" s="561">
        <v>595.67999999999995</v>
      </c>
      <c r="J156" s="561">
        <v>1</v>
      </c>
      <c r="K156" s="562">
        <v>595.67999999999995</v>
      </c>
    </row>
    <row r="157" spans="1:11" ht="14.4" customHeight="1" x14ac:dyDescent="0.3">
      <c r="A157" s="543" t="s">
        <v>470</v>
      </c>
      <c r="B157" s="544" t="s">
        <v>614</v>
      </c>
      <c r="C157" s="547" t="s">
        <v>483</v>
      </c>
      <c r="D157" s="575" t="s">
        <v>616</v>
      </c>
      <c r="E157" s="547" t="s">
        <v>1109</v>
      </c>
      <c r="F157" s="575" t="s">
        <v>1110</v>
      </c>
      <c r="G157" s="547" t="s">
        <v>1009</v>
      </c>
      <c r="H157" s="547" t="s">
        <v>1010</v>
      </c>
      <c r="I157" s="561">
        <v>3309.35</v>
      </c>
      <c r="J157" s="561">
        <v>1</v>
      </c>
      <c r="K157" s="562">
        <v>3309.35</v>
      </c>
    </row>
    <row r="158" spans="1:11" ht="14.4" customHeight="1" x14ac:dyDescent="0.3">
      <c r="A158" s="543" t="s">
        <v>470</v>
      </c>
      <c r="B158" s="544" t="s">
        <v>614</v>
      </c>
      <c r="C158" s="547" t="s">
        <v>483</v>
      </c>
      <c r="D158" s="575" t="s">
        <v>616</v>
      </c>
      <c r="E158" s="547" t="s">
        <v>1109</v>
      </c>
      <c r="F158" s="575" t="s">
        <v>1110</v>
      </c>
      <c r="G158" s="547" t="s">
        <v>1011</v>
      </c>
      <c r="H158" s="547" t="s">
        <v>1012</v>
      </c>
      <c r="I158" s="561">
        <v>7575.66</v>
      </c>
      <c r="J158" s="561">
        <v>1</v>
      </c>
      <c r="K158" s="562">
        <v>7575.66</v>
      </c>
    </row>
    <row r="159" spans="1:11" ht="14.4" customHeight="1" x14ac:dyDescent="0.3">
      <c r="A159" s="543" t="s">
        <v>470</v>
      </c>
      <c r="B159" s="544" t="s">
        <v>614</v>
      </c>
      <c r="C159" s="547" t="s">
        <v>483</v>
      </c>
      <c r="D159" s="575" t="s">
        <v>616</v>
      </c>
      <c r="E159" s="547" t="s">
        <v>1109</v>
      </c>
      <c r="F159" s="575" t="s">
        <v>1110</v>
      </c>
      <c r="G159" s="547" t="s">
        <v>1013</v>
      </c>
      <c r="H159" s="547" t="s">
        <v>1014</v>
      </c>
      <c r="I159" s="561">
        <v>11507.263333333331</v>
      </c>
      <c r="J159" s="561">
        <v>3</v>
      </c>
      <c r="K159" s="562">
        <v>34521.789999999994</v>
      </c>
    </row>
    <row r="160" spans="1:11" ht="14.4" customHeight="1" x14ac:dyDescent="0.3">
      <c r="A160" s="543" t="s">
        <v>470</v>
      </c>
      <c r="B160" s="544" t="s">
        <v>614</v>
      </c>
      <c r="C160" s="547" t="s">
        <v>483</v>
      </c>
      <c r="D160" s="575" t="s">
        <v>616</v>
      </c>
      <c r="E160" s="547" t="s">
        <v>1109</v>
      </c>
      <c r="F160" s="575" t="s">
        <v>1110</v>
      </c>
      <c r="G160" s="547" t="s">
        <v>1015</v>
      </c>
      <c r="H160" s="547" t="s">
        <v>1016</v>
      </c>
      <c r="I160" s="561">
        <v>1094.49</v>
      </c>
      <c r="J160" s="561">
        <v>4</v>
      </c>
      <c r="K160" s="562">
        <v>4377.96</v>
      </c>
    </row>
    <row r="161" spans="1:11" ht="14.4" customHeight="1" x14ac:dyDescent="0.3">
      <c r="A161" s="543" t="s">
        <v>470</v>
      </c>
      <c r="B161" s="544" t="s">
        <v>614</v>
      </c>
      <c r="C161" s="547" t="s">
        <v>483</v>
      </c>
      <c r="D161" s="575" t="s">
        <v>616</v>
      </c>
      <c r="E161" s="547" t="s">
        <v>1109</v>
      </c>
      <c r="F161" s="575" t="s">
        <v>1110</v>
      </c>
      <c r="G161" s="547" t="s">
        <v>1017</v>
      </c>
      <c r="H161" s="547" t="s">
        <v>1018</v>
      </c>
      <c r="I161" s="561">
        <v>1040.5999999999999</v>
      </c>
      <c r="J161" s="561">
        <v>10</v>
      </c>
      <c r="K161" s="562">
        <v>10406</v>
      </c>
    </row>
    <row r="162" spans="1:11" ht="14.4" customHeight="1" x14ac:dyDescent="0.3">
      <c r="A162" s="543" t="s">
        <v>470</v>
      </c>
      <c r="B162" s="544" t="s">
        <v>614</v>
      </c>
      <c r="C162" s="547" t="s">
        <v>483</v>
      </c>
      <c r="D162" s="575" t="s">
        <v>616</v>
      </c>
      <c r="E162" s="547" t="s">
        <v>1109</v>
      </c>
      <c r="F162" s="575" t="s">
        <v>1110</v>
      </c>
      <c r="G162" s="547" t="s">
        <v>1019</v>
      </c>
      <c r="H162" s="547" t="s">
        <v>1020</v>
      </c>
      <c r="I162" s="561">
        <v>1631.08</v>
      </c>
      <c r="J162" s="561">
        <v>4</v>
      </c>
      <c r="K162" s="562">
        <v>6524.32</v>
      </c>
    </row>
    <row r="163" spans="1:11" ht="14.4" customHeight="1" x14ac:dyDescent="0.3">
      <c r="A163" s="543" t="s">
        <v>470</v>
      </c>
      <c r="B163" s="544" t="s">
        <v>614</v>
      </c>
      <c r="C163" s="547" t="s">
        <v>483</v>
      </c>
      <c r="D163" s="575" t="s">
        <v>616</v>
      </c>
      <c r="E163" s="547" t="s">
        <v>1109</v>
      </c>
      <c r="F163" s="575" t="s">
        <v>1110</v>
      </c>
      <c r="G163" s="547" t="s">
        <v>1021</v>
      </c>
      <c r="H163" s="547" t="s">
        <v>1022</v>
      </c>
      <c r="I163" s="561">
        <v>963.16</v>
      </c>
      <c r="J163" s="561">
        <v>2</v>
      </c>
      <c r="K163" s="562">
        <v>1926.32</v>
      </c>
    </row>
    <row r="164" spans="1:11" ht="14.4" customHeight="1" x14ac:dyDescent="0.3">
      <c r="A164" s="543" t="s">
        <v>470</v>
      </c>
      <c r="B164" s="544" t="s">
        <v>614</v>
      </c>
      <c r="C164" s="547" t="s">
        <v>483</v>
      </c>
      <c r="D164" s="575" t="s">
        <v>616</v>
      </c>
      <c r="E164" s="547" t="s">
        <v>1109</v>
      </c>
      <c r="F164" s="575" t="s">
        <v>1110</v>
      </c>
      <c r="G164" s="547" t="s">
        <v>1023</v>
      </c>
      <c r="H164" s="547" t="s">
        <v>1024</v>
      </c>
      <c r="I164" s="561">
        <v>3533.2</v>
      </c>
      <c r="J164" s="561">
        <v>4</v>
      </c>
      <c r="K164" s="562">
        <v>14132.8</v>
      </c>
    </row>
    <row r="165" spans="1:11" ht="14.4" customHeight="1" x14ac:dyDescent="0.3">
      <c r="A165" s="543" t="s">
        <v>470</v>
      </c>
      <c r="B165" s="544" t="s">
        <v>614</v>
      </c>
      <c r="C165" s="547" t="s">
        <v>483</v>
      </c>
      <c r="D165" s="575" t="s">
        <v>616</v>
      </c>
      <c r="E165" s="547" t="s">
        <v>1109</v>
      </c>
      <c r="F165" s="575" t="s">
        <v>1110</v>
      </c>
      <c r="G165" s="547" t="s">
        <v>1025</v>
      </c>
      <c r="H165" s="547" t="s">
        <v>1026</v>
      </c>
      <c r="I165" s="561">
        <v>13133.34</v>
      </c>
      <c r="J165" s="561">
        <v>2</v>
      </c>
      <c r="K165" s="562">
        <v>26266.68</v>
      </c>
    </row>
    <row r="166" spans="1:11" ht="14.4" customHeight="1" x14ac:dyDescent="0.3">
      <c r="A166" s="543" t="s">
        <v>470</v>
      </c>
      <c r="B166" s="544" t="s">
        <v>614</v>
      </c>
      <c r="C166" s="547" t="s">
        <v>483</v>
      </c>
      <c r="D166" s="575" t="s">
        <v>616</v>
      </c>
      <c r="E166" s="547" t="s">
        <v>1109</v>
      </c>
      <c r="F166" s="575" t="s">
        <v>1110</v>
      </c>
      <c r="G166" s="547" t="s">
        <v>1027</v>
      </c>
      <c r="H166" s="547" t="s">
        <v>1028</v>
      </c>
      <c r="I166" s="561">
        <v>7573.5949999999993</v>
      </c>
      <c r="J166" s="561">
        <v>2</v>
      </c>
      <c r="K166" s="562">
        <v>15147.189999999999</v>
      </c>
    </row>
    <row r="167" spans="1:11" ht="14.4" customHeight="1" x14ac:dyDescent="0.3">
      <c r="A167" s="543" t="s">
        <v>470</v>
      </c>
      <c r="B167" s="544" t="s">
        <v>614</v>
      </c>
      <c r="C167" s="547" t="s">
        <v>483</v>
      </c>
      <c r="D167" s="575" t="s">
        <v>616</v>
      </c>
      <c r="E167" s="547" t="s">
        <v>1109</v>
      </c>
      <c r="F167" s="575" t="s">
        <v>1110</v>
      </c>
      <c r="G167" s="547" t="s">
        <v>1029</v>
      </c>
      <c r="H167" s="547" t="s">
        <v>1030</v>
      </c>
      <c r="I167" s="561">
        <v>15151.33</v>
      </c>
      <c r="J167" s="561">
        <v>1</v>
      </c>
      <c r="K167" s="562">
        <v>15151.33</v>
      </c>
    </row>
    <row r="168" spans="1:11" ht="14.4" customHeight="1" x14ac:dyDescent="0.3">
      <c r="A168" s="543" t="s">
        <v>470</v>
      </c>
      <c r="B168" s="544" t="s">
        <v>614</v>
      </c>
      <c r="C168" s="547" t="s">
        <v>483</v>
      </c>
      <c r="D168" s="575" t="s">
        <v>616</v>
      </c>
      <c r="E168" s="547" t="s">
        <v>1109</v>
      </c>
      <c r="F168" s="575" t="s">
        <v>1110</v>
      </c>
      <c r="G168" s="547" t="s">
        <v>1031</v>
      </c>
      <c r="H168" s="547" t="s">
        <v>1032</v>
      </c>
      <c r="I168" s="561">
        <v>31062.28</v>
      </c>
      <c r="J168" s="561">
        <v>1</v>
      </c>
      <c r="K168" s="562">
        <v>31062.28</v>
      </c>
    </row>
    <row r="169" spans="1:11" ht="14.4" customHeight="1" x14ac:dyDescent="0.3">
      <c r="A169" s="543" t="s">
        <v>470</v>
      </c>
      <c r="B169" s="544" t="s">
        <v>614</v>
      </c>
      <c r="C169" s="547" t="s">
        <v>483</v>
      </c>
      <c r="D169" s="575" t="s">
        <v>616</v>
      </c>
      <c r="E169" s="547" t="s">
        <v>1109</v>
      </c>
      <c r="F169" s="575" t="s">
        <v>1110</v>
      </c>
      <c r="G169" s="547" t="s">
        <v>1033</v>
      </c>
      <c r="H169" s="547" t="s">
        <v>1034</v>
      </c>
      <c r="I169" s="561">
        <v>16975.59</v>
      </c>
      <c r="J169" s="561">
        <v>1</v>
      </c>
      <c r="K169" s="562">
        <v>16975.59</v>
      </c>
    </row>
    <row r="170" spans="1:11" ht="14.4" customHeight="1" x14ac:dyDescent="0.3">
      <c r="A170" s="543" t="s">
        <v>470</v>
      </c>
      <c r="B170" s="544" t="s">
        <v>614</v>
      </c>
      <c r="C170" s="547" t="s">
        <v>483</v>
      </c>
      <c r="D170" s="575" t="s">
        <v>616</v>
      </c>
      <c r="E170" s="547" t="s">
        <v>1109</v>
      </c>
      <c r="F170" s="575" t="s">
        <v>1110</v>
      </c>
      <c r="G170" s="547" t="s">
        <v>1035</v>
      </c>
      <c r="H170" s="547" t="s">
        <v>1036</v>
      </c>
      <c r="I170" s="561">
        <v>2950.71</v>
      </c>
      <c r="J170" s="561">
        <v>1</v>
      </c>
      <c r="K170" s="562">
        <v>2950.71</v>
      </c>
    </row>
    <row r="171" spans="1:11" ht="14.4" customHeight="1" x14ac:dyDescent="0.3">
      <c r="A171" s="543" t="s">
        <v>470</v>
      </c>
      <c r="B171" s="544" t="s">
        <v>614</v>
      </c>
      <c r="C171" s="547" t="s">
        <v>483</v>
      </c>
      <c r="D171" s="575" t="s">
        <v>616</v>
      </c>
      <c r="E171" s="547" t="s">
        <v>1109</v>
      </c>
      <c r="F171" s="575" t="s">
        <v>1110</v>
      </c>
      <c r="G171" s="547" t="s">
        <v>1037</v>
      </c>
      <c r="H171" s="547" t="s">
        <v>1038</v>
      </c>
      <c r="I171" s="561">
        <v>7069</v>
      </c>
      <c r="J171" s="561">
        <v>1</v>
      </c>
      <c r="K171" s="562">
        <v>7069</v>
      </c>
    </row>
    <row r="172" spans="1:11" ht="14.4" customHeight="1" x14ac:dyDescent="0.3">
      <c r="A172" s="543" t="s">
        <v>470</v>
      </c>
      <c r="B172" s="544" t="s">
        <v>614</v>
      </c>
      <c r="C172" s="547" t="s">
        <v>483</v>
      </c>
      <c r="D172" s="575" t="s">
        <v>616</v>
      </c>
      <c r="E172" s="547" t="s">
        <v>1109</v>
      </c>
      <c r="F172" s="575" t="s">
        <v>1110</v>
      </c>
      <c r="G172" s="547" t="s">
        <v>1039</v>
      </c>
      <c r="H172" s="547" t="s">
        <v>1040</v>
      </c>
      <c r="I172" s="561">
        <v>7427.8249999999998</v>
      </c>
      <c r="J172" s="561">
        <v>2</v>
      </c>
      <c r="K172" s="562">
        <v>14855.65</v>
      </c>
    </row>
    <row r="173" spans="1:11" ht="14.4" customHeight="1" x14ac:dyDescent="0.3">
      <c r="A173" s="543" t="s">
        <v>470</v>
      </c>
      <c r="B173" s="544" t="s">
        <v>614</v>
      </c>
      <c r="C173" s="547" t="s">
        <v>483</v>
      </c>
      <c r="D173" s="575" t="s">
        <v>616</v>
      </c>
      <c r="E173" s="547" t="s">
        <v>1109</v>
      </c>
      <c r="F173" s="575" t="s">
        <v>1110</v>
      </c>
      <c r="G173" s="547" t="s">
        <v>1041</v>
      </c>
      <c r="H173" s="547" t="s">
        <v>1042</v>
      </c>
      <c r="I173" s="561">
        <v>12939</v>
      </c>
      <c r="J173" s="561">
        <v>1</v>
      </c>
      <c r="K173" s="562">
        <v>12939</v>
      </c>
    </row>
    <row r="174" spans="1:11" ht="14.4" customHeight="1" x14ac:dyDescent="0.3">
      <c r="A174" s="543" t="s">
        <v>470</v>
      </c>
      <c r="B174" s="544" t="s">
        <v>614</v>
      </c>
      <c r="C174" s="547" t="s">
        <v>483</v>
      </c>
      <c r="D174" s="575" t="s">
        <v>616</v>
      </c>
      <c r="E174" s="547" t="s">
        <v>1109</v>
      </c>
      <c r="F174" s="575" t="s">
        <v>1110</v>
      </c>
      <c r="G174" s="547" t="s">
        <v>1043</v>
      </c>
      <c r="H174" s="547" t="s">
        <v>1044</v>
      </c>
      <c r="I174" s="561">
        <v>617.9</v>
      </c>
      <c r="J174" s="561">
        <v>1</v>
      </c>
      <c r="K174" s="562">
        <v>617.9</v>
      </c>
    </row>
    <row r="175" spans="1:11" ht="14.4" customHeight="1" x14ac:dyDescent="0.3">
      <c r="A175" s="543" t="s">
        <v>470</v>
      </c>
      <c r="B175" s="544" t="s">
        <v>614</v>
      </c>
      <c r="C175" s="547" t="s">
        <v>483</v>
      </c>
      <c r="D175" s="575" t="s">
        <v>616</v>
      </c>
      <c r="E175" s="547" t="s">
        <v>1109</v>
      </c>
      <c r="F175" s="575" t="s">
        <v>1110</v>
      </c>
      <c r="G175" s="547" t="s">
        <v>1045</v>
      </c>
      <c r="H175" s="547" t="s">
        <v>1046</v>
      </c>
      <c r="I175" s="561">
        <v>7442</v>
      </c>
      <c r="J175" s="561">
        <v>1</v>
      </c>
      <c r="K175" s="562">
        <v>7442</v>
      </c>
    </row>
    <row r="176" spans="1:11" ht="14.4" customHeight="1" x14ac:dyDescent="0.3">
      <c r="A176" s="543" t="s">
        <v>470</v>
      </c>
      <c r="B176" s="544" t="s">
        <v>614</v>
      </c>
      <c r="C176" s="547" t="s">
        <v>483</v>
      </c>
      <c r="D176" s="575" t="s">
        <v>616</v>
      </c>
      <c r="E176" s="547" t="s">
        <v>1109</v>
      </c>
      <c r="F176" s="575" t="s">
        <v>1110</v>
      </c>
      <c r="G176" s="547" t="s">
        <v>1047</v>
      </c>
      <c r="H176" s="547" t="s">
        <v>1048</v>
      </c>
      <c r="I176" s="561">
        <v>9486.005000000001</v>
      </c>
      <c r="J176" s="561">
        <v>2</v>
      </c>
      <c r="K176" s="562">
        <v>18972.010000000002</v>
      </c>
    </row>
    <row r="177" spans="1:11" ht="14.4" customHeight="1" x14ac:dyDescent="0.3">
      <c r="A177" s="543" t="s">
        <v>470</v>
      </c>
      <c r="B177" s="544" t="s">
        <v>614</v>
      </c>
      <c r="C177" s="547" t="s">
        <v>483</v>
      </c>
      <c r="D177" s="575" t="s">
        <v>616</v>
      </c>
      <c r="E177" s="547" t="s">
        <v>1109</v>
      </c>
      <c r="F177" s="575" t="s">
        <v>1110</v>
      </c>
      <c r="G177" s="547" t="s">
        <v>1049</v>
      </c>
      <c r="H177" s="547" t="s">
        <v>1050</v>
      </c>
      <c r="I177" s="561">
        <v>6011.3</v>
      </c>
      <c r="J177" s="561">
        <v>1</v>
      </c>
      <c r="K177" s="562">
        <v>6011.3</v>
      </c>
    </row>
    <row r="178" spans="1:11" ht="14.4" customHeight="1" x14ac:dyDescent="0.3">
      <c r="A178" s="543" t="s">
        <v>470</v>
      </c>
      <c r="B178" s="544" t="s">
        <v>614</v>
      </c>
      <c r="C178" s="547" t="s">
        <v>483</v>
      </c>
      <c r="D178" s="575" t="s">
        <v>616</v>
      </c>
      <c r="E178" s="547" t="s">
        <v>1109</v>
      </c>
      <c r="F178" s="575" t="s">
        <v>1110</v>
      </c>
      <c r="G178" s="547" t="s">
        <v>1051</v>
      </c>
      <c r="H178" s="547" t="s">
        <v>1052</v>
      </c>
      <c r="I178" s="561">
        <v>20698</v>
      </c>
      <c r="J178" s="561">
        <v>1</v>
      </c>
      <c r="K178" s="562">
        <v>20698</v>
      </c>
    </row>
    <row r="179" spans="1:11" ht="14.4" customHeight="1" x14ac:dyDescent="0.3">
      <c r="A179" s="543" t="s">
        <v>470</v>
      </c>
      <c r="B179" s="544" t="s">
        <v>614</v>
      </c>
      <c r="C179" s="547" t="s">
        <v>483</v>
      </c>
      <c r="D179" s="575" t="s">
        <v>616</v>
      </c>
      <c r="E179" s="547" t="s">
        <v>1109</v>
      </c>
      <c r="F179" s="575" t="s">
        <v>1110</v>
      </c>
      <c r="G179" s="547" t="s">
        <v>1053</v>
      </c>
      <c r="H179" s="547" t="s">
        <v>1054</v>
      </c>
      <c r="I179" s="561">
        <v>13133.34</v>
      </c>
      <c r="J179" s="561">
        <v>1</v>
      </c>
      <c r="K179" s="562">
        <v>13133.34</v>
      </c>
    </row>
    <row r="180" spans="1:11" ht="14.4" customHeight="1" x14ac:dyDescent="0.3">
      <c r="A180" s="543" t="s">
        <v>470</v>
      </c>
      <c r="B180" s="544" t="s">
        <v>614</v>
      </c>
      <c r="C180" s="547" t="s">
        <v>483</v>
      </c>
      <c r="D180" s="575" t="s">
        <v>616</v>
      </c>
      <c r="E180" s="547" t="s">
        <v>1109</v>
      </c>
      <c r="F180" s="575" t="s">
        <v>1110</v>
      </c>
      <c r="G180" s="547" t="s">
        <v>1055</v>
      </c>
      <c r="H180" s="547" t="s">
        <v>1056</v>
      </c>
      <c r="I180" s="561">
        <v>7402.78</v>
      </c>
      <c r="J180" s="561">
        <v>1</v>
      </c>
      <c r="K180" s="562">
        <v>7402.78</v>
      </c>
    </row>
    <row r="181" spans="1:11" ht="14.4" customHeight="1" x14ac:dyDescent="0.3">
      <c r="A181" s="543" t="s">
        <v>470</v>
      </c>
      <c r="B181" s="544" t="s">
        <v>614</v>
      </c>
      <c r="C181" s="547" t="s">
        <v>483</v>
      </c>
      <c r="D181" s="575" t="s">
        <v>616</v>
      </c>
      <c r="E181" s="547" t="s">
        <v>1109</v>
      </c>
      <c r="F181" s="575" t="s">
        <v>1110</v>
      </c>
      <c r="G181" s="547" t="s">
        <v>1057</v>
      </c>
      <c r="H181" s="547" t="s">
        <v>1058</v>
      </c>
      <c r="I181" s="561">
        <v>16044.62</v>
      </c>
      <c r="J181" s="561">
        <v>1</v>
      </c>
      <c r="K181" s="562">
        <v>16044.62</v>
      </c>
    </row>
    <row r="182" spans="1:11" ht="14.4" customHeight="1" x14ac:dyDescent="0.3">
      <c r="A182" s="543" t="s">
        <v>470</v>
      </c>
      <c r="B182" s="544" t="s">
        <v>614</v>
      </c>
      <c r="C182" s="547" t="s">
        <v>483</v>
      </c>
      <c r="D182" s="575" t="s">
        <v>616</v>
      </c>
      <c r="E182" s="547" t="s">
        <v>1109</v>
      </c>
      <c r="F182" s="575" t="s">
        <v>1110</v>
      </c>
      <c r="G182" s="547" t="s">
        <v>1059</v>
      </c>
      <c r="H182" s="547" t="s">
        <v>1060</v>
      </c>
      <c r="I182" s="561">
        <v>7567.39</v>
      </c>
      <c r="J182" s="561">
        <v>1</v>
      </c>
      <c r="K182" s="562">
        <v>7567.39</v>
      </c>
    </row>
    <row r="183" spans="1:11" ht="14.4" customHeight="1" x14ac:dyDescent="0.3">
      <c r="A183" s="543" t="s">
        <v>470</v>
      </c>
      <c r="B183" s="544" t="s">
        <v>614</v>
      </c>
      <c r="C183" s="547" t="s">
        <v>483</v>
      </c>
      <c r="D183" s="575" t="s">
        <v>616</v>
      </c>
      <c r="E183" s="547" t="s">
        <v>1109</v>
      </c>
      <c r="F183" s="575" t="s">
        <v>1110</v>
      </c>
      <c r="G183" s="547" t="s">
        <v>1061</v>
      </c>
      <c r="H183" s="547" t="s">
        <v>1062</v>
      </c>
      <c r="I183" s="561">
        <v>15851</v>
      </c>
      <c r="J183" s="561">
        <v>1</v>
      </c>
      <c r="K183" s="562">
        <v>15851</v>
      </c>
    </row>
    <row r="184" spans="1:11" ht="14.4" customHeight="1" x14ac:dyDescent="0.3">
      <c r="A184" s="543" t="s">
        <v>470</v>
      </c>
      <c r="B184" s="544" t="s">
        <v>614</v>
      </c>
      <c r="C184" s="547" t="s">
        <v>483</v>
      </c>
      <c r="D184" s="575" t="s">
        <v>616</v>
      </c>
      <c r="E184" s="547" t="s">
        <v>1109</v>
      </c>
      <c r="F184" s="575" t="s">
        <v>1110</v>
      </c>
      <c r="G184" s="547" t="s">
        <v>1063</v>
      </c>
      <c r="H184" s="547" t="s">
        <v>1064</v>
      </c>
      <c r="I184" s="561">
        <v>2031</v>
      </c>
      <c r="J184" s="561">
        <v>1</v>
      </c>
      <c r="K184" s="562">
        <v>2031</v>
      </c>
    </row>
    <row r="185" spans="1:11" ht="14.4" customHeight="1" x14ac:dyDescent="0.3">
      <c r="A185" s="543" t="s">
        <v>470</v>
      </c>
      <c r="B185" s="544" t="s">
        <v>614</v>
      </c>
      <c r="C185" s="547" t="s">
        <v>483</v>
      </c>
      <c r="D185" s="575" t="s">
        <v>616</v>
      </c>
      <c r="E185" s="547" t="s">
        <v>1109</v>
      </c>
      <c r="F185" s="575" t="s">
        <v>1110</v>
      </c>
      <c r="G185" s="547" t="s">
        <v>1065</v>
      </c>
      <c r="H185" s="547" t="s">
        <v>1066</v>
      </c>
      <c r="I185" s="561">
        <v>191024.1</v>
      </c>
      <c r="J185" s="561">
        <v>1</v>
      </c>
      <c r="K185" s="562">
        <v>191024.1</v>
      </c>
    </row>
    <row r="186" spans="1:11" ht="14.4" customHeight="1" x14ac:dyDescent="0.3">
      <c r="A186" s="543" t="s">
        <v>470</v>
      </c>
      <c r="B186" s="544" t="s">
        <v>614</v>
      </c>
      <c r="C186" s="547" t="s">
        <v>483</v>
      </c>
      <c r="D186" s="575" t="s">
        <v>616</v>
      </c>
      <c r="E186" s="547" t="s">
        <v>1109</v>
      </c>
      <c r="F186" s="575" t="s">
        <v>1110</v>
      </c>
      <c r="G186" s="547" t="s">
        <v>1067</v>
      </c>
      <c r="H186" s="547" t="s">
        <v>1068</v>
      </c>
      <c r="I186" s="561">
        <v>15143.05</v>
      </c>
      <c r="J186" s="561">
        <v>1</v>
      </c>
      <c r="K186" s="562">
        <v>15143.05</v>
      </c>
    </row>
    <row r="187" spans="1:11" ht="14.4" customHeight="1" x14ac:dyDescent="0.3">
      <c r="A187" s="543" t="s">
        <v>470</v>
      </c>
      <c r="B187" s="544" t="s">
        <v>614</v>
      </c>
      <c r="C187" s="547" t="s">
        <v>483</v>
      </c>
      <c r="D187" s="575" t="s">
        <v>616</v>
      </c>
      <c r="E187" s="547" t="s">
        <v>1109</v>
      </c>
      <c r="F187" s="575" t="s">
        <v>1110</v>
      </c>
      <c r="G187" s="547" t="s">
        <v>1069</v>
      </c>
      <c r="H187" s="547" t="s">
        <v>1070</v>
      </c>
      <c r="I187" s="561">
        <v>5747.66</v>
      </c>
      <c r="J187" s="561">
        <v>1</v>
      </c>
      <c r="K187" s="562">
        <v>5747.66</v>
      </c>
    </row>
    <row r="188" spans="1:11" ht="14.4" customHeight="1" x14ac:dyDescent="0.3">
      <c r="A188" s="543" t="s">
        <v>470</v>
      </c>
      <c r="B188" s="544" t="s">
        <v>614</v>
      </c>
      <c r="C188" s="547" t="s">
        <v>483</v>
      </c>
      <c r="D188" s="575" t="s">
        <v>616</v>
      </c>
      <c r="E188" s="547" t="s">
        <v>1109</v>
      </c>
      <c r="F188" s="575" t="s">
        <v>1110</v>
      </c>
      <c r="G188" s="547" t="s">
        <v>1071</v>
      </c>
      <c r="H188" s="547" t="s">
        <v>1072</v>
      </c>
      <c r="I188" s="561">
        <v>3722.35</v>
      </c>
      <c r="J188" s="561">
        <v>2</v>
      </c>
      <c r="K188" s="562">
        <v>7444.7</v>
      </c>
    </row>
    <row r="189" spans="1:11" ht="14.4" customHeight="1" x14ac:dyDescent="0.3">
      <c r="A189" s="543" t="s">
        <v>470</v>
      </c>
      <c r="B189" s="544" t="s">
        <v>614</v>
      </c>
      <c r="C189" s="547" t="s">
        <v>483</v>
      </c>
      <c r="D189" s="575" t="s">
        <v>616</v>
      </c>
      <c r="E189" s="547" t="s">
        <v>1109</v>
      </c>
      <c r="F189" s="575" t="s">
        <v>1110</v>
      </c>
      <c r="G189" s="547" t="s">
        <v>1073</v>
      </c>
      <c r="H189" s="547" t="s">
        <v>1074</v>
      </c>
      <c r="I189" s="561">
        <v>17908</v>
      </c>
      <c r="J189" s="561">
        <v>1</v>
      </c>
      <c r="K189" s="562">
        <v>17908</v>
      </c>
    </row>
    <row r="190" spans="1:11" ht="14.4" customHeight="1" x14ac:dyDescent="0.3">
      <c r="A190" s="543" t="s">
        <v>470</v>
      </c>
      <c r="B190" s="544" t="s">
        <v>614</v>
      </c>
      <c r="C190" s="547" t="s">
        <v>483</v>
      </c>
      <c r="D190" s="575" t="s">
        <v>616</v>
      </c>
      <c r="E190" s="547" t="s">
        <v>1109</v>
      </c>
      <c r="F190" s="575" t="s">
        <v>1110</v>
      </c>
      <c r="G190" s="547" t="s">
        <v>1075</v>
      </c>
      <c r="H190" s="547" t="s">
        <v>1076</v>
      </c>
      <c r="I190" s="561">
        <v>44044.1</v>
      </c>
      <c r="J190" s="561">
        <v>1</v>
      </c>
      <c r="K190" s="562">
        <v>44044.1</v>
      </c>
    </row>
    <row r="191" spans="1:11" ht="14.4" customHeight="1" x14ac:dyDescent="0.3">
      <c r="A191" s="543" t="s">
        <v>470</v>
      </c>
      <c r="B191" s="544" t="s">
        <v>614</v>
      </c>
      <c r="C191" s="547" t="s">
        <v>483</v>
      </c>
      <c r="D191" s="575" t="s">
        <v>616</v>
      </c>
      <c r="E191" s="547" t="s">
        <v>1109</v>
      </c>
      <c r="F191" s="575" t="s">
        <v>1110</v>
      </c>
      <c r="G191" s="547" t="s">
        <v>1077</v>
      </c>
      <c r="H191" s="547" t="s">
        <v>1078</v>
      </c>
      <c r="I191" s="561">
        <v>188760</v>
      </c>
      <c r="J191" s="561">
        <v>1</v>
      </c>
      <c r="K191" s="562">
        <v>188760</v>
      </c>
    </row>
    <row r="192" spans="1:11" ht="14.4" customHeight="1" x14ac:dyDescent="0.3">
      <c r="A192" s="543" t="s">
        <v>470</v>
      </c>
      <c r="B192" s="544" t="s">
        <v>614</v>
      </c>
      <c r="C192" s="547" t="s">
        <v>483</v>
      </c>
      <c r="D192" s="575" t="s">
        <v>616</v>
      </c>
      <c r="E192" s="547" t="s">
        <v>1109</v>
      </c>
      <c r="F192" s="575" t="s">
        <v>1110</v>
      </c>
      <c r="G192" s="547" t="s">
        <v>1079</v>
      </c>
      <c r="H192" s="547" t="s">
        <v>1080</v>
      </c>
      <c r="I192" s="561">
        <v>8470</v>
      </c>
      <c r="J192" s="561">
        <v>1</v>
      </c>
      <c r="K192" s="562">
        <v>8470</v>
      </c>
    </row>
    <row r="193" spans="1:11" ht="14.4" customHeight="1" x14ac:dyDescent="0.3">
      <c r="A193" s="543" t="s">
        <v>470</v>
      </c>
      <c r="B193" s="544" t="s">
        <v>614</v>
      </c>
      <c r="C193" s="547" t="s">
        <v>483</v>
      </c>
      <c r="D193" s="575" t="s">
        <v>616</v>
      </c>
      <c r="E193" s="547" t="s">
        <v>1109</v>
      </c>
      <c r="F193" s="575" t="s">
        <v>1110</v>
      </c>
      <c r="G193" s="547" t="s">
        <v>1081</v>
      </c>
      <c r="H193" s="547" t="s">
        <v>1082</v>
      </c>
      <c r="I193" s="561">
        <v>18379.900000000001</v>
      </c>
      <c r="J193" s="561">
        <v>1</v>
      </c>
      <c r="K193" s="562">
        <v>18379.900000000001</v>
      </c>
    </row>
    <row r="194" spans="1:11" ht="14.4" customHeight="1" x14ac:dyDescent="0.3">
      <c r="A194" s="543" t="s">
        <v>470</v>
      </c>
      <c r="B194" s="544" t="s">
        <v>614</v>
      </c>
      <c r="C194" s="547" t="s">
        <v>483</v>
      </c>
      <c r="D194" s="575" t="s">
        <v>616</v>
      </c>
      <c r="E194" s="547" t="s">
        <v>1109</v>
      </c>
      <c r="F194" s="575" t="s">
        <v>1110</v>
      </c>
      <c r="G194" s="547" t="s">
        <v>1083</v>
      </c>
      <c r="H194" s="547" t="s">
        <v>1084</v>
      </c>
      <c r="I194" s="561">
        <v>14217.5</v>
      </c>
      <c r="J194" s="561">
        <v>1</v>
      </c>
      <c r="K194" s="562">
        <v>14217.5</v>
      </c>
    </row>
    <row r="195" spans="1:11" ht="14.4" customHeight="1" x14ac:dyDescent="0.3">
      <c r="A195" s="543" t="s">
        <v>470</v>
      </c>
      <c r="B195" s="544" t="s">
        <v>614</v>
      </c>
      <c r="C195" s="547" t="s">
        <v>483</v>
      </c>
      <c r="D195" s="575" t="s">
        <v>616</v>
      </c>
      <c r="E195" s="547" t="s">
        <v>1109</v>
      </c>
      <c r="F195" s="575" t="s">
        <v>1110</v>
      </c>
      <c r="G195" s="547" t="s">
        <v>1085</v>
      </c>
      <c r="H195" s="547" t="s">
        <v>1086</v>
      </c>
      <c r="I195" s="561">
        <v>16489</v>
      </c>
      <c r="J195" s="561">
        <v>1</v>
      </c>
      <c r="K195" s="562">
        <v>16489</v>
      </c>
    </row>
    <row r="196" spans="1:11" ht="14.4" customHeight="1" x14ac:dyDescent="0.3">
      <c r="A196" s="543" t="s">
        <v>470</v>
      </c>
      <c r="B196" s="544" t="s">
        <v>614</v>
      </c>
      <c r="C196" s="547" t="s">
        <v>483</v>
      </c>
      <c r="D196" s="575" t="s">
        <v>616</v>
      </c>
      <c r="E196" s="547" t="s">
        <v>1109</v>
      </c>
      <c r="F196" s="575" t="s">
        <v>1110</v>
      </c>
      <c r="G196" s="547" t="s">
        <v>1087</v>
      </c>
      <c r="H196" s="547" t="s">
        <v>1088</v>
      </c>
      <c r="I196" s="561">
        <v>8893.5</v>
      </c>
      <c r="J196" s="561">
        <v>1</v>
      </c>
      <c r="K196" s="562">
        <v>8893.5</v>
      </c>
    </row>
    <row r="197" spans="1:11" ht="14.4" customHeight="1" x14ac:dyDescent="0.3">
      <c r="A197" s="543" t="s">
        <v>470</v>
      </c>
      <c r="B197" s="544" t="s">
        <v>614</v>
      </c>
      <c r="C197" s="547" t="s">
        <v>483</v>
      </c>
      <c r="D197" s="575" t="s">
        <v>616</v>
      </c>
      <c r="E197" s="547" t="s">
        <v>1109</v>
      </c>
      <c r="F197" s="575" t="s">
        <v>1110</v>
      </c>
      <c r="G197" s="547" t="s">
        <v>1089</v>
      </c>
      <c r="H197" s="547" t="s">
        <v>1090</v>
      </c>
      <c r="I197" s="561">
        <v>14590.33</v>
      </c>
      <c r="J197" s="561">
        <v>1</v>
      </c>
      <c r="K197" s="562">
        <v>14590.33</v>
      </c>
    </row>
    <row r="198" spans="1:11" ht="14.4" customHeight="1" x14ac:dyDescent="0.3">
      <c r="A198" s="543" t="s">
        <v>470</v>
      </c>
      <c r="B198" s="544" t="s">
        <v>614</v>
      </c>
      <c r="C198" s="547" t="s">
        <v>483</v>
      </c>
      <c r="D198" s="575" t="s">
        <v>616</v>
      </c>
      <c r="E198" s="547" t="s">
        <v>1109</v>
      </c>
      <c r="F198" s="575" t="s">
        <v>1110</v>
      </c>
      <c r="G198" s="547" t="s">
        <v>1091</v>
      </c>
      <c r="H198" s="547" t="s">
        <v>1092</v>
      </c>
      <c r="I198" s="561">
        <v>14590.33</v>
      </c>
      <c r="J198" s="561">
        <v>1</v>
      </c>
      <c r="K198" s="562">
        <v>14590.33</v>
      </c>
    </row>
    <row r="199" spans="1:11" ht="14.4" customHeight="1" x14ac:dyDescent="0.3">
      <c r="A199" s="543" t="s">
        <v>470</v>
      </c>
      <c r="B199" s="544" t="s">
        <v>614</v>
      </c>
      <c r="C199" s="547" t="s">
        <v>483</v>
      </c>
      <c r="D199" s="575" t="s">
        <v>616</v>
      </c>
      <c r="E199" s="547" t="s">
        <v>1109</v>
      </c>
      <c r="F199" s="575" t="s">
        <v>1110</v>
      </c>
      <c r="G199" s="547" t="s">
        <v>1093</v>
      </c>
      <c r="H199" s="547" t="s">
        <v>1094</v>
      </c>
      <c r="I199" s="561">
        <v>8893.5</v>
      </c>
      <c r="J199" s="561">
        <v>1</v>
      </c>
      <c r="K199" s="562">
        <v>8893.5</v>
      </c>
    </row>
    <row r="200" spans="1:11" ht="14.4" customHeight="1" thickBot="1" x14ac:dyDescent="0.35">
      <c r="A200" s="551" t="s">
        <v>470</v>
      </c>
      <c r="B200" s="552" t="s">
        <v>614</v>
      </c>
      <c r="C200" s="555" t="s">
        <v>483</v>
      </c>
      <c r="D200" s="576" t="s">
        <v>616</v>
      </c>
      <c r="E200" s="555" t="s">
        <v>1109</v>
      </c>
      <c r="F200" s="576" t="s">
        <v>1110</v>
      </c>
      <c r="G200" s="555" t="s">
        <v>1095</v>
      </c>
      <c r="H200" s="555" t="s">
        <v>1096</v>
      </c>
      <c r="I200" s="563">
        <v>992.6653846153846</v>
      </c>
      <c r="J200" s="563">
        <v>26</v>
      </c>
      <c r="K200" s="564">
        <v>25809.3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  <col min="8" max="8" width="13.109375" hidden="1" customWidth="1"/>
    <col min="9" max="9" width="13.109375" customWidth="1"/>
    <col min="10" max="20" width="13.109375" hidden="1" customWidth="1"/>
    <col min="21" max="21" width="13.109375" customWidth="1"/>
    <col min="22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394" t="s">
        <v>107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</row>
    <row r="2" spans="1:34" ht="15" thickBot="1" x14ac:dyDescent="0.35">
      <c r="A2" s="235" t="s">
        <v>281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</row>
    <row r="3" spans="1:34" x14ac:dyDescent="0.3">
      <c r="A3" s="254" t="s">
        <v>227</v>
      </c>
      <c r="B3" s="395" t="s">
        <v>208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586">
        <v>930</v>
      </c>
      <c r="AH3" s="602"/>
    </row>
    <row r="4" spans="1:34" ht="36.6" outlineLevel="1" thickBot="1" x14ac:dyDescent="0.35">
      <c r="A4" s="255">
        <v>2014</v>
      </c>
      <c r="B4" s="396"/>
      <c r="C4" s="239" t="s">
        <v>209</v>
      </c>
      <c r="D4" s="240" t="s">
        <v>210</v>
      </c>
      <c r="E4" s="240" t="s">
        <v>211</v>
      </c>
      <c r="F4" s="258" t="s">
        <v>239</v>
      </c>
      <c r="G4" s="258" t="s">
        <v>240</v>
      </c>
      <c r="H4" s="258" t="s">
        <v>241</v>
      </c>
      <c r="I4" s="258" t="s">
        <v>242</v>
      </c>
      <c r="J4" s="258" t="s">
        <v>243</v>
      </c>
      <c r="K4" s="258" t="s">
        <v>244</v>
      </c>
      <c r="L4" s="258" t="s">
        <v>245</v>
      </c>
      <c r="M4" s="258" t="s">
        <v>246</v>
      </c>
      <c r="N4" s="258" t="s">
        <v>247</v>
      </c>
      <c r="O4" s="258" t="s">
        <v>248</v>
      </c>
      <c r="P4" s="258" t="s">
        <v>249</v>
      </c>
      <c r="Q4" s="258" t="s">
        <v>250</v>
      </c>
      <c r="R4" s="258" t="s">
        <v>251</v>
      </c>
      <c r="S4" s="258" t="s">
        <v>252</v>
      </c>
      <c r="T4" s="258" t="s">
        <v>253</v>
      </c>
      <c r="U4" s="258" t="s">
        <v>254</v>
      </c>
      <c r="V4" s="258" t="s">
        <v>255</v>
      </c>
      <c r="W4" s="258" t="s">
        <v>264</v>
      </c>
      <c r="X4" s="258" t="s">
        <v>256</v>
      </c>
      <c r="Y4" s="258" t="s">
        <v>265</v>
      </c>
      <c r="Z4" s="258" t="s">
        <v>257</v>
      </c>
      <c r="AA4" s="258" t="s">
        <v>258</v>
      </c>
      <c r="AB4" s="258" t="s">
        <v>259</v>
      </c>
      <c r="AC4" s="258" t="s">
        <v>260</v>
      </c>
      <c r="AD4" s="258" t="s">
        <v>261</v>
      </c>
      <c r="AE4" s="240" t="s">
        <v>262</v>
      </c>
      <c r="AF4" s="240" t="s">
        <v>263</v>
      </c>
      <c r="AG4" s="587" t="s">
        <v>229</v>
      </c>
      <c r="AH4" s="602"/>
    </row>
    <row r="5" spans="1:34" x14ac:dyDescent="0.3">
      <c r="A5" s="241" t="s">
        <v>212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588"/>
      <c r="AH5" s="602"/>
    </row>
    <row r="6" spans="1:34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26.8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5.2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3</v>
      </c>
      <c r="G6" s="282">
        <f xml:space="preserve">
TRUNC(IF($A$4&lt;=12,SUMIFS('ON Data'!L:L,'ON Data'!$D:$D,$A$4,'ON Data'!$E:$E,1),SUMIFS('ON Data'!L:L,'ON Data'!$E:$E,1)/'ON Data'!$D$3),1)</f>
        <v>0.7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6.8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8.1999999999999993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1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589">
        <f xml:space="preserve">
TRUNC(IF($A$4&lt;=12,SUMIFS('ON Data'!AM:AM,'ON Data'!$D:$D,$A$4,'ON Data'!$E:$E,1),SUMIFS('ON Data'!AM:AM,'ON Data'!$E:$E,1)/'ON Data'!$D$3),1)</f>
        <v>1.8</v>
      </c>
      <c r="AH6" s="602"/>
    </row>
    <row r="7" spans="1:34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589"/>
      <c r="AH7" s="602"/>
    </row>
    <row r="8" spans="1:34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589"/>
      <c r="AH8" s="602"/>
    </row>
    <row r="9" spans="1:34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590"/>
      <c r="AH9" s="602"/>
    </row>
    <row r="10" spans="1:34" x14ac:dyDescent="0.3">
      <c r="A10" s="244" t="s">
        <v>213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591"/>
      <c r="AH10" s="602"/>
    </row>
    <row r="11" spans="1:34" x14ac:dyDescent="0.3">
      <c r="A11" s="245" t="s">
        <v>214</v>
      </c>
      <c r="B11" s="262">
        <f xml:space="preserve">
IF($A$4&lt;=12,SUMIFS('ON Data'!F:F,'ON Data'!$D:$D,$A$4,'ON Data'!$E:$E,2),SUMIFS('ON Data'!F:F,'ON Data'!$E:$E,2))</f>
        <v>32128.800000000007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6319.2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3360</v>
      </c>
      <c r="G11" s="264">
        <f xml:space="preserve">
IF($A$4&lt;=12,SUMIFS('ON Data'!L:L,'ON Data'!$D:$D,$A$4,'ON Data'!$E:$E,2),SUMIFS('ON Data'!L:L,'ON Data'!$E:$E,2))</f>
        <v>896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8272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9788.7999999999993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1280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592">
        <f xml:space="preserve">
IF($A$4&lt;=12,SUMIFS('ON Data'!AM:AM,'ON Data'!$D:$D,$A$4,'ON Data'!$E:$E,2),SUMIFS('ON Data'!AM:AM,'ON Data'!$E:$E,2))</f>
        <v>2212.7999999999997</v>
      </c>
      <c r="AH11" s="602"/>
    </row>
    <row r="12" spans="1:34" x14ac:dyDescent="0.3">
      <c r="A12" s="245" t="s">
        <v>215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592">
        <f xml:space="preserve">
IF($A$4&lt;=12,SUMIFS('ON Data'!AM:AM,'ON Data'!$D:$D,$A$4,'ON Data'!$E:$E,3),SUMIFS('ON Data'!AM:AM,'ON Data'!$E:$E,3))</f>
        <v>0</v>
      </c>
      <c r="AH12" s="602"/>
    </row>
    <row r="13" spans="1:34" x14ac:dyDescent="0.3">
      <c r="A13" s="245" t="s">
        <v>222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592">
        <f xml:space="preserve">
IF($A$4&lt;=12,SUMIFS('ON Data'!AM:AM,'ON Data'!$D:$D,$A$4,'ON Data'!$E:$E,4),SUMIFS('ON Data'!AM:AM,'ON Data'!$E:$E,4))</f>
        <v>0</v>
      </c>
      <c r="AH13" s="602"/>
    </row>
    <row r="14" spans="1:34" ht="15" thickBot="1" x14ac:dyDescent="0.35">
      <c r="A14" s="246" t="s">
        <v>216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Data'!G:G,'ON Data'!$D:$D,$A$4,'ON Data'!$E:$E,5),SUMIFS('ON Data'!G:G,'ON Data'!$E:$E,5))</f>
        <v>0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593">
        <f xml:space="preserve">
IF($A$4&lt;=12,SUMIFS('ON Data'!AM:AM,'ON Data'!$D:$D,$A$4,'ON Data'!$E:$E,5),SUMIFS('ON Data'!AM:AM,'ON Data'!$E:$E,5))</f>
        <v>0</v>
      </c>
      <c r="AH14" s="602"/>
    </row>
    <row r="15" spans="1:34" x14ac:dyDescent="0.3">
      <c r="A15" s="163" t="s">
        <v>226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594"/>
      <c r="AH15" s="602"/>
    </row>
    <row r="16" spans="1:34" x14ac:dyDescent="0.3">
      <c r="A16" s="247" t="s">
        <v>217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592">
        <f xml:space="preserve">
IF($A$4&lt;=12,SUMIFS('ON Data'!AM:AM,'ON Data'!$D:$D,$A$4,'ON Data'!$E:$E,7),SUMIFS('ON Data'!AM:AM,'ON Data'!$E:$E,7))</f>
        <v>0</v>
      </c>
      <c r="AH16" s="602"/>
    </row>
    <row r="17" spans="1:34" x14ac:dyDescent="0.3">
      <c r="A17" s="247" t="s">
        <v>218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592">
        <f xml:space="preserve">
IF($A$4&lt;=12,SUMIFS('ON Data'!AM:AM,'ON Data'!$D:$D,$A$4,'ON Data'!$E:$E,8),SUMIFS('ON Data'!AM:AM,'ON Data'!$E:$E,8))</f>
        <v>0</v>
      </c>
      <c r="AH17" s="602"/>
    </row>
    <row r="18" spans="1:34" x14ac:dyDescent="0.3">
      <c r="A18" s="247" t="s">
        <v>219</v>
      </c>
      <c r="B18" s="262">
        <f xml:space="preserve">
B19-B16-B17</f>
        <v>533523</v>
      </c>
      <c r="C18" s="263">
        <f t="shared" ref="C18" si="0" xml:space="preserve">
C19-C16-C17</f>
        <v>0</v>
      </c>
      <c r="D18" s="264">
        <f t="shared" ref="D18:AG18" si="1" xml:space="preserve">
D19-D16-D17</f>
        <v>261036</v>
      </c>
      <c r="E18" s="264">
        <f t="shared" si="1"/>
        <v>0</v>
      </c>
      <c r="F18" s="264">
        <f t="shared" si="1"/>
        <v>70312</v>
      </c>
      <c r="G18" s="264">
        <f t="shared" si="1"/>
        <v>13000</v>
      </c>
      <c r="H18" s="264">
        <f t="shared" si="1"/>
        <v>0</v>
      </c>
      <c r="I18" s="264">
        <f t="shared" si="1"/>
        <v>63434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100836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6571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592">
        <f t="shared" si="1"/>
        <v>18334</v>
      </c>
      <c r="AH18" s="602"/>
    </row>
    <row r="19" spans="1:34" ht="15" thickBot="1" x14ac:dyDescent="0.35">
      <c r="A19" s="248" t="s">
        <v>220</v>
      </c>
      <c r="B19" s="271">
        <f xml:space="preserve">
IF($A$4&lt;=12,SUMIFS('ON Data'!F:F,'ON Data'!$D:$D,$A$4,'ON Data'!$E:$E,9),SUMIFS('ON Data'!F:F,'ON Data'!$E:$E,9))</f>
        <v>533523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261036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70312</v>
      </c>
      <c r="G19" s="273">
        <f xml:space="preserve">
IF($A$4&lt;=12,SUMIFS('ON Data'!L:L,'ON Data'!$D:$D,$A$4,'ON Data'!$E:$E,9),SUMIFS('ON Data'!L:L,'ON Data'!$E:$E,9))</f>
        <v>13000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63434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100836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6571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595">
        <f xml:space="preserve">
IF($A$4&lt;=12,SUMIFS('ON Data'!AM:AM,'ON Data'!$D:$D,$A$4,'ON Data'!$E:$E,9),SUMIFS('ON Data'!AM:AM,'ON Data'!$E:$E,9))</f>
        <v>18334</v>
      </c>
      <c r="AH19" s="602"/>
    </row>
    <row r="20" spans="1:34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7174144</v>
      </c>
      <c r="C20" s="275">
        <f xml:space="preserve">
IF($A$4&lt;=12,SUMIFS('ON Data'!G:G,'ON Data'!$D:$D,$A$4,'ON Data'!$E:$E,6),SUMIFS('ON Data'!G:G,'ON Data'!$E:$E,6))</f>
        <v>12400</v>
      </c>
      <c r="D20" s="276">
        <f xml:space="preserve">
IF($A$4&lt;=12,SUMIFS('ON Data'!H:H,'ON Data'!$D:$D,$A$4,'ON Data'!$E:$E,6),SUMIFS('ON Data'!H:H,'ON Data'!$E:$E,6))</f>
        <v>2549910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764023</v>
      </c>
      <c r="G20" s="276">
        <f xml:space="preserve">
IF($A$4&lt;=12,SUMIFS('ON Data'!L:L,'ON Data'!$D:$D,$A$4,'ON Data'!$E:$E,6),SUMIFS('ON Data'!L:L,'ON Data'!$E:$E,6))</f>
        <v>150589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1241817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2011700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126000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596">
        <f xml:space="preserve">
IF($A$4&lt;=12,SUMIFS('ON Data'!AM:AM,'ON Data'!$D:$D,$A$4,'ON Data'!$E:$E,6),SUMIFS('ON Data'!AM:AM,'ON Data'!$E:$E,6))</f>
        <v>317705</v>
      </c>
      <c r="AH20" s="602"/>
    </row>
    <row r="21" spans="1:34" ht="15" hidden="1" outlineLevel="1" thickBot="1" x14ac:dyDescent="0.35">
      <c r="A21" s="242" t="s">
        <v>108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592">
        <f xml:space="preserve">
IF($A$4&lt;=12,SUMIFS('ON Data'!AM:AM,'ON Data'!$D:$D,$A$4,'ON Data'!$E:$E,12),SUMIFS('ON Data'!AM:AM,'ON Data'!$E:$E,12))</f>
        <v>0</v>
      </c>
      <c r="AH21" s="602"/>
    </row>
    <row r="22" spans="1:34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A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si="2"/>
        <v/>
      </c>
      <c r="I22" s="320" t="str">
        <f t="shared" si="2"/>
        <v/>
      </c>
      <c r="J22" s="320" t="str">
        <f t="shared" si="2"/>
        <v/>
      </c>
      <c r="K22" s="320" t="str">
        <f t="shared" si="2"/>
        <v/>
      </c>
      <c r="L22" s="320" t="str">
        <f t="shared" si="2"/>
        <v/>
      </c>
      <c r="M22" s="320" t="str">
        <f t="shared" si="2"/>
        <v/>
      </c>
      <c r="N22" s="320" t="str">
        <f t="shared" si="2"/>
        <v/>
      </c>
      <c r="O22" s="320" t="str">
        <f t="shared" si="2"/>
        <v/>
      </c>
      <c r="P22" s="320" t="str">
        <f t="shared" si="2"/>
        <v/>
      </c>
      <c r="Q22" s="320" t="str">
        <f t="shared" si="2"/>
        <v/>
      </c>
      <c r="R22" s="320" t="str">
        <f t="shared" si="2"/>
        <v/>
      </c>
      <c r="S22" s="320" t="str">
        <f t="shared" si="2"/>
        <v/>
      </c>
      <c r="T22" s="320" t="str">
        <f t="shared" si="2"/>
        <v/>
      </c>
      <c r="U22" s="320" t="str">
        <f t="shared" si="2"/>
        <v/>
      </c>
      <c r="V22" s="320" t="str">
        <f t="shared" si="2"/>
        <v/>
      </c>
      <c r="W22" s="320" t="str">
        <f t="shared" si="2"/>
        <v/>
      </c>
      <c r="X22" s="320" t="str">
        <f t="shared" si="2"/>
        <v/>
      </c>
      <c r="Y22" s="320" t="str">
        <f t="shared" si="2"/>
        <v/>
      </c>
      <c r="Z22" s="320" t="str">
        <f t="shared" si="2"/>
        <v/>
      </c>
      <c r="AA22" s="320" t="str">
        <f t="shared" si="2"/>
        <v/>
      </c>
      <c r="AB22" s="320" t="str">
        <f t="shared" si="2"/>
        <v/>
      </c>
      <c r="AC22" s="320" t="str">
        <f t="shared" si="2"/>
        <v/>
      </c>
      <c r="AD22" s="320" t="str">
        <f t="shared" si="2"/>
        <v/>
      </c>
      <c r="AE22" s="320" t="str">
        <f t="shared" si="2"/>
        <v/>
      </c>
      <c r="AF22" s="320" t="str">
        <f t="shared" si="2"/>
        <v/>
      </c>
      <c r="AG22" s="597" t="str">
        <f t="shared" si="2"/>
        <v/>
      </c>
      <c r="AH22" s="602"/>
    </row>
    <row r="23" spans="1:34" ht="15" hidden="1" outlineLevel="1" thickBot="1" x14ac:dyDescent="0.35">
      <c r="A23" s="250" t="s">
        <v>68</v>
      </c>
      <c r="B23" s="265">
        <f xml:space="preserve">
IF(B21="","",B20-B21)</f>
        <v>7174144</v>
      </c>
      <c r="C23" s="266">
        <f t="shared" ref="C23:AG23" si="3" xml:space="preserve">
IF(C21="","",C20-C21)</f>
        <v>12400</v>
      </c>
      <c r="D23" s="267">
        <f t="shared" si="3"/>
        <v>2549910</v>
      </c>
      <c r="E23" s="267">
        <f t="shared" si="3"/>
        <v>0</v>
      </c>
      <c r="F23" s="267">
        <f t="shared" si="3"/>
        <v>764023</v>
      </c>
      <c r="G23" s="267">
        <f t="shared" si="3"/>
        <v>150589</v>
      </c>
      <c r="H23" s="267">
        <f t="shared" si="3"/>
        <v>0</v>
      </c>
      <c r="I23" s="267">
        <f t="shared" si="3"/>
        <v>1241817</v>
      </c>
      <c r="J23" s="267">
        <f t="shared" si="3"/>
        <v>0</v>
      </c>
      <c r="K23" s="267">
        <f t="shared" si="3"/>
        <v>0</v>
      </c>
      <c r="L23" s="267">
        <f t="shared" si="3"/>
        <v>0</v>
      </c>
      <c r="M23" s="267">
        <f t="shared" si="3"/>
        <v>0</v>
      </c>
      <c r="N23" s="267">
        <f t="shared" si="3"/>
        <v>0</v>
      </c>
      <c r="O23" s="267">
        <f t="shared" si="3"/>
        <v>0</v>
      </c>
      <c r="P23" s="267">
        <f t="shared" si="3"/>
        <v>0</v>
      </c>
      <c r="Q23" s="267">
        <f t="shared" si="3"/>
        <v>0</v>
      </c>
      <c r="R23" s="267">
        <f t="shared" si="3"/>
        <v>0</v>
      </c>
      <c r="S23" s="267">
        <f t="shared" si="3"/>
        <v>0</v>
      </c>
      <c r="T23" s="267">
        <f t="shared" si="3"/>
        <v>0</v>
      </c>
      <c r="U23" s="267">
        <f t="shared" si="3"/>
        <v>2011700</v>
      </c>
      <c r="V23" s="267">
        <f t="shared" si="3"/>
        <v>0</v>
      </c>
      <c r="W23" s="267">
        <f t="shared" si="3"/>
        <v>0</v>
      </c>
      <c r="X23" s="267">
        <f t="shared" si="3"/>
        <v>0</v>
      </c>
      <c r="Y23" s="267">
        <f t="shared" si="3"/>
        <v>0</v>
      </c>
      <c r="Z23" s="267">
        <f t="shared" si="3"/>
        <v>0</v>
      </c>
      <c r="AA23" s="267">
        <f t="shared" si="3"/>
        <v>0</v>
      </c>
      <c r="AB23" s="267">
        <f t="shared" si="3"/>
        <v>0</v>
      </c>
      <c r="AC23" s="267">
        <f t="shared" si="3"/>
        <v>126000</v>
      </c>
      <c r="AD23" s="267">
        <f t="shared" si="3"/>
        <v>0</v>
      </c>
      <c r="AE23" s="267">
        <f t="shared" si="3"/>
        <v>0</v>
      </c>
      <c r="AF23" s="267">
        <f t="shared" si="3"/>
        <v>0</v>
      </c>
      <c r="AG23" s="593">
        <f t="shared" si="3"/>
        <v>317705</v>
      </c>
      <c r="AH23" s="602"/>
    </row>
    <row r="24" spans="1:34" x14ac:dyDescent="0.3">
      <c r="A24" s="244" t="s">
        <v>221</v>
      </c>
      <c r="B24" s="291" t="s">
        <v>3</v>
      </c>
      <c r="C24" s="603" t="s">
        <v>232</v>
      </c>
      <c r="D24" s="577"/>
      <c r="E24" s="578"/>
      <c r="F24" s="578" t="s">
        <v>233</v>
      </c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78"/>
      <c r="AC24" s="578"/>
      <c r="AD24" s="578"/>
      <c r="AE24" s="578"/>
      <c r="AF24" s="578"/>
      <c r="AG24" s="598" t="s">
        <v>234</v>
      </c>
      <c r="AH24" s="602"/>
    </row>
    <row r="25" spans="1:34" x14ac:dyDescent="0.3">
      <c r="A25" s="245" t="s">
        <v>73</v>
      </c>
      <c r="B25" s="262">
        <f xml:space="preserve">
SUM(C25:AG25)</f>
        <v>35288</v>
      </c>
      <c r="C25" s="604">
        <f xml:space="preserve">
IF($A$4&lt;=12,SUMIFS('ON Data'!H:H,'ON Data'!$D:$D,$A$4,'ON Data'!$E:$E,10),SUMIFS('ON Data'!H:H,'ON Data'!$E:$E,10))</f>
        <v>4100</v>
      </c>
      <c r="D25" s="579"/>
      <c r="E25" s="580"/>
      <c r="F25" s="580">
        <f xml:space="preserve">
IF($A$4&lt;=12,SUMIFS('ON Data'!K:K,'ON Data'!$D:$D,$A$4,'ON Data'!$E:$E,10),SUMIFS('ON Data'!K:K,'ON Data'!$E:$E,10))</f>
        <v>31188</v>
      </c>
      <c r="G25" s="580"/>
      <c r="H25" s="580"/>
      <c r="I25" s="580"/>
      <c r="J25" s="580"/>
      <c r="K25" s="580"/>
      <c r="L25" s="580"/>
      <c r="M25" s="580"/>
      <c r="N25" s="580"/>
      <c r="O25" s="580"/>
      <c r="P25" s="580"/>
      <c r="Q25" s="580"/>
      <c r="R25" s="580"/>
      <c r="S25" s="580"/>
      <c r="T25" s="580"/>
      <c r="U25" s="580"/>
      <c r="V25" s="580"/>
      <c r="W25" s="580"/>
      <c r="X25" s="580"/>
      <c r="Y25" s="580"/>
      <c r="Z25" s="580"/>
      <c r="AA25" s="580"/>
      <c r="AB25" s="580"/>
      <c r="AC25" s="580"/>
      <c r="AD25" s="580"/>
      <c r="AE25" s="580"/>
      <c r="AF25" s="580"/>
      <c r="AG25" s="599">
        <f xml:space="preserve">
IF($A$4&lt;=12,SUMIFS('ON Data'!AM:AM,'ON Data'!$D:$D,$A$4,'ON Data'!$E:$E,10),SUMIFS('ON Data'!AM:AM,'ON Data'!$E:$E,10))</f>
        <v>0</v>
      </c>
      <c r="AH25" s="602"/>
    </row>
    <row r="26" spans="1:34" x14ac:dyDescent="0.3">
      <c r="A26" s="251" t="s">
        <v>231</v>
      </c>
      <c r="B26" s="271">
        <f xml:space="preserve">
SUM(C26:AG26)</f>
        <v>47066</v>
      </c>
      <c r="C26" s="604">
        <f xml:space="preserve">
IF($A$4&lt;=12,SUMIFS('ON Data'!H:H,'ON Data'!$D:$D,$A$4,'ON Data'!$E:$E,11),SUMIFS('ON Data'!H:H,'ON Data'!$E:$E,11))</f>
        <v>14399.333333333332</v>
      </c>
      <c r="D26" s="579"/>
      <c r="E26" s="580"/>
      <c r="F26" s="581">
        <f xml:space="preserve">
IF($A$4&lt;=12,SUMIFS('ON Data'!K:K,'ON Data'!$D:$D,$A$4,'ON Data'!$E:$E,11),SUMIFS('ON Data'!K:K,'ON Data'!$E:$E,11))</f>
        <v>32666.666666666664</v>
      </c>
      <c r="G26" s="581"/>
      <c r="H26" s="581"/>
      <c r="I26" s="581"/>
      <c r="J26" s="581"/>
      <c r="K26" s="581"/>
      <c r="L26" s="581"/>
      <c r="M26" s="581"/>
      <c r="N26" s="581"/>
      <c r="O26" s="581"/>
      <c r="P26" s="581"/>
      <c r="Q26" s="581"/>
      <c r="R26" s="581"/>
      <c r="S26" s="581"/>
      <c r="T26" s="581"/>
      <c r="U26" s="581"/>
      <c r="V26" s="581"/>
      <c r="W26" s="581"/>
      <c r="X26" s="581"/>
      <c r="Y26" s="581"/>
      <c r="Z26" s="581"/>
      <c r="AA26" s="581"/>
      <c r="AB26" s="581"/>
      <c r="AC26" s="581"/>
      <c r="AD26" s="581"/>
      <c r="AE26" s="581"/>
      <c r="AF26" s="581"/>
      <c r="AG26" s="599">
        <f xml:space="preserve">
IF($A$4&lt;=12,SUMIFS('ON Data'!AM:AM,'ON Data'!$D:$D,$A$4,'ON Data'!$E:$E,11),SUMIFS('ON Data'!AM:AM,'ON Data'!$E:$E,11))</f>
        <v>0</v>
      </c>
      <c r="AH26" s="602"/>
    </row>
    <row r="27" spans="1:34" x14ac:dyDescent="0.3">
      <c r="A27" s="251" t="s">
        <v>75</v>
      </c>
      <c r="B27" s="292">
        <f xml:space="preserve">
IF(B26=0,0,B25/B26)</f>
        <v>0.74975566226150514</v>
      </c>
      <c r="C27" s="605">
        <f xml:space="preserve">
IF(C26=0,0,C25/C26)</f>
        <v>0.28473540441687117</v>
      </c>
      <c r="D27" s="582"/>
      <c r="E27" s="583"/>
      <c r="F27" s="583">
        <f xml:space="preserve">
IF(F26=0,0,F25/F26)</f>
        <v>0.95473469387755105</v>
      </c>
      <c r="G27" s="583"/>
      <c r="H27" s="583"/>
      <c r="I27" s="583"/>
      <c r="J27" s="583"/>
      <c r="K27" s="583"/>
      <c r="L27" s="583"/>
      <c r="M27" s="583"/>
      <c r="N27" s="583"/>
      <c r="O27" s="583"/>
      <c r="P27" s="583"/>
      <c r="Q27" s="583"/>
      <c r="R27" s="583"/>
      <c r="S27" s="583"/>
      <c r="T27" s="583"/>
      <c r="U27" s="583"/>
      <c r="V27" s="583"/>
      <c r="W27" s="583"/>
      <c r="X27" s="583"/>
      <c r="Y27" s="583"/>
      <c r="Z27" s="583"/>
      <c r="AA27" s="583"/>
      <c r="AB27" s="583"/>
      <c r="AC27" s="583"/>
      <c r="AD27" s="583"/>
      <c r="AE27" s="583"/>
      <c r="AF27" s="583"/>
      <c r="AG27" s="600">
        <f xml:space="preserve">
IF(AG26=0,0,AG25/AG26)</f>
        <v>0</v>
      </c>
      <c r="AH27" s="602"/>
    </row>
    <row r="28" spans="1:34" ht="15" thickBot="1" x14ac:dyDescent="0.35">
      <c r="A28" s="251" t="s">
        <v>230</v>
      </c>
      <c r="B28" s="271">
        <f xml:space="preserve">
SUM(C28:AG28)</f>
        <v>11777.999999999996</v>
      </c>
      <c r="C28" s="606">
        <f xml:space="preserve">
C26-C25</f>
        <v>10299.333333333332</v>
      </c>
      <c r="D28" s="584"/>
      <c r="E28" s="585"/>
      <c r="F28" s="585">
        <f xml:space="preserve">
F26-F25</f>
        <v>1478.6666666666642</v>
      </c>
      <c r="G28" s="585"/>
      <c r="H28" s="585"/>
      <c r="I28" s="585"/>
      <c r="J28" s="585"/>
      <c r="K28" s="585"/>
      <c r="L28" s="585"/>
      <c r="M28" s="585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  <c r="Y28" s="585"/>
      <c r="Z28" s="585"/>
      <c r="AA28" s="585"/>
      <c r="AB28" s="585"/>
      <c r="AC28" s="585"/>
      <c r="AD28" s="585"/>
      <c r="AE28" s="585"/>
      <c r="AF28" s="585"/>
      <c r="AG28" s="601">
        <f xml:space="preserve">
AG26-AG25</f>
        <v>0</v>
      </c>
      <c r="AH28" s="602"/>
    </row>
    <row r="29" spans="1:34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</row>
    <row r="30" spans="1:34" x14ac:dyDescent="0.3">
      <c r="A30" s="113" t="s">
        <v>162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</row>
    <row r="31" spans="1:34" x14ac:dyDescent="0.3">
      <c r="A31" s="114" t="s">
        <v>228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</row>
    <row r="32" spans="1:34" ht="14.4" customHeight="1" x14ac:dyDescent="0.3">
      <c r="A32" s="288" t="s">
        <v>225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235</v>
      </c>
    </row>
    <row r="34" spans="1:1" x14ac:dyDescent="0.3">
      <c r="A34" s="290" t="s">
        <v>236</v>
      </c>
    </row>
    <row r="35" spans="1:1" x14ac:dyDescent="0.3">
      <c r="A35" s="290" t="s">
        <v>237</v>
      </c>
    </row>
    <row r="36" spans="1:1" x14ac:dyDescent="0.3">
      <c r="A36" s="290" t="s">
        <v>238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122</v>
      </c>
      <c r="B1" s="325"/>
      <c r="C1" s="326"/>
      <c r="D1" s="326"/>
      <c r="E1" s="326"/>
    </row>
    <row r="2" spans="1:5" ht="14.4" customHeight="1" thickBot="1" x14ac:dyDescent="0.35">
      <c r="A2" s="235" t="s">
        <v>281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16649.282119030147</v>
      </c>
      <c r="D4" s="161">
        <f ca="1">IF(ISERROR(VLOOKUP("Náklady celkem",INDIRECT("HI!$A:$G"),5,0)),0,VLOOKUP("Náklady celkem",INDIRECT("HI!$A:$G"),5,0))</f>
        <v>15225.944850000011</v>
      </c>
      <c r="E4" s="162">
        <f ca="1">IF(C4=0,0,D4/C4)</f>
        <v>0.91451059217722908</v>
      </c>
    </row>
    <row r="5" spans="1:5" ht="14.4" customHeight="1" x14ac:dyDescent="0.3">
      <c r="A5" s="163" t="s">
        <v>154</v>
      </c>
      <c r="B5" s="164"/>
      <c r="C5" s="165"/>
      <c r="D5" s="165"/>
      <c r="E5" s="166"/>
    </row>
    <row r="6" spans="1:5" ht="14.4" customHeight="1" x14ac:dyDescent="0.3">
      <c r="A6" s="167" t="s">
        <v>159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62.539133011221331</v>
      </c>
      <c r="D7" s="169">
        <f>IF(ISERROR(HI!E5),"",HI!E5)</f>
        <v>49.021500000000003</v>
      </c>
      <c r="E7" s="166">
        <f t="shared" ref="E7:E15" si="0">IF(C7=0,0,D7/C7)</f>
        <v>0.78385320741821163</v>
      </c>
    </row>
    <row r="8" spans="1:5" ht="14.4" customHeight="1" x14ac:dyDescent="0.3">
      <c r="A8" s="170" t="str">
        <f>HYPERLINK("#'LŽ PL'!A1","% plnění pozitivního listu")</f>
        <v>% plnění pozitivního listu</v>
      </c>
      <c r="B8" s="168" t="s">
        <v>146</v>
      </c>
      <c r="C8" s="171">
        <v>0.9</v>
      </c>
      <c r="D8" s="171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2" t="str">
        <f>HYPERLINK("#'LŽ Statim'!A1","% podíl statimových žádanek")</f>
        <v>% podíl statimových žádanek</v>
      </c>
      <c r="B9" s="310" t="s">
        <v>277</v>
      </c>
      <c r="C9" s="311">
        <v>0.3</v>
      </c>
      <c r="D9" s="311">
        <f>IF('LŽ Statim'!G3="",0,'LŽ Statim'!G3)</f>
        <v>0.18604651162790697</v>
      </c>
      <c r="E9" s="166">
        <f>IF(C9=0,0,D9/C9)</f>
        <v>0.62015503875968991</v>
      </c>
    </row>
    <row r="10" spans="1:5" ht="14.4" customHeight="1" x14ac:dyDescent="0.3">
      <c r="A10" s="172" t="s">
        <v>155</v>
      </c>
      <c r="B10" s="168"/>
      <c r="C10" s="169"/>
      <c r="D10" s="169"/>
      <c r="E10" s="166"/>
    </row>
    <row r="11" spans="1:5" ht="14.4" customHeight="1" x14ac:dyDescent="0.3">
      <c r="A11" s="170" t="str">
        <f>HYPERLINK("#'Léky Recepty'!A1","% záchytu v lékárně (Úhrada Kč)")</f>
        <v>% záchytu v lékárně (Úhrada Kč)</v>
      </c>
      <c r="B11" s="168" t="s">
        <v>117</v>
      </c>
      <c r="C11" s="171">
        <v>0.6</v>
      </c>
      <c r="D11" s="171">
        <f>IF(ISERROR(VLOOKUP("Celkem",'Léky Recepty'!B:H,5,0)),0,VLOOKUP("Celkem",'Léky Recepty'!B:H,5,0))</f>
        <v>0.25108332356566182</v>
      </c>
      <c r="E11" s="166">
        <f t="shared" si="0"/>
        <v>0.41847220594276974</v>
      </c>
    </row>
    <row r="12" spans="1:5" ht="14.4" customHeight="1" x14ac:dyDescent="0.3">
      <c r="A12" s="170" t="str">
        <f>HYPERLINK("#'LRp PL'!A1","% plnění pozitivního listu")</f>
        <v>% plnění pozitivního listu</v>
      </c>
      <c r="B12" s="168" t="s">
        <v>147</v>
      </c>
      <c r="C12" s="171">
        <v>0.8</v>
      </c>
      <c r="D12" s="171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2" t="s">
        <v>156</v>
      </c>
      <c r="B13" s="168"/>
      <c r="C13" s="169"/>
      <c r="D13" s="169"/>
      <c r="E13" s="166"/>
    </row>
    <row r="14" spans="1:5" ht="14.4" customHeight="1" x14ac:dyDescent="0.3">
      <c r="A14" s="173" t="s">
        <v>160</v>
      </c>
      <c r="B14" s="168"/>
      <c r="C14" s="165"/>
      <c r="D14" s="165"/>
      <c r="E14" s="166"/>
    </row>
    <row r="15" spans="1:5" ht="14.4" customHeight="1" x14ac:dyDescent="0.3">
      <c r="A15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112</v>
      </c>
      <c r="C15" s="169">
        <f>IF(ISERROR(HI!F6),"",HI!F6)</f>
        <v>2935.6326304777181</v>
      </c>
      <c r="D15" s="169">
        <f>IF(ISERROR(HI!E6),"",HI!E6)</f>
        <v>1836.5858800000008</v>
      </c>
      <c r="E15" s="166">
        <f t="shared" si="0"/>
        <v>0.625618430907389</v>
      </c>
    </row>
    <row r="16" spans="1:5" ht="14.4" customHeight="1" thickBot="1" x14ac:dyDescent="0.35">
      <c r="A16" s="175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10069.38311639996</v>
      </c>
      <c r="D16" s="165">
        <f ca="1">IF(ISERROR(VLOOKUP("Osobní náklady (Kč) *",INDIRECT("HI!$A:$G"),5,0)),0,VLOOKUP("Osobní náklady (Kč) *",INDIRECT("HI!$A:$G"),5,0))</f>
        <v>9678.607520000005</v>
      </c>
      <c r="E16" s="166">
        <f ca="1">IF(C16=0,0,D16/C16)</f>
        <v>0.96119170440903168</v>
      </c>
    </row>
    <row r="17" spans="1:5" ht="14.4" customHeight="1" thickBot="1" x14ac:dyDescent="0.35">
      <c r="A17" s="179"/>
      <c r="B17" s="180"/>
      <c r="C17" s="181"/>
      <c r="D17" s="181"/>
      <c r="E17" s="182"/>
    </row>
    <row r="18" spans="1:5" ht="14.4" customHeight="1" thickBot="1" x14ac:dyDescent="0.35">
      <c r="A18" s="183" t="str">
        <f>HYPERLINK("#HI!A1","VÝNOSY CELKEM (v tisících)")</f>
        <v>VÝNOSY CELKEM (v tisících)</v>
      </c>
      <c r="B18" s="184"/>
      <c r="C18" s="185">
        <f ca="1">IF(ISERROR(VLOOKUP("Výnosy celkem",INDIRECT("HI!$A:$G"),6,0)),0,VLOOKUP("Výnosy celkem",INDIRECT("HI!$A:$G"),6,0))</f>
        <v>35533.455000000002</v>
      </c>
      <c r="D18" s="185">
        <f ca="1">IF(ISERROR(VLOOKUP("Výnosy celkem",INDIRECT("HI!$A:$G"),5,0)),0,VLOOKUP("Výnosy celkem",INDIRECT("HI!$A:$G"),5,0))</f>
        <v>42507.815999999999</v>
      </c>
      <c r="E18" s="186">
        <f t="shared" ref="E18:E21" ca="1" si="1">IF(C18=0,0,D18/C18)</f>
        <v>1.1962759039333495</v>
      </c>
    </row>
    <row r="19" spans="1:5" ht="14.4" customHeight="1" x14ac:dyDescent="0.3">
      <c r="A19" s="187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35533.455000000002</v>
      </c>
      <c r="D19" s="165">
        <f ca="1">IF(ISERROR(VLOOKUP("Ambulance *",INDIRECT("HI!$A:$G"),5,0)),0,VLOOKUP("Ambulance *",INDIRECT("HI!$A:$G"),5,0))</f>
        <v>42507.815999999999</v>
      </c>
      <c r="E19" s="166">
        <f t="shared" ca="1" si="1"/>
        <v>1.1962759039333495</v>
      </c>
    </row>
    <row r="20" spans="1:5" ht="14.4" customHeight="1" x14ac:dyDescent="0.3">
      <c r="A20" s="188" t="str">
        <f>HYPERLINK("#'ZV Vykáz.-A'!A1","Zdravotní výkony vykázané u ambulantních pacientů (min. 100 %)")</f>
        <v>Zdravotní výkony vykázané u ambulantních pacientů (min. 100 %)</v>
      </c>
      <c r="B20" s="151" t="s">
        <v>124</v>
      </c>
      <c r="C20" s="171">
        <v>1</v>
      </c>
      <c r="D20" s="171">
        <f>IF(ISERROR(VLOOKUP("Celkem:",'ZV Vykáz.-A'!$A:$S,7,0)),"",VLOOKUP("Celkem:",'ZV Vykáz.-A'!$A:$S,7,0))</f>
        <v>1.1962759039333495</v>
      </c>
      <c r="E20" s="166">
        <f t="shared" si="1"/>
        <v>1.1962759039333495</v>
      </c>
    </row>
    <row r="21" spans="1:5" ht="14.4" customHeight="1" x14ac:dyDescent="0.3">
      <c r="A21" s="188" t="str">
        <f>HYPERLINK("#'ZV Vykáz.-H'!A1","Zdravotní výkony vykázané u hospitalizovaných pacientů (max. 85 %)")</f>
        <v>Zdravotní výkony vykázané u hospitalizovaných pacientů (max. 85 %)</v>
      </c>
      <c r="B21" s="151" t="s">
        <v>126</v>
      </c>
      <c r="C21" s="171">
        <v>0.85</v>
      </c>
      <c r="D21" s="171">
        <f>IF(ISERROR(VLOOKUP("Celkem:",'ZV Vykáz.-H'!$A:$S,7,0)),"",VLOOKUP("Celkem:",'ZV Vykáz.-H'!$A:$S,7,0))</f>
        <v>0.77284342086971491</v>
      </c>
      <c r="E21" s="166">
        <f t="shared" si="1"/>
        <v>0.90922755396437049</v>
      </c>
    </row>
    <row r="22" spans="1:5" ht="14.4" customHeight="1" x14ac:dyDescent="0.3">
      <c r="A22" s="189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90" t="s">
        <v>157</v>
      </c>
      <c r="B23" s="176"/>
      <c r="C23" s="177"/>
      <c r="D23" s="177"/>
      <c r="E23" s="178"/>
    </row>
    <row r="24" spans="1:5" ht="14.4" customHeight="1" thickBot="1" x14ac:dyDescent="0.35">
      <c r="A24" s="191"/>
      <c r="B24" s="192"/>
      <c r="C24" s="193"/>
      <c r="D24" s="193"/>
      <c r="E24" s="194"/>
    </row>
    <row r="25" spans="1:5" ht="14.4" customHeight="1" thickBot="1" x14ac:dyDescent="0.35">
      <c r="A25" s="195" t="s">
        <v>158</v>
      </c>
      <c r="B25" s="196"/>
      <c r="C25" s="197"/>
      <c r="D25" s="197"/>
      <c r="E25" s="198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9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1112</v>
      </c>
    </row>
    <row r="2" spans="1:40" x14ac:dyDescent="0.3">
      <c r="A2" s="235" t="s">
        <v>281</v>
      </c>
    </row>
    <row r="3" spans="1:40" x14ac:dyDescent="0.3">
      <c r="A3" s="231" t="s">
        <v>195</v>
      </c>
      <c r="B3" s="256">
        <v>2014</v>
      </c>
      <c r="D3" s="232">
        <f>MAX(D5:D1048576)</f>
        <v>8</v>
      </c>
      <c r="F3" s="232">
        <f>SUMIF($E5:$E1048576,"&lt;10",F5:F1048576)</f>
        <v>7740010.4000000013</v>
      </c>
      <c r="G3" s="232">
        <f t="shared" ref="G3:AN3" si="0">SUMIF($E5:$E1048576,"&lt;10",G5:G1048576)</f>
        <v>12400</v>
      </c>
      <c r="H3" s="232">
        <f t="shared" si="0"/>
        <v>2817306.8</v>
      </c>
      <c r="I3" s="232">
        <f t="shared" si="0"/>
        <v>0</v>
      </c>
      <c r="J3" s="232">
        <f t="shared" si="0"/>
        <v>0</v>
      </c>
      <c r="K3" s="232">
        <f t="shared" si="0"/>
        <v>837719</v>
      </c>
      <c r="L3" s="232">
        <f t="shared" si="0"/>
        <v>164491</v>
      </c>
      <c r="M3" s="232">
        <f t="shared" si="0"/>
        <v>0</v>
      </c>
      <c r="N3" s="232">
        <f t="shared" si="0"/>
        <v>1313578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2122390.4000000004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133859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338266.2</v>
      </c>
      <c r="AN3" s="232">
        <f t="shared" si="0"/>
        <v>0</v>
      </c>
    </row>
    <row r="4" spans="1:40" x14ac:dyDescent="0.3">
      <c r="A4" s="231" t="s">
        <v>196</v>
      </c>
      <c r="B4" s="256">
        <v>1</v>
      </c>
      <c r="C4" s="233" t="s">
        <v>5</v>
      </c>
      <c r="D4" s="234" t="s">
        <v>67</v>
      </c>
      <c r="E4" s="234" t="s">
        <v>190</v>
      </c>
      <c r="F4" s="234" t="s">
        <v>3</v>
      </c>
      <c r="G4" s="234" t="s">
        <v>191</v>
      </c>
      <c r="H4" s="234" t="s">
        <v>192</v>
      </c>
      <c r="I4" s="234" t="s">
        <v>193</v>
      </c>
      <c r="J4" s="234" t="s">
        <v>194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197</v>
      </c>
      <c r="B5" s="256">
        <v>2</v>
      </c>
      <c r="C5" s="231">
        <v>28</v>
      </c>
      <c r="D5" s="231">
        <v>1</v>
      </c>
      <c r="E5" s="231">
        <v>1</v>
      </c>
      <c r="F5" s="231">
        <v>27.2</v>
      </c>
      <c r="G5" s="231">
        <v>0</v>
      </c>
      <c r="H5" s="231">
        <v>5.5</v>
      </c>
      <c r="I5" s="231">
        <v>0</v>
      </c>
      <c r="J5" s="231">
        <v>0</v>
      </c>
      <c r="K5" s="231">
        <v>3</v>
      </c>
      <c r="L5" s="231">
        <v>1</v>
      </c>
      <c r="M5" s="231">
        <v>0</v>
      </c>
      <c r="N5" s="231">
        <v>7.5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7.4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1</v>
      </c>
      <c r="AI5" s="231">
        <v>0</v>
      </c>
      <c r="AJ5" s="231">
        <v>0</v>
      </c>
      <c r="AK5" s="231">
        <v>0</v>
      </c>
      <c r="AL5" s="231">
        <v>0</v>
      </c>
      <c r="AM5" s="231">
        <v>1.8</v>
      </c>
      <c r="AN5" s="231">
        <v>0</v>
      </c>
    </row>
    <row r="6" spans="1:40" x14ac:dyDescent="0.3">
      <c r="A6" s="231" t="s">
        <v>198</v>
      </c>
      <c r="B6" s="256">
        <v>3</v>
      </c>
      <c r="C6" s="231">
        <v>28</v>
      </c>
      <c r="D6" s="231">
        <v>1</v>
      </c>
      <c r="E6" s="231">
        <v>2</v>
      </c>
      <c r="F6" s="231">
        <v>4499.2</v>
      </c>
      <c r="G6" s="231">
        <v>0</v>
      </c>
      <c r="H6" s="231">
        <v>892</v>
      </c>
      <c r="I6" s="231">
        <v>0</v>
      </c>
      <c r="J6" s="231">
        <v>0</v>
      </c>
      <c r="K6" s="231">
        <v>496</v>
      </c>
      <c r="L6" s="231">
        <v>184</v>
      </c>
      <c r="M6" s="231">
        <v>0</v>
      </c>
      <c r="N6" s="231">
        <v>1260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1192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184</v>
      </c>
      <c r="AI6" s="231">
        <v>0</v>
      </c>
      <c r="AJ6" s="231">
        <v>0</v>
      </c>
      <c r="AK6" s="231">
        <v>0</v>
      </c>
      <c r="AL6" s="231">
        <v>0</v>
      </c>
      <c r="AM6" s="231">
        <v>291.2</v>
      </c>
      <c r="AN6" s="231">
        <v>0</v>
      </c>
    </row>
    <row r="7" spans="1:40" x14ac:dyDescent="0.3">
      <c r="A7" s="231" t="s">
        <v>199</v>
      </c>
      <c r="B7" s="256">
        <v>4</v>
      </c>
      <c r="C7" s="231">
        <v>28</v>
      </c>
      <c r="D7" s="231">
        <v>1</v>
      </c>
      <c r="E7" s="231">
        <v>6</v>
      </c>
      <c r="F7" s="231">
        <v>873079</v>
      </c>
      <c r="G7" s="231">
        <v>0</v>
      </c>
      <c r="H7" s="231">
        <v>297231</v>
      </c>
      <c r="I7" s="231">
        <v>0</v>
      </c>
      <c r="J7" s="231">
        <v>0</v>
      </c>
      <c r="K7" s="231">
        <v>93752</v>
      </c>
      <c r="L7" s="231">
        <v>22480</v>
      </c>
      <c r="M7" s="231">
        <v>0</v>
      </c>
      <c r="N7" s="231">
        <v>167725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238742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14850</v>
      </c>
      <c r="AI7" s="231">
        <v>0</v>
      </c>
      <c r="AJ7" s="231">
        <v>0</v>
      </c>
      <c r="AK7" s="231">
        <v>0</v>
      </c>
      <c r="AL7" s="231">
        <v>0</v>
      </c>
      <c r="AM7" s="231">
        <v>38299</v>
      </c>
      <c r="AN7" s="231">
        <v>0</v>
      </c>
    </row>
    <row r="8" spans="1:40" x14ac:dyDescent="0.3">
      <c r="A8" s="231" t="s">
        <v>200</v>
      </c>
      <c r="B8" s="256">
        <v>5</v>
      </c>
      <c r="C8" s="231">
        <v>28</v>
      </c>
      <c r="D8" s="231">
        <v>1</v>
      </c>
      <c r="E8" s="231">
        <v>9</v>
      </c>
      <c r="F8" s="231">
        <v>4400</v>
      </c>
      <c r="G8" s="231">
        <v>0</v>
      </c>
      <c r="H8" s="231">
        <v>4400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201</v>
      </c>
      <c r="B9" s="256">
        <v>6</v>
      </c>
      <c r="C9" s="231">
        <v>28</v>
      </c>
      <c r="D9" s="231">
        <v>1</v>
      </c>
      <c r="E9" s="231">
        <v>10</v>
      </c>
      <c r="F9" s="231">
        <v>6800</v>
      </c>
      <c r="G9" s="231">
        <v>0</v>
      </c>
      <c r="H9" s="231">
        <v>800</v>
      </c>
      <c r="I9" s="231">
        <v>0</v>
      </c>
      <c r="J9" s="231">
        <v>0</v>
      </c>
      <c r="K9" s="231">
        <v>6000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</row>
    <row r="10" spans="1:40" x14ac:dyDescent="0.3">
      <c r="A10" s="231" t="s">
        <v>202</v>
      </c>
      <c r="B10" s="256">
        <v>7</v>
      </c>
      <c r="C10" s="231">
        <v>28</v>
      </c>
      <c r="D10" s="231">
        <v>1</v>
      </c>
      <c r="E10" s="231">
        <v>11</v>
      </c>
      <c r="F10" s="231">
        <v>5883.25</v>
      </c>
      <c r="G10" s="231">
        <v>0</v>
      </c>
      <c r="H10" s="231">
        <v>1799.9166666666667</v>
      </c>
      <c r="I10" s="231">
        <v>0</v>
      </c>
      <c r="J10" s="231">
        <v>0</v>
      </c>
      <c r="K10" s="231">
        <v>4083.3333333333335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</row>
    <row r="11" spans="1:40" x14ac:dyDescent="0.3">
      <c r="A11" s="231" t="s">
        <v>203</v>
      </c>
      <c r="B11" s="256">
        <v>8</v>
      </c>
      <c r="C11" s="231">
        <v>28</v>
      </c>
      <c r="D11" s="231">
        <v>2</v>
      </c>
      <c r="E11" s="231">
        <v>1</v>
      </c>
      <c r="F11" s="231">
        <v>27.4</v>
      </c>
      <c r="G11" s="231">
        <v>0</v>
      </c>
      <c r="H11" s="231">
        <v>5.5</v>
      </c>
      <c r="I11" s="231">
        <v>0</v>
      </c>
      <c r="J11" s="231">
        <v>0</v>
      </c>
      <c r="K11" s="231">
        <v>3</v>
      </c>
      <c r="L11" s="231">
        <v>1</v>
      </c>
      <c r="M11" s="231">
        <v>0</v>
      </c>
      <c r="N11" s="231">
        <v>7.5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7.6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1</v>
      </c>
      <c r="AI11" s="231">
        <v>0</v>
      </c>
      <c r="AJ11" s="231">
        <v>0</v>
      </c>
      <c r="AK11" s="231">
        <v>0</v>
      </c>
      <c r="AL11" s="231">
        <v>0</v>
      </c>
      <c r="AM11" s="231">
        <v>1.8</v>
      </c>
      <c r="AN11" s="231">
        <v>0</v>
      </c>
    </row>
    <row r="12" spans="1:40" x14ac:dyDescent="0.3">
      <c r="A12" s="231" t="s">
        <v>204</v>
      </c>
      <c r="B12" s="256">
        <v>9</v>
      </c>
      <c r="C12" s="231">
        <v>28</v>
      </c>
      <c r="D12" s="231">
        <v>2</v>
      </c>
      <c r="E12" s="231">
        <v>2</v>
      </c>
      <c r="F12" s="231">
        <v>3856</v>
      </c>
      <c r="G12" s="231">
        <v>0</v>
      </c>
      <c r="H12" s="231">
        <v>760</v>
      </c>
      <c r="I12" s="231">
        <v>0</v>
      </c>
      <c r="J12" s="231">
        <v>0</v>
      </c>
      <c r="K12" s="231">
        <v>392</v>
      </c>
      <c r="L12" s="231">
        <v>160</v>
      </c>
      <c r="M12" s="231">
        <v>0</v>
      </c>
      <c r="N12" s="231">
        <v>1040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1072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152</v>
      </c>
      <c r="AI12" s="231">
        <v>0</v>
      </c>
      <c r="AJ12" s="231">
        <v>0</v>
      </c>
      <c r="AK12" s="231">
        <v>0</v>
      </c>
      <c r="AL12" s="231">
        <v>0</v>
      </c>
      <c r="AM12" s="231">
        <v>280</v>
      </c>
      <c r="AN12" s="231">
        <v>0</v>
      </c>
    </row>
    <row r="13" spans="1:40" x14ac:dyDescent="0.3">
      <c r="A13" s="231" t="s">
        <v>205</v>
      </c>
      <c r="B13" s="256">
        <v>10</v>
      </c>
      <c r="C13" s="231">
        <v>28</v>
      </c>
      <c r="D13" s="231">
        <v>2</v>
      </c>
      <c r="E13" s="231">
        <v>6</v>
      </c>
      <c r="F13" s="231">
        <v>851607</v>
      </c>
      <c r="G13" s="231">
        <v>0</v>
      </c>
      <c r="H13" s="231">
        <v>303084</v>
      </c>
      <c r="I13" s="231">
        <v>0</v>
      </c>
      <c r="J13" s="231">
        <v>0</v>
      </c>
      <c r="K13" s="231">
        <v>92548</v>
      </c>
      <c r="L13" s="231">
        <v>22480</v>
      </c>
      <c r="M13" s="231">
        <v>0</v>
      </c>
      <c r="N13" s="231">
        <v>152872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228922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14878</v>
      </c>
      <c r="AI13" s="231">
        <v>0</v>
      </c>
      <c r="AJ13" s="231">
        <v>0</v>
      </c>
      <c r="AK13" s="231">
        <v>0</v>
      </c>
      <c r="AL13" s="231">
        <v>0</v>
      </c>
      <c r="AM13" s="231">
        <v>36823</v>
      </c>
      <c r="AN13" s="231">
        <v>0</v>
      </c>
    </row>
    <row r="14" spans="1:40" x14ac:dyDescent="0.3">
      <c r="A14" s="231" t="s">
        <v>206</v>
      </c>
      <c r="B14" s="256">
        <v>11</v>
      </c>
      <c r="C14" s="231">
        <v>28</v>
      </c>
      <c r="D14" s="231">
        <v>2</v>
      </c>
      <c r="E14" s="231">
        <v>9</v>
      </c>
      <c r="F14" s="231">
        <v>5200</v>
      </c>
      <c r="G14" s="231">
        <v>0</v>
      </c>
      <c r="H14" s="231">
        <v>5200</v>
      </c>
      <c r="I14" s="231">
        <v>0</v>
      </c>
      <c r="J14" s="231">
        <v>0</v>
      </c>
      <c r="K14" s="231">
        <v>0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</row>
    <row r="15" spans="1:40" x14ac:dyDescent="0.3">
      <c r="A15" s="231" t="s">
        <v>207</v>
      </c>
      <c r="B15" s="256">
        <v>12</v>
      </c>
      <c r="C15" s="231">
        <v>28</v>
      </c>
      <c r="D15" s="231">
        <v>2</v>
      </c>
      <c r="E15" s="231">
        <v>10</v>
      </c>
      <c r="F15" s="231">
        <v>2105</v>
      </c>
      <c r="G15" s="231">
        <v>0</v>
      </c>
      <c r="H15" s="231">
        <v>1500</v>
      </c>
      <c r="I15" s="231">
        <v>0</v>
      </c>
      <c r="J15" s="231">
        <v>0</v>
      </c>
      <c r="K15" s="231">
        <v>605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</row>
    <row r="16" spans="1:40" x14ac:dyDescent="0.3">
      <c r="A16" s="231" t="s">
        <v>195</v>
      </c>
      <c r="B16" s="256">
        <v>2014</v>
      </c>
      <c r="C16" s="231">
        <v>28</v>
      </c>
      <c r="D16" s="231">
        <v>2</v>
      </c>
      <c r="E16" s="231">
        <v>11</v>
      </c>
      <c r="F16" s="231">
        <v>5883.25</v>
      </c>
      <c r="G16" s="231">
        <v>0</v>
      </c>
      <c r="H16" s="231">
        <v>1799.9166666666667</v>
      </c>
      <c r="I16" s="231">
        <v>0</v>
      </c>
      <c r="J16" s="231">
        <v>0</v>
      </c>
      <c r="K16" s="231">
        <v>4083.3333333333335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</row>
    <row r="17" spans="3:40" x14ac:dyDescent="0.3">
      <c r="C17" s="231">
        <v>28</v>
      </c>
      <c r="D17" s="231">
        <v>3</v>
      </c>
      <c r="E17" s="231">
        <v>1</v>
      </c>
      <c r="F17" s="231">
        <v>27.4</v>
      </c>
      <c r="G17" s="231">
        <v>0</v>
      </c>
      <c r="H17" s="231">
        <v>5.5</v>
      </c>
      <c r="I17" s="231">
        <v>0</v>
      </c>
      <c r="J17" s="231">
        <v>0</v>
      </c>
      <c r="K17" s="231">
        <v>3</v>
      </c>
      <c r="L17" s="231">
        <v>1</v>
      </c>
      <c r="M17" s="231">
        <v>0</v>
      </c>
      <c r="N17" s="231">
        <v>7.5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7.6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1</v>
      </c>
      <c r="AI17" s="231">
        <v>0</v>
      </c>
      <c r="AJ17" s="231">
        <v>0</v>
      </c>
      <c r="AK17" s="231">
        <v>0</v>
      </c>
      <c r="AL17" s="231">
        <v>0</v>
      </c>
      <c r="AM17" s="231">
        <v>1.8</v>
      </c>
      <c r="AN17" s="231">
        <v>0</v>
      </c>
    </row>
    <row r="18" spans="3:40" x14ac:dyDescent="0.3">
      <c r="C18" s="231">
        <v>28</v>
      </c>
      <c r="D18" s="231">
        <v>3</v>
      </c>
      <c r="E18" s="231">
        <v>2</v>
      </c>
      <c r="F18" s="231">
        <v>4295.2</v>
      </c>
      <c r="G18" s="231">
        <v>0</v>
      </c>
      <c r="H18" s="231">
        <v>816</v>
      </c>
      <c r="I18" s="231">
        <v>0</v>
      </c>
      <c r="J18" s="231">
        <v>0</v>
      </c>
      <c r="K18" s="231">
        <v>456</v>
      </c>
      <c r="L18" s="231">
        <v>128</v>
      </c>
      <c r="M18" s="231">
        <v>0</v>
      </c>
      <c r="N18" s="231">
        <v>1180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1276.8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152</v>
      </c>
      <c r="AI18" s="231">
        <v>0</v>
      </c>
      <c r="AJ18" s="231">
        <v>0</v>
      </c>
      <c r="AK18" s="231">
        <v>0</v>
      </c>
      <c r="AL18" s="231">
        <v>0</v>
      </c>
      <c r="AM18" s="231">
        <v>286.39999999999998</v>
      </c>
      <c r="AN18" s="231">
        <v>0</v>
      </c>
    </row>
    <row r="19" spans="3:40" x14ac:dyDescent="0.3">
      <c r="C19" s="231">
        <v>28</v>
      </c>
      <c r="D19" s="231">
        <v>3</v>
      </c>
      <c r="E19" s="231">
        <v>6</v>
      </c>
      <c r="F19" s="231">
        <v>860326</v>
      </c>
      <c r="G19" s="231">
        <v>12400</v>
      </c>
      <c r="H19" s="231">
        <v>301224</v>
      </c>
      <c r="I19" s="231">
        <v>0</v>
      </c>
      <c r="J19" s="231">
        <v>0</v>
      </c>
      <c r="K19" s="231">
        <v>92411</v>
      </c>
      <c r="L19" s="231">
        <v>23118</v>
      </c>
      <c r="M19" s="231">
        <v>0</v>
      </c>
      <c r="N19" s="231">
        <v>156725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222511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14976</v>
      </c>
      <c r="AI19" s="231">
        <v>0</v>
      </c>
      <c r="AJ19" s="231">
        <v>0</v>
      </c>
      <c r="AK19" s="231">
        <v>0</v>
      </c>
      <c r="AL19" s="231">
        <v>0</v>
      </c>
      <c r="AM19" s="231">
        <v>36961</v>
      </c>
      <c r="AN19" s="231">
        <v>0</v>
      </c>
    </row>
    <row r="20" spans="3:40" x14ac:dyDescent="0.3">
      <c r="C20" s="231">
        <v>28</v>
      </c>
      <c r="D20" s="231">
        <v>3</v>
      </c>
      <c r="E20" s="231">
        <v>9</v>
      </c>
      <c r="F20" s="231">
        <v>4347</v>
      </c>
      <c r="G20" s="231">
        <v>0</v>
      </c>
      <c r="H20" s="231">
        <v>4347</v>
      </c>
      <c r="I20" s="231">
        <v>0</v>
      </c>
      <c r="J20" s="231">
        <v>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</row>
    <row r="21" spans="3:40" x14ac:dyDescent="0.3">
      <c r="C21" s="231">
        <v>28</v>
      </c>
      <c r="D21" s="231">
        <v>3</v>
      </c>
      <c r="E21" s="231">
        <v>10</v>
      </c>
      <c r="F21" s="231">
        <v>11365</v>
      </c>
      <c r="G21" s="231">
        <v>0</v>
      </c>
      <c r="H21" s="231">
        <v>0</v>
      </c>
      <c r="I21" s="231">
        <v>0</v>
      </c>
      <c r="J21" s="231">
        <v>0</v>
      </c>
      <c r="K21" s="231">
        <v>11365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</row>
    <row r="22" spans="3:40" x14ac:dyDescent="0.3">
      <c r="C22" s="231">
        <v>28</v>
      </c>
      <c r="D22" s="231">
        <v>3</v>
      </c>
      <c r="E22" s="231">
        <v>11</v>
      </c>
      <c r="F22" s="231">
        <v>5883.25</v>
      </c>
      <c r="G22" s="231">
        <v>0</v>
      </c>
      <c r="H22" s="231">
        <v>1799.9166666666667</v>
      </c>
      <c r="I22" s="231">
        <v>0</v>
      </c>
      <c r="J22" s="231">
        <v>0</v>
      </c>
      <c r="K22" s="231">
        <v>4083.3333333333335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</row>
    <row r="23" spans="3:40" x14ac:dyDescent="0.3">
      <c r="C23" s="231">
        <v>28</v>
      </c>
      <c r="D23" s="231">
        <v>4</v>
      </c>
      <c r="E23" s="231">
        <v>1</v>
      </c>
      <c r="F23" s="231">
        <v>27.4</v>
      </c>
      <c r="G23" s="231">
        <v>0</v>
      </c>
      <c r="H23" s="231">
        <v>5.5</v>
      </c>
      <c r="I23" s="231">
        <v>0</v>
      </c>
      <c r="J23" s="231">
        <v>0</v>
      </c>
      <c r="K23" s="231">
        <v>3</v>
      </c>
      <c r="L23" s="231">
        <v>1</v>
      </c>
      <c r="M23" s="231">
        <v>0</v>
      </c>
      <c r="N23" s="231">
        <v>6.5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8.6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1</v>
      </c>
      <c r="AI23" s="231">
        <v>0</v>
      </c>
      <c r="AJ23" s="231">
        <v>0</v>
      </c>
      <c r="AK23" s="231">
        <v>0</v>
      </c>
      <c r="AL23" s="231">
        <v>0</v>
      </c>
      <c r="AM23" s="231">
        <v>1.8</v>
      </c>
      <c r="AN23" s="231">
        <v>0</v>
      </c>
    </row>
    <row r="24" spans="3:40" x14ac:dyDescent="0.3">
      <c r="C24" s="231">
        <v>28</v>
      </c>
      <c r="D24" s="231">
        <v>4</v>
      </c>
      <c r="E24" s="231">
        <v>2</v>
      </c>
      <c r="F24" s="231">
        <v>4484</v>
      </c>
      <c r="G24" s="231">
        <v>0</v>
      </c>
      <c r="H24" s="231">
        <v>920</v>
      </c>
      <c r="I24" s="231">
        <v>0</v>
      </c>
      <c r="J24" s="231">
        <v>0</v>
      </c>
      <c r="K24" s="231">
        <v>480</v>
      </c>
      <c r="L24" s="231">
        <v>176</v>
      </c>
      <c r="M24" s="231">
        <v>0</v>
      </c>
      <c r="N24" s="231">
        <v>1020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1409.6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176</v>
      </c>
      <c r="AI24" s="231">
        <v>0</v>
      </c>
      <c r="AJ24" s="231">
        <v>0</v>
      </c>
      <c r="AK24" s="231">
        <v>0</v>
      </c>
      <c r="AL24" s="231">
        <v>0</v>
      </c>
      <c r="AM24" s="231">
        <v>302.39999999999998</v>
      </c>
      <c r="AN24" s="231">
        <v>0</v>
      </c>
    </row>
    <row r="25" spans="3:40" x14ac:dyDescent="0.3">
      <c r="C25" s="231">
        <v>28</v>
      </c>
      <c r="D25" s="231">
        <v>4</v>
      </c>
      <c r="E25" s="231">
        <v>6</v>
      </c>
      <c r="F25" s="231">
        <v>852553</v>
      </c>
      <c r="G25" s="231">
        <v>0</v>
      </c>
      <c r="H25" s="231">
        <v>298915</v>
      </c>
      <c r="I25" s="231">
        <v>0</v>
      </c>
      <c r="J25" s="231">
        <v>0</v>
      </c>
      <c r="K25" s="231">
        <v>92691</v>
      </c>
      <c r="L25" s="231">
        <v>22480</v>
      </c>
      <c r="M25" s="231">
        <v>0</v>
      </c>
      <c r="N25" s="231">
        <v>141858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244767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14850</v>
      </c>
      <c r="AI25" s="231">
        <v>0</v>
      </c>
      <c r="AJ25" s="231">
        <v>0</v>
      </c>
      <c r="AK25" s="231">
        <v>0</v>
      </c>
      <c r="AL25" s="231">
        <v>0</v>
      </c>
      <c r="AM25" s="231">
        <v>36992</v>
      </c>
      <c r="AN25" s="231">
        <v>0</v>
      </c>
    </row>
    <row r="26" spans="3:40" x14ac:dyDescent="0.3">
      <c r="C26" s="231">
        <v>28</v>
      </c>
      <c r="D26" s="231">
        <v>4</v>
      </c>
      <c r="E26" s="231">
        <v>10</v>
      </c>
      <c r="F26" s="231">
        <v>1800</v>
      </c>
      <c r="G26" s="231">
        <v>0</v>
      </c>
      <c r="H26" s="231">
        <v>1800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</row>
    <row r="27" spans="3:40" x14ac:dyDescent="0.3">
      <c r="C27" s="231">
        <v>28</v>
      </c>
      <c r="D27" s="231">
        <v>4</v>
      </c>
      <c r="E27" s="231">
        <v>11</v>
      </c>
      <c r="F27" s="231">
        <v>5883.25</v>
      </c>
      <c r="G27" s="231">
        <v>0</v>
      </c>
      <c r="H27" s="231">
        <v>1799.9166666666667</v>
      </c>
      <c r="I27" s="231">
        <v>0</v>
      </c>
      <c r="J27" s="231">
        <v>0</v>
      </c>
      <c r="K27" s="231">
        <v>4083.3333333333335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</row>
    <row r="28" spans="3:40" x14ac:dyDescent="0.3">
      <c r="C28" s="231">
        <v>28</v>
      </c>
      <c r="D28" s="231">
        <v>5</v>
      </c>
      <c r="E28" s="231">
        <v>1</v>
      </c>
      <c r="F28" s="231">
        <v>27.4</v>
      </c>
      <c r="G28" s="231">
        <v>0</v>
      </c>
      <c r="H28" s="231">
        <v>5.5</v>
      </c>
      <c r="I28" s="231">
        <v>0</v>
      </c>
      <c r="J28" s="231">
        <v>0</v>
      </c>
      <c r="K28" s="231">
        <v>3</v>
      </c>
      <c r="L28" s="231">
        <v>1</v>
      </c>
      <c r="M28" s="231">
        <v>0</v>
      </c>
      <c r="N28" s="231">
        <v>6.5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8.6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1</v>
      </c>
      <c r="AI28" s="231">
        <v>0</v>
      </c>
      <c r="AJ28" s="231">
        <v>0</v>
      </c>
      <c r="AK28" s="231">
        <v>0</v>
      </c>
      <c r="AL28" s="231">
        <v>0</v>
      </c>
      <c r="AM28" s="231">
        <v>1.8</v>
      </c>
      <c r="AN28" s="231">
        <v>0</v>
      </c>
    </row>
    <row r="29" spans="3:40" x14ac:dyDescent="0.3">
      <c r="C29" s="231">
        <v>28</v>
      </c>
      <c r="D29" s="231">
        <v>5</v>
      </c>
      <c r="E29" s="231">
        <v>2</v>
      </c>
      <c r="F29" s="231">
        <v>4378.3999999999996</v>
      </c>
      <c r="G29" s="231">
        <v>0</v>
      </c>
      <c r="H29" s="231">
        <v>932</v>
      </c>
      <c r="I29" s="231">
        <v>0</v>
      </c>
      <c r="J29" s="231">
        <v>0</v>
      </c>
      <c r="K29" s="231">
        <v>480</v>
      </c>
      <c r="L29" s="231">
        <v>176</v>
      </c>
      <c r="M29" s="231">
        <v>0</v>
      </c>
      <c r="N29" s="231">
        <v>1072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1270.4000000000001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176</v>
      </c>
      <c r="AI29" s="231">
        <v>0</v>
      </c>
      <c r="AJ29" s="231">
        <v>0</v>
      </c>
      <c r="AK29" s="231">
        <v>0</v>
      </c>
      <c r="AL29" s="231">
        <v>0</v>
      </c>
      <c r="AM29" s="231">
        <v>272</v>
      </c>
      <c r="AN29" s="231">
        <v>0</v>
      </c>
    </row>
    <row r="30" spans="3:40" x14ac:dyDescent="0.3">
      <c r="C30" s="231">
        <v>28</v>
      </c>
      <c r="D30" s="231">
        <v>5</v>
      </c>
      <c r="E30" s="231">
        <v>6</v>
      </c>
      <c r="F30" s="231">
        <v>859366</v>
      </c>
      <c r="G30" s="231">
        <v>0</v>
      </c>
      <c r="H30" s="231">
        <v>302036</v>
      </c>
      <c r="I30" s="231">
        <v>0</v>
      </c>
      <c r="J30" s="231">
        <v>0</v>
      </c>
      <c r="K30" s="231">
        <v>92756</v>
      </c>
      <c r="L30" s="231">
        <v>23290</v>
      </c>
      <c r="M30" s="231">
        <v>0</v>
      </c>
      <c r="N30" s="231">
        <v>140884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248118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14850</v>
      </c>
      <c r="AI30" s="231">
        <v>0</v>
      </c>
      <c r="AJ30" s="231">
        <v>0</v>
      </c>
      <c r="AK30" s="231">
        <v>0</v>
      </c>
      <c r="AL30" s="231">
        <v>0</v>
      </c>
      <c r="AM30" s="231">
        <v>37432</v>
      </c>
      <c r="AN30" s="231">
        <v>0</v>
      </c>
    </row>
    <row r="31" spans="3:40" x14ac:dyDescent="0.3">
      <c r="C31" s="231">
        <v>28</v>
      </c>
      <c r="D31" s="231">
        <v>5</v>
      </c>
      <c r="E31" s="231">
        <v>9</v>
      </c>
      <c r="F31" s="231">
        <v>2400</v>
      </c>
      <c r="G31" s="231">
        <v>0</v>
      </c>
      <c r="H31" s="231">
        <v>2400</v>
      </c>
      <c r="I31" s="231">
        <v>0</v>
      </c>
      <c r="J31" s="231">
        <v>0</v>
      </c>
      <c r="K31" s="231">
        <v>0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</row>
    <row r="32" spans="3:40" x14ac:dyDescent="0.3">
      <c r="C32" s="231">
        <v>28</v>
      </c>
      <c r="D32" s="231">
        <v>5</v>
      </c>
      <c r="E32" s="231">
        <v>10</v>
      </c>
      <c r="F32" s="231">
        <v>3618</v>
      </c>
      <c r="G32" s="231">
        <v>0</v>
      </c>
      <c r="H32" s="231">
        <v>0</v>
      </c>
      <c r="I32" s="231">
        <v>0</v>
      </c>
      <c r="J32" s="231">
        <v>0</v>
      </c>
      <c r="K32" s="231">
        <v>3618</v>
      </c>
      <c r="L32" s="231">
        <v>0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</row>
    <row r="33" spans="3:40" x14ac:dyDescent="0.3">
      <c r="C33" s="231">
        <v>28</v>
      </c>
      <c r="D33" s="231">
        <v>5</v>
      </c>
      <c r="E33" s="231">
        <v>11</v>
      </c>
      <c r="F33" s="231">
        <v>5883.25</v>
      </c>
      <c r="G33" s="231">
        <v>0</v>
      </c>
      <c r="H33" s="231">
        <v>1799.9166666666667</v>
      </c>
      <c r="I33" s="231">
        <v>0</v>
      </c>
      <c r="J33" s="231">
        <v>0</v>
      </c>
      <c r="K33" s="231">
        <v>4083.3333333333335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</row>
    <row r="34" spans="3:40" x14ac:dyDescent="0.3">
      <c r="C34" s="231">
        <v>28</v>
      </c>
      <c r="D34" s="231">
        <v>6</v>
      </c>
      <c r="E34" s="231">
        <v>1</v>
      </c>
      <c r="F34" s="231">
        <v>27.4</v>
      </c>
      <c r="G34" s="231">
        <v>0</v>
      </c>
      <c r="H34" s="231">
        <v>5.5</v>
      </c>
      <c r="I34" s="231">
        <v>0</v>
      </c>
      <c r="J34" s="231">
        <v>0</v>
      </c>
      <c r="K34" s="231">
        <v>3</v>
      </c>
      <c r="L34" s="231">
        <v>1</v>
      </c>
      <c r="M34" s="231">
        <v>0</v>
      </c>
      <c r="N34" s="231">
        <v>6.5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8.6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1</v>
      </c>
      <c r="AI34" s="231">
        <v>0</v>
      </c>
      <c r="AJ34" s="231">
        <v>0</v>
      </c>
      <c r="AK34" s="231">
        <v>0</v>
      </c>
      <c r="AL34" s="231">
        <v>0</v>
      </c>
      <c r="AM34" s="231">
        <v>1.8</v>
      </c>
      <c r="AN34" s="231">
        <v>0</v>
      </c>
    </row>
    <row r="35" spans="3:40" x14ac:dyDescent="0.3">
      <c r="C35" s="231">
        <v>28</v>
      </c>
      <c r="D35" s="231">
        <v>6</v>
      </c>
      <c r="E35" s="231">
        <v>2</v>
      </c>
      <c r="F35" s="231">
        <v>4066.4</v>
      </c>
      <c r="G35" s="231">
        <v>0</v>
      </c>
      <c r="H35" s="231">
        <v>912</v>
      </c>
      <c r="I35" s="231">
        <v>0</v>
      </c>
      <c r="J35" s="231">
        <v>0</v>
      </c>
      <c r="K35" s="231">
        <v>448</v>
      </c>
      <c r="L35" s="231">
        <v>72</v>
      </c>
      <c r="M35" s="231">
        <v>0</v>
      </c>
      <c r="N35" s="231">
        <v>940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1300.8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160</v>
      </c>
      <c r="AI35" s="231">
        <v>0</v>
      </c>
      <c r="AJ35" s="231">
        <v>0</v>
      </c>
      <c r="AK35" s="231">
        <v>0</v>
      </c>
      <c r="AL35" s="231">
        <v>0</v>
      </c>
      <c r="AM35" s="231">
        <v>233.6</v>
      </c>
      <c r="AN35" s="231">
        <v>0</v>
      </c>
    </row>
    <row r="36" spans="3:40" x14ac:dyDescent="0.3">
      <c r="C36" s="231">
        <v>28</v>
      </c>
      <c r="D36" s="231">
        <v>6</v>
      </c>
      <c r="E36" s="231">
        <v>6</v>
      </c>
      <c r="F36" s="231">
        <v>876026</v>
      </c>
      <c r="G36" s="231">
        <v>0</v>
      </c>
      <c r="H36" s="231">
        <v>317992</v>
      </c>
      <c r="I36" s="231">
        <v>0</v>
      </c>
      <c r="J36" s="231">
        <v>0</v>
      </c>
      <c r="K36" s="231">
        <v>96510</v>
      </c>
      <c r="L36" s="231">
        <v>25041</v>
      </c>
      <c r="M36" s="231">
        <v>0</v>
      </c>
      <c r="N36" s="231">
        <v>138442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240739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15399</v>
      </c>
      <c r="AI36" s="231">
        <v>0</v>
      </c>
      <c r="AJ36" s="231">
        <v>0</v>
      </c>
      <c r="AK36" s="231">
        <v>0</v>
      </c>
      <c r="AL36" s="231">
        <v>0</v>
      </c>
      <c r="AM36" s="231">
        <v>41903</v>
      </c>
      <c r="AN36" s="231">
        <v>0</v>
      </c>
    </row>
    <row r="37" spans="3:40" x14ac:dyDescent="0.3">
      <c r="C37" s="231">
        <v>28</v>
      </c>
      <c r="D37" s="231">
        <v>6</v>
      </c>
      <c r="E37" s="231">
        <v>9</v>
      </c>
      <c r="F37" s="231">
        <v>39900</v>
      </c>
      <c r="G37" s="231">
        <v>0</v>
      </c>
      <c r="H37" s="231">
        <v>20400</v>
      </c>
      <c r="I37" s="231">
        <v>0</v>
      </c>
      <c r="J37" s="231">
        <v>0</v>
      </c>
      <c r="K37" s="231">
        <v>4400</v>
      </c>
      <c r="L37" s="231">
        <v>1300</v>
      </c>
      <c r="M37" s="231">
        <v>0</v>
      </c>
      <c r="N37" s="231">
        <v>3400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5400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500</v>
      </c>
      <c r="AI37" s="231">
        <v>0</v>
      </c>
      <c r="AJ37" s="231">
        <v>0</v>
      </c>
      <c r="AK37" s="231">
        <v>0</v>
      </c>
      <c r="AL37" s="231">
        <v>0</v>
      </c>
      <c r="AM37" s="231">
        <v>4500</v>
      </c>
      <c r="AN37" s="231">
        <v>0</v>
      </c>
    </row>
    <row r="38" spans="3:40" x14ac:dyDescent="0.3">
      <c r="C38" s="231">
        <v>28</v>
      </c>
      <c r="D38" s="231">
        <v>6</v>
      </c>
      <c r="E38" s="231">
        <v>11</v>
      </c>
      <c r="F38" s="231">
        <v>5883.25</v>
      </c>
      <c r="G38" s="231">
        <v>0</v>
      </c>
      <c r="H38" s="231">
        <v>1799.9166666666667</v>
      </c>
      <c r="I38" s="231">
        <v>0</v>
      </c>
      <c r="J38" s="231">
        <v>0</v>
      </c>
      <c r="K38" s="231">
        <v>4083.3333333333335</v>
      </c>
      <c r="L38" s="231">
        <v>0</v>
      </c>
      <c r="M38" s="231">
        <v>0</v>
      </c>
      <c r="N38" s="231">
        <v>0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0</v>
      </c>
      <c r="AN38" s="231">
        <v>0</v>
      </c>
    </row>
    <row r="39" spans="3:40" x14ac:dyDescent="0.3">
      <c r="C39" s="231">
        <v>28</v>
      </c>
      <c r="D39" s="231">
        <v>7</v>
      </c>
      <c r="E39" s="231">
        <v>1</v>
      </c>
      <c r="F39" s="231">
        <v>25.2</v>
      </c>
      <c r="G39" s="231">
        <v>0</v>
      </c>
      <c r="H39" s="231">
        <v>4.3</v>
      </c>
      <c r="I39" s="231">
        <v>0</v>
      </c>
      <c r="J39" s="231">
        <v>0</v>
      </c>
      <c r="K39" s="231">
        <v>3</v>
      </c>
      <c r="L39" s="231">
        <v>0</v>
      </c>
      <c r="M39" s="231">
        <v>0</v>
      </c>
      <c r="N39" s="231">
        <v>6.5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8.6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1</v>
      </c>
      <c r="AI39" s="231">
        <v>0</v>
      </c>
      <c r="AJ39" s="231">
        <v>0</v>
      </c>
      <c r="AK39" s="231">
        <v>0</v>
      </c>
      <c r="AL39" s="231">
        <v>0</v>
      </c>
      <c r="AM39" s="231">
        <v>1.8</v>
      </c>
      <c r="AN39" s="231">
        <v>0</v>
      </c>
    </row>
    <row r="40" spans="3:40" x14ac:dyDescent="0.3">
      <c r="C40" s="231">
        <v>28</v>
      </c>
      <c r="D40" s="231">
        <v>7</v>
      </c>
      <c r="E40" s="231">
        <v>2</v>
      </c>
      <c r="F40" s="231">
        <v>3566.4</v>
      </c>
      <c r="G40" s="231">
        <v>0</v>
      </c>
      <c r="H40" s="231">
        <v>599.20000000000005</v>
      </c>
      <c r="I40" s="231">
        <v>0</v>
      </c>
      <c r="J40" s="231">
        <v>0</v>
      </c>
      <c r="K40" s="231">
        <v>352</v>
      </c>
      <c r="L40" s="231">
        <v>0</v>
      </c>
      <c r="M40" s="231">
        <v>0</v>
      </c>
      <c r="N40" s="231">
        <v>924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1286.4000000000001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112</v>
      </c>
      <c r="AI40" s="231">
        <v>0</v>
      </c>
      <c r="AJ40" s="231">
        <v>0</v>
      </c>
      <c r="AK40" s="231">
        <v>0</v>
      </c>
      <c r="AL40" s="231">
        <v>0</v>
      </c>
      <c r="AM40" s="231">
        <v>292.8</v>
      </c>
      <c r="AN40" s="231">
        <v>0</v>
      </c>
    </row>
    <row r="41" spans="3:40" x14ac:dyDescent="0.3">
      <c r="C41" s="231">
        <v>28</v>
      </c>
      <c r="D41" s="231">
        <v>7</v>
      </c>
      <c r="E41" s="231">
        <v>6</v>
      </c>
      <c r="F41" s="231">
        <v>1238796</v>
      </c>
      <c r="G41" s="231">
        <v>0</v>
      </c>
      <c r="H41" s="231">
        <v>478836</v>
      </c>
      <c r="I41" s="231">
        <v>0</v>
      </c>
      <c r="J41" s="231">
        <v>0</v>
      </c>
      <c r="K41" s="231">
        <v>130288</v>
      </c>
      <c r="L41" s="231">
        <v>11700</v>
      </c>
      <c r="M41" s="231">
        <v>0</v>
      </c>
      <c r="N41" s="231">
        <v>203202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343645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21347</v>
      </c>
      <c r="AI41" s="231">
        <v>0</v>
      </c>
      <c r="AJ41" s="231">
        <v>0</v>
      </c>
      <c r="AK41" s="231">
        <v>0</v>
      </c>
      <c r="AL41" s="231">
        <v>0</v>
      </c>
      <c r="AM41" s="231">
        <v>49778</v>
      </c>
      <c r="AN41" s="231">
        <v>0</v>
      </c>
    </row>
    <row r="42" spans="3:40" x14ac:dyDescent="0.3">
      <c r="C42" s="231">
        <v>28</v>
      </c>
      <c r="D42" s="231">
        <v>7</v>
      </c>
      <c r="E42" s="231">
        <v>9</v>
      </c>
      <c r="F42" s="231">
        <v>467944</v>
      </c>
      <c r="G42" s="231">
        <v>0</v>
      </c>
      <c r="H42" s="231">
        <v>224289</v>
      </c>
      <c r="I42" s="231">
        <v>0</v>
      </c>
      <c r="J42" s="231">
        <v>0</v>
      </c>
      <c r="K42" s="231">
        <v>58448</v>
      </c>
      <c r="L42" s="231">
        <v>11700</v>
      </c>
      <c r="M42" s="231">
        <v>0</v>
      </c>
      <c r="N42" s="231">
        <v>60034</v>
      </c>
      <c r="O42" s="231">
        <v>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0</v>
      </c>
      <c r="Y42" s="231">
        <v>0</v>
      </c>
      <c r="Z42" s="231">
        <v>95436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6071</v>
      </c>
      <c r="AI42" s="231">
        <v>0</v>
      </c>
      <c r="AJ42" s="231">
        <v>0</v>
      </c>
      <c r="AK42" s="231">
        <v>0</v>
      </c>
      <c r="AL42" s="231">
        <v>0</v>
      </c>
      <c r="AM42" s="231">
        <v>11966</v>
      </c>
      <c r="AN42" s="231">
        <v>0</v>
      </c>
    </row>
    <row r="43" spans="3:40" x14ac:dyDescent="0.3">
      <c r="C43" s="231">
        <v>28</v>
      </c>
      <c r="D43" s="231">
        <v>7</v>
      </c>
      <c r="E43" s="231">
        <v>11</v>
      </c>
      <c r="F43" s="231">
        <v>5883.25</v>
      </c>
      <c r="G43" s="231">
        <v>0</v>
      </c>
      <c r="H43" s="231">
        <v>1799.9166666666667</v>
      </c>
      <c r="I43" s="231">
        <v>0</v>
      </c>
      <c r="J43" s="231">
        <v>0</v>
      </c>
      <c r="K43" s="231">
        <v>4083.3333333333335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</row>
    <row r="44" spans="3:40" x14ac:dyDescent="0.3">
      <c r="C44" s="231">
        <v>28</v>
      </c>
      <c r="D44" s="231">
        <v>8</v>
      </c>
      <c r="E44" s="231">
        <v>1</v>
      </c>
      <c r="F44" s="231">
        <v>25.2</v>
      </c>
      <c r="G44" s="231">
        <v>0</v>
      </c>
      <c r="H44" s="231">
        <v>4.3</v>
      </c>
      <c r="I44" s="231">
        <v>0</v>
      </c>
      <c r="J44" s="231">
        <v>0</v>
      </c>
      <c r="K44" s="231">
        <v>3</v>
      </c>
      <c r="L44" s="231">
        <v>0</v>
      </c>
      <c r="M44" s="231">
        <v>0</v>
      </c>
      <c r="N44" s="231">
        <v>6.5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8.6</v>
      </c>
      <c r="AA44" s="231">
        <v>0</v>
      </c>
      <c r="AB44" s="231">
        <v>0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1</v>
      </c>
      <c r="AI44" s="231">
        <v>0</v>
      </c>
      <c r="AJ44" s="231">
        <v>0</v>
      </c>
      <c r="AK44" s="231">
        <v>0</v>
      </c>
      <c r="AL44" s="231">
        <v>0</v>
      </c>
      <c r="AM44" s="231">
        <v>1.8</v>
      </c>
      <c r="AN44" s="231">
        <v>0</v>
      </c>
    </row>
    <row r="45" spans="3:40" x14ac:dyDescent="0.3">
      <c r="C45" s="231">
        <v>28</v>
      </c>
      <c r="D45" s="231">
        <v>8</v>
      </c>
      <c r="E45" s="231">
        <v>2</v>
      </c>
      <c r="F45" s="231">
        <v>2983.2</v>
      </c>
      <c r="G45" s="231">
        <v>0</v>
      </c>
      <c r="H45" s="231">
        <v>488</v>
      </c>
      <c r="I45" s="231">
        <v>0</v>
      </c>
      <c r="J45" s="231">
        <v>0</v>
      </c>
      <c r="K45" s="231">
        <v>256</v>
      </c>
      <c r="L45" s="231">
        <v>0</v>
      </c>
      <c r="M45" s="231">
        <v>0</v>
      </c>
      <c r="N45" s="231">
        <v>836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980.8</v>
      </c>
      <c r="AA45" s="231">
        <v>0</v>
      </c>
      <c r="AB45" s="231">
        <v>0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168</v>
      </c>
      <c r="AI45" s="231">
        <v>0</v>
      </c>
      <c r="AJ45" s="231">
        <v>0</v>
      </c>
      <c r="AK45" s="231">
        <v>0</v>
      </c>
      <c r="AL45" s="231">
        <v>0</v>
      </c>
      <c r="AM45" s="231">
        <v>254.4</v>
      </c>
      <c r="AN45" s="231">
        <v>0</v>
      </c>
    </row>
    <row r="46" spans="3:40" x14ac:dyDescent="0.3">
      <c r="C46" s="231">
        <v>28</v>
      </c>
      <c r="D46" s="231">
        <v>8</v>
      </c>
      <c r="E46" s="231">
        <v>6</v>
      </c>
      <c r="F46" s="231">
        <v>762391</v>
      </c>
      <c r="G46" s="231">
        <v>0</v>
      </c>
      <c r="H46" s="231">
        <v>250592</v>
      </c>
      <c r="I46" s="231">
        <v>0</v>
      </c>
      <c r="J46" s="231">
        <v>0</v>
      </c>
      <c r="K46" s="231">
        <v>73067</v>
      </c>
      <c r="L46" s="231">
        <v>0</v>
      </c>
      <c r="M46" s="231">
        <v>0</v>
      </c>
      <c r="N46" s="231">
        <v>140109</v>
      </c>
      <c r="O46" s="231">
        <v>0</v>
      </c>
      <c r="P46" s="231">
        <v>0</v>
      </c>
      <c r="Q46" s="231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244256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14850</v>
      </c>
      <c r="AI46" s="231">
        <v>0</v>
      </c>
      <c r="AJ46" s="231">
        <v>0</v>
      </c>
      <c r="AK46" s="231">
        <v>0</v>
      </c>
      <c r="AL46" s="231">
        <v>0</v>
      </c>
      <c r="AM46" s="231">
        <v>39517</v>
      </c>
      <c r="AN46" s="231">
        <v>0</v>
      </c>
    </row>
    <row r="47" spans="3:40" x14ac:dyDescent="0.3">
      <c r="C47" s="231">
        <v>28</v>
      </c>
      <c r="D47" s="231">
        <v>8</v>
      </c>
      <c r="E47" s="231">
        <v>9</v>
      </c>
      <c r="F47" s="231">
        <v>9332</v>
      </c>
      <c r="G47" s="231">
        <v>0</v>
      </c>
      <c r="H47" s="231">
        <v>0</v>
      </c>
      <c r="I47" s="231">
        <v>0</v>
      </c>
      <c r="J47" s="231">
        <v>0</v>
      </c>
      <c r="K47" s="231">
        <v>7464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0</v>
      </c>
      <c r="AM47" s="231">
        <v>1868</v>
      </c>
      <c r="AN47" s="231">
        <v>0</v>
      </c>
    </row>
    <row r="48" spans="3:40" x14ac:dyDescent="0.3">
      <c r="C48" s="231">
        <v>28</v>
      </c>
      <c r="D48" s="231">
        <v>8</v>
      </c>
      <c r="E48" s="231">
        <v>10</v>
      </c>
      <c r="F48" s="231">
        <v>9600</v>
      </c>
      <c r="G48" s="231">
        <v>0</v>
      </c>
      <c r="H48" s="231">
        <v>0</v>
      </c>
      <c r="I48" s="231">
        <v>0</v>
      </c>
      <c r="J48" s="231">
        <v>0</v>
      </c>
      <c r="K48" s="231">
        <v>9600</v>
      </c>
      <c r="L48" s="231">
        <v>0</v>
      </c>
      <c r="M48" s="231">
        <v>0</v>
      </c>
      <c r="N48" s="231">
        <v>0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0</v>
      </c>
      <c r="Y48" s="231">
        <v>0</v>
      </c>
      <c r="Z48" s="231">
        <v>0</v>
      </c>
      <c r="AA48" s="231">
        <v>0</v>
      </c>
      <c r="AB48" s="231">
        <v>0</v>
      </c>
      <c r="AC48" s="231">
        <v>0</v>
      </c>
      <c r="AD48" s="231">
        <v>0</v>
      </c>
      <c r="AE48" s="231">
        <v>0</v>
      </c>
      <c r="AF48" s="231">
        <v>0</v>
      </c>
      <c r="AG48" s="231">
        <v>0</v>
      </c>
      <c r="AH48" s="231">
        <v>0</v>
      </c>
      <c r="AI48" s="231">
        <v>0</v>
      </c>
      <c r="AJ48" s="231">
        <v>0</v>
      </c>
      <c r="AK48" s="231">
        <v>0</v>
      </c>
      <c r="AL48" s="231">
        <v>0</v>
      </c>
      <c r="AM48" s="231">
        <v>0</v>
      </c>
      <c r="AN48" s="231">
        <v>0</v>
      </c>
    </row>
    <row r="49" spans="3:40" x14ac:dyDescent="0.3">
      <c r="C49" s="231">
        <v>28</v>
      </c>
      <c r="D49" s="231">
        <v>8</v>
      </c>
      <c r="E49" s="231">
        <v>11</v>
      </c>
      <c r="F49" s="231">
        <v>5883.25</v>
      </c>
      <c r="G49" s="231">
        <v>0</v>
      </c>
      <c r="H49" s="231">
        <v>1799.9166666666667</v>
      </c>
      <c r="I49" s="231">
        <v>0</v>
      </c>
      <c r="J49" s="231">
        <v>0</v>
      </c>
      <c r="K49" s="231">
        <v>4083.3333333333335</v>
      </c>
      <c r="L49" s="231">
        <v>0</v>
      </c>
      <c r="M49" s="231">
        <v>0</v>
      </c>
      <c r="N49" s="231">
        <v>0</v>
      </c>
      <c r="O49" s="231">
        <v>0</v>
      </c>
      <c r="P49" s="231">
        <v>0</v>
      </c>
      <c r="Q49" s="231">
        <v>0</v>
      </c>
      <c r="R49" s="231">
        <v>0</v>
      </c>
      <c r="S49" s="231">
        <v>0</v>
      </c>
      <c r="T49" s="231">
        <v>0</v>
      </c>
      <c r="U49" s="231">
        <v>0</v>
      </c>
      <c r="V49" s="231">
        <v>0</v>
      </c>
      <c r="W49" s="231">
        <v>0</v>
      </c>
      <c r="X49" s="231">
        <v>0</v>
      </c>
      <c r="Y49" s="231">
        <v>0</v>
      </c>
      <c r="Z49" s="231">
        <v>0</v>
      </c>
      <c r="AA49" s="231">
        <v>0</v>
      </c>
      <c r="AB49" s="231">
        <v>0</v>
      </c>
      <c r="AC49" s="231">
        <v>0</v>
      </c>
      <c r="AD49" s="231">
        <v>0</v>
      </c>
      <c r="AE49" s="231">
        <v>0</v>
      </c>
      <c r="AF49" s="231">
        <v>0</v>
      </c>
      <c r="AG49" s="231">
        <v>0</v>
      </c>
      <c r="AH49" s="231">
        <v>0</v>
      </c>
      <c r="AI49" s="231">
        <v>0</v>
      </c>
      <c r="AJ49" s="231">
        <v>0</v>
      </c>
      <c r="AK49" s="231">
        <v>0</v>
      </c>
      <c r="AL49" s="231">
        <v>0</v>
      </c>
      <c r="AM49" s="231">
        <v>0</v>
      </c>
      <c r="AN49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1120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35533455</v>
      </c>
      <c r="C3" s="223">
        <f t="shared" ref="C3:R3" si="0">SUBTOTAL(9,C6:C1048576)</f>
        <v>4</v>
      </c>
      <c r="D3" s="223">
        <f t="shared" si="0"/>
        <v>36535107</v>
      </c>
      <c r="E3" s="223">
        <f t="shared" si="0"/>
        <v>3.7271883170426947</v>
      </c>
      <c r="F3" s="223">
        <f t="shared" si="0"/>
        <v>42507816</v>
      </c>
      <c r="G3" s="224">
        <f>IF(B3&lt;&gt;0,F3/B3,"")</f>
        <v>1.1962759039333495</v>
      </c>
      <c r="H3" s="225">
        <f t="shared" si="0"/>
        <v>24553.479999999996</v>
      </c>
      <c r="I3" s="223">
        <f t="shared" si="0"/>
        <v>2</v>
      </c>
      <c r="J3" s="223">
        <f t="shared" si="0"/>
        <v>42162.889999999992</v>
      </c>
      <c r="K3" s="223">
        <f t="shared" si="0"/>
        <v>7.030008804691084</v>
      </c>
      <c r="L3" s="223">
        <f t="shared" si="0"/>
        <v>33713.199999999997</v>
      </c>
      <c r="M3" s="226">
        <f>IF(H3&lt;&gt;0,L3/H3,"")</f>
        <v>1.3730518036547164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99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607"/>
      <c r="B5" s="608">
        <v>2012</v>
      </c>
      <c r="C5" s="609"/>
      <c r="D5" s="609">
        <v>2013</v>
      </c>
      <c r="E5" s="609"/>
      <c r="F5" s="609">
        <v>2014</v>
      </c>
      <c r="G5" s="610" t="s">
        <v>2</v>
      </c>
      <c r="H5" s="608">
        <v>2012</v>
      </c>
      <c r="I5" s="609"/>
      <c r="J5" s="609">
        <v>2013</v>
      </c>
      <c r="K5" s="609"/>
      <c r="L5" s="609">
        <v>2014</v>
      </c>
      <c r="M5" s="610" t="s">
        <v>2</v>
      </c>
      <c r="N5" s="608">
        <v>2012</v>
      </c>
      <c r="O5" s="609"/>
      <c r="P5" s="609">
        <v>2013</v>
      </c>
      <c r="Q5" s="609"/>
      <c r="R5" s="609">
        <v>2014</v>
      </c>
      <c r="S5" s="610" t="s">
        <v>2</v>
      </c>
    </row>
    <row r="6" spans="1:19" ht="14.4" customHeight="1" x14ac:dyDescent="0.3">
      <c r="A6" s="568" t="s">
        <v>1113</v>
      </c>
      <c r="B6" s="611">
        <v>6193588</v>
      </c>
      <c r="C6" s="537">
        <v>1</v>
      </c>
      <c r="D6" s="611">
        <v>6044666</v>
      </c>
      <c r="E6" s="537">
        <v>0.97595545586823018</v>
      </c>
      <c r="F6" s="611">
        <v>5446484</v>
      </c>
      <c r="G6" s="542">
        <v>0.87937460483325658</v>
      </c>
      <c r="H6" s="611">
        <v>2500.8199999999997</v>
      </c>
      <c r="I6" s="537">
        <v>1</v>
      </c>
      <c r="J6" s="611">
        <v>14436.56</v>
      </c>
      <c r="K6" s="537">
        <v>5.7727305443814432</v>
      </c>
      <c r="L6" s="611">
        <v>23163.499999999996</v>
      </c>
      <c r="M6" s="542">
        <v>9.2623619452819472</v>
      </c>
      <c r="N6" s="611"/>
      <c r="O6" s="537"/>
      <c r="P6" s="611"/>
      <c r="Q6" s="537"/>
      <c r="R6" s="611"/>
      <c r="S6" s="122"/>
    </row>
    <row r="7" spans="1:19" ht="14.4" customHeight="1" x14ac:dyDescent="0.3">
      <c r="A7" s="570" t="s">
        <v>1114</v>
      </c>
      <c r="B7" s="612">
        <v>9723</v>
      </c>
      <c r="C7" s="544">
        <v>1</v>
      </c>
      <c r="D7" s="612">
        <v>7126</v>
      </c>
      <c r="E7" s="544">
        <v>0.7329013678905687</v>
      </c>
      <c r="F7" s="612">
        <v>6384</v>
      </c>
      <c r="G7" s="549">
        <v>0.6565874730021598</v>
      </c>
      <c r="H7" s="612"/>
      <c r="I7" s="544"/>
      <c r="J7" s="612"/>
      <c r="K7" s="544"/>
      <c r="L7" s="612"/>
      <c r="M7" s="549"/>
      <c r="N7" s="612"/>
      <c r="O7" s="544"/>
      <c r="P7" s="612"/>
      <c r="Q7" s="544"/>
      <c r="R7" s="612"/>
      <c r="S7" s="550"/>
    </row>
    <row r="8" spans="1:19" ht="14.4" customHeight="1" x14ac:dyDescent="0.3">
      <c r="A8" s="570" t="s">
        <v>1115</v>
      </c>
      <c r="B8" s="612">
        <v>4099396</v>
      </c>
      <c r="C8" s="544">
        <v>1</v>
      </c>
      <c r="D8" s="612">
        <v>3965412</v>
      </c>
      <c r="E8" s="544">
        <v>0.96731616072221371</v>
      </c>
      <c r="F8" s="612">
        <v>3083829</v>
      </c>
      <c r="G8" s="549">
        <v>0.75226423599964487</v>
      </c>
      <c r="H8" s="612">
        <v>22052.659999999996</v>
      </c>
      <c r="I8" s="544">
        <v>1</v>
      </c>
      <c r="J8" s="612">
        <v>27726.329999999994</v>
      </c>
      <c r="K8" s="544">
        <v>1.2572782603096406</v>
      </c>
      <c r="L8" s="612">
        <v>10549.7</v>
      </c>
      <c r="M8" s="549">
        <v>0.47838673429871964</v>
      </c>
      <c r="N8" s="612"/>
      <c r="O8" s="544"/>
      <c r="P8" s="612"/>
      <c r="Q8" s="544"/>
      <c r="R8" s="612"/>
      <c r="S8" s="550"/>
    </row>
    <row r="9" spans="1:19" ht="14.4" customHeight="1" thickBot="1" x14ac:dyDescent="0.35">
      <c r="A9" s="614" t="s">
        <v>1116</v>
      </c>
      <c r="B9" s="613">
        <v>25230748</v>
      </c>
      <c r="C9" s="552">
        <v>1</v>
      </c>
      <c r="D9" s="613">
        <v>26517903</v>
      </c>
      <c r="E9" s="552">
        <v>1.0510153325616822</v>
      </c>
      <c r="F9" s="613">
        <v>33971119</v>
      </c>
      <c r="G9" s="557">
        <v>1.3464174347902804</v>
      </c>
      <c r="H9" s="613"/>
      <c r="I9" s="552"/>
      <c r="J9" s="613"/>
      <c r="K9" s="552"/>
      <c r="L9" s="613"/>
      <c r="M9" s="557"/>
      <c r="N9" s="613"/>
      <c r="O9" s="552"/>
      <c r="P9" s="613"/>
      <c r="Q9" s="552"/>
      <c r="R9" s="613"/>
      <c r="S9" s="558"/>
    </row>
    <row r="10" spans="1:19" ht="14.4" customHeight="1" x14ac:dyDescent="0.3">
      <c r="A10" s="615" t="s">
        <v>1117</v>
      </c>
    </row>
    <row r="11" spans="1:19" ht="14.4" customHeight="1" x14ac:dyDescent="0.3">
      <c r="A11" s="616" t="s">
        <v>1118</v>
      </c>
    </row>
    <row r="12" spans="1:19" ht="14.4" customHeight="1" x14ac:dyDescent="0.3">
      <c r="A12" s="615" t="s">
        <v>1119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1127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281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129</v>
      </c>
      <c r="B3" s="315">
        <f t="shared" ref="B3:G3" si="0">SUBTOTAL(9,B6:B1048576)</f>
        <v>32662</v>
      </c>
      <c r="C3" s="316">
        <f t="shared" si="0"/>
        <v>35183</v>
      </c>
      <c r="D3" s="316">
        <f t="shared" si="0"/>
        <v>34985</v>
      </c>
      <c r="E3" s="225">
        <f t="shared" si="0"/>
        <v>35533455</v>
      </c>
      <c r="F3" s="223">
        <f t="shared" si="0"/>
        <v>36535107</v>
      </c>
      <c r="G3" s="317">
        <f t="shared" si="0"/>
        <v>42507816</v>
      </c>
    </row>
    <row r="4" spans="1:7" ht="14.4" customHeight="1" x14ac:dyDescent="0.3">
      <c r="A4" s="398" t="s">
        <v>137</v>
      </c>
      <c r="B4" s="399" t="s">
        <v>279</v>
      </c>
      <c r="C4" s="400"/>
      <c r="D4" s="400"/>
      <c r="E4" s="402" t="s">
        <v>100</v>
      </c>
      <c r="F4" s="403"/>
      <c r="G4" s="404"/>
    </row>
    <row r="5" spans="1:7" ht="14.4" customHeight="1" thickBot="1" x14ac:dyDescent="0.35">
      <c r="A5" s="607"/>
      <c r="B5" s="608">
        <v>2012</v>
      </c>
      <c r="C5" s="609">
        <v>2013</v>
      </c>
      <c r="D5" s="609">
        <v>2014</v>
      </c>
      <c r="E5" s="608">
        <v>2012</v>
      </c>
      <c r="F5" s="609">
        <v>2013</v>
      </c>
      <c r="G5" s="617">
        <v>2014</v>
      </c>
    </row>
    <row r="6" spans="1:7" ht="14.4" customHeight="1" x14ac:dyDescent="0.3">
      <c r="A6" s="568" t="s">
        <v>1121</v>
      </c>
      <c r="B6" s="116"/>
      <c r="C6" s="116">
        <v>1</v>
      </c>
      <c r="D6" s="116"/>
      <c r="E6" s="611"/>
      <c r="F6" s="611">
        <v>323</v>
      </c>
      <c r="G6" s="618"/>
    </row>
    <row r="7" spans="1:7" ht="14.4" customHeight="1" x14ac:dyDescent="0.3">
      <c r="A7" s="570" t="s">
        <v>1122</v>
      </c>
      <c r="B7" s="561">
        <v>32613</v>
      </c>
      <c r="C7" s="561">
        <v>35082</v>
      </c>
      <c r="D7" s="561">
        <v>34493</v>
      </c>
      <c r="E7" s="612">
        <v>35497444</v>
      </c>
      <c r="F7" s="612">
        <v>36502717</v>
      </c>
      <c r="G7" s="619">
        <v>42348812</v>
      </c>
    </row>
    <row r="8" spans="1:7" ht="14.4" customHeight="1" x14ac:dyDescent="0.3">
      <c r="A8" s="570" t="s">
        <v>1123</v>
      </c>
      <c r="B8" s="561"/>
      <c r="C8" s="561">
        <v>76</v>
      </c>
      <c r="D8" s="561">
        <v>485</v>
      </c>
      <c r="E8" s="612"/>
      <c r="F8" s="612">
        <v>24548</v>
      </c>
      <c r="G8" s="619">
        <v>157353</v>
      </c>
    </row>
    <row r="9" spans="1:7" ht="14.4" customHeight="1" x14ac:dyDescent="0.3">
      <c r="A9" s="570" t="s">
        <v>630</v>
      </c>
      <c r="B9" s="561">
        <v>38</v>
      </c>
      <c r="C9" s="561">
        <v>15</v>
      </c>
      <c r="D9" s="561">
        <v>7</v>
      </c>
      <c r="E9" s="612">
        <v>32458</v>
      </c>
      <c r="F9" s="612">
        <v>4620</v>
      </c>
      <c r="G9" s="619">
        <v>1651</v>
      </c>
    </row>
    <row r="10" spans="1:7" ht="14.4" customHeight="1" x14ac:dyDescent="0.3">
      <c r="A10" s="570" t="s">
        <v>631</v>
      </c>
      <c r="B10" s="561"/>
      <c r="C10" s="561">
        <v>4</v>
      </c>
      <c r="D10" s="561"/>
      <c r="E10" s="612"/>
      <c r="F10" s="612">
        <v>1284</v>
      </c>
      <c r="G10" s="619"/>
    </row>
    <row r="11" spans="1:7" ht="14.4" customHeight="1" x14ac:dyDescent="0.3">
      <c r="A11" s="570" t="s">
        <v>1124</v>
      </c>
      <c r="B11" s="561">
        <v>7</v>
      </c>
      <c r="C11" s="561">
        <v>1</v>
      </c>
      <c r="D11" s="561"/>
      <c r="E11" s="612">
        <v>2261</v>
      </c>
      <c r="F11" s="612">
        <v>323</v>
      </c>
      <c r="G11" s="619"/>
    </row>
    <row r="12" spans="1:7" ht="14.4" customHeight="1" x14ac:dyDescent="0.3">
      <c r="A12" s="570" t="s">
        <v>1125</v>
      </c>
      <c r="B12" s="561">
        <v>2</v>
      </c>
      <c r="C12" s="561">
        <v>4</v>
      </c>
      <c r="D12" s="561"/>
      <c r="E12" s="612">
        <v>646</v>
      </c>
      <c r="F12" s="612">
        <v>1292</v>
      </c>
      <c r="G12" s="619"/>
    </row>
    <row r="13" spans="1:7" ht="14.4" customHeight="1" thickBot="1" x14ac:dyDescent="0.35">
      <c r="A13" s="614" t="s">
        <v>1126</v>
      </c>
      <c r="B13" s="563">
        <v>2</v>
      </c>
      <c r="C13" s="563"/>
      <c r="D13" s="563"/>
      <c r="E13" s="613">
        <v>646</v>
      </c>
      <c r="F13" s="613"/>
      <c r="G13" s="620"/>
    </row>
    <row r="14" spans="1:7" ht="14.4" customHeight="1" x14ac:dyDescent="0.3">
      <c r="A14" s="615" t="s">
        <v>1117</v>
      </c>
    </row>
    <row r="15" spans="1:7" ht="14.4" customHeight="1" x14ac:dyDescent="0.3">
      <c r="A15" s="616" t="s">
        <v>1118</v>
      </c>
    </row>
    <row r="16" spans="1:7" ht="14.4" customHeight="1" x14ac:dyDescent="0.3">
      <c r="A16" s="615" t="s">
        <v>1119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22.21875" style="130" customWidth="1"/>
    <col min="4" max="4" width="8" style="130" customWidth="1"/>
    <col min="5" max="5" width="50.88671875" style="130" bestFit="1" customWidth="1"/>
    <col min="6" max="7" width="11.109375" style="208" customWidth="1"/>
    <col min="8" max="9" width="9.33203125" style="130" hidden="1" customWidth="1"/>
    <col min="10" max="11" width="11.109375" style="208" customWidth="1"/>
    <col min="12" max="13" width="9.33203125" style="130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1233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281</v>
      </c>
      <c r="B2" s="131"/>
      <c r="C2" s="131"/>
      <c r="D2" s="314"/>
      <c r="E2" s="131"/>
      <c r="F2" s="229"/>
      <c r="G2" s="229"/>
      <c r="H2" s="131"/>
      <c r="I2" s="131"/>
      <c r="J2" s="229"/>
      <c r="K2" s="229"/>
      <c r="L2" s="131"/>
      <c r="M2" s="131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32687</v>
      </c>
      <c r="G3" s="103">
        <f t="shared" si="0"/>
        <v>35558008.480000004</v>
      </c>
      <c r="H3" s="74"/>
      <c r="I3" s="74"/>
      <c r="J3" s="103">
        <f t="shared" si="0"/>
        <v>35215</v>
      </c>
      <c r="K3" s="103">
        <f t="shared" si="0"/>
        <v>36577269.890000001</v>
      </c>
      <c r="L3" s="74"/>
      <c r="M3" s="74"/>
      <c r="N3" s="103">
        <f t="shared" si="0"/>
        <v>35010</v>
      </c>
      <c r="O3" s="103">
        <f t="shared" si="0"/>
        <v>42541529.200000003</v>
      </c>
      <c r="P3" s="75">
        <f>IF(G3=0,0,O3/G3)</f>
        <v>1.1963979710485741</v>
      </c>
      <c r="Q3" s="104">
        <f>IF(N3=0,0,O3/N3)</f>
        <v>1215.1250842616396</v>
      </c>
    </row>
    <row r="4" spans="1:17" ht="14.4" customHeight="1" x14ac:dyDescent="0.3">
      <c r="A4" s="406" t="s">
        <v>95</v>
      </c>
      <c r="B4" s="407" t="s">
        <v>96</v>
      </c>
      <c r="C4" s="408" t="s">
        <v>137</v>
      </c>
      <c r="D4" s="413" t="s">
        <v>71</v>
      </c>
      <c r="E4" s="409" t="s">
        <v>70</v>
      </c>
      <c r="F4" s="410">
        <v>2012</v>
      </c>
      <c r="G4" s="411"/>
      <c r="H4" s="101"/>
      <c r="I4" s="101"/>
      <c r="J4" s="410">
        <v>2013</v>
      </c>
      <c r="K4" s="411"/>
      <c r="L4" s="101"/>
      <c r="M4" s="101"/>
      <c r="N4" s="410">
        <v>2014</v>
      </c>
      <c r="O4" s="411"/>
      <c r="P4" s="412" t="s">
        <v>2</v>
      </c>
      <c r="Q4" s="405" t="s">
        <v>98</v>
      </c>
    </row>
    <row r="5" spans="1:17" ht="14.4" customHeight="1" thickBot="1" x14ac:dyDescent="0.35">
      <c r="A5" s="621"/>
      <c r="B5" s="622"/>
      <c r="C5" s="623"/>
      <c r="D5" s="624"/>
      <c r="E5" s="625"/>
      <c r="F5" s="626" t="s">
        <v>72</v>
      </c>
      <c r="G5" s="627" t="s">
        <v>14</v>
      </c>
      <c r="H5" s="628"/>
      <c r="I5" s="628"/>
      <c r="J5" s="626" t="s">
        <v>72</v>
      </c>
      <c r="K5" s="627" t="s">
        <v>14</v>
      </c>
      <c r="L5" s="628"/>
      <c r="M5" s="628"/>
      <c r="N5" s="626" t="s">
        <v>72</v>
      </c>
      <c r="O5" s="627" t="s">
        <v>14</v>
      </c>
      <c r="P5" s="629"/>
      <c r="Q5" s="630"/>
    </row>
    <row r="6" spans="1:17" ht="14.4" customHeight="1" x14ac:dyDescent="0.3">
      <c r="A6" s="536" t="s">
        <v>1128</v>
      </c>
      <c r="B6" s="537" t="s">
        <v>1129</v>
      </c>
      <c r="C6" s="537" t="s">
        <v>1122</v>
      </c>
      <c r="D6" s="537" t="s">
        <v>1130</v>
      </c>
      <c r="E6" s="537" t="s">
        <v>1131</v>
      </c>
      <c r="F6" s="116">
        <v>1</v>
      </c>
      <c r="G6" s="116">
        <v>1364.08</v>
      </c>
      <c r="H6" s="537">
        <v>1</v>
      </c>
      <c r="I6" s="537">
        <v>1364.08</v>
      </c>
      <c r="J6" s="116">
        <v>8</v>
      </c>
      <c r="K6" s="116">
        <v>10996.43</v>
      </c>
      <c r="L6" s="537">
        <v>8.06142601606944</v>
      </c>
      <c r="M6" s="537">
        <v>1374.55375</v>
      </c>
      <c r="N6" s="116"/>
      <c r="O6" s="116"/>
      <c r="P6" s="542"/>
      <c r="Q6" s="560"/>
    </row>
    <row r="7" spans="1:17" ht="14.4" customHeight="1" x14ac:dyDescent="0.3">
      <c r="A7" s="543" t="s">
        <v>1128</v>
      </c>
      <c r="B7" s="544" t="s">
        <v>1129</v>
      </c>
      <c r="C7" s="544" t="s">
        <v>1122</v>
      </c>
      <c r="D7" s="544" t="s">
        <v>1132</v>
      </c>
      <c r="E7" s="544" t="s">
        <v>562</v>
      </c>
      <c r="F7" s="561">
        <v>2</v>
      </c>
      <c r="G7" s="561">
        <v>1136.74</v>
      </c>
      <c r="H7" s="544">
        <v>1</v>
      </c>
      <c r="I7" s="544">
        <v>568.37</v>
      </c>
      <c r="J7" s="561"/>
      <c r="K7" s="561"/>
      <c r="L7" s="544"/>
      <c r="M7" s="544"/>
      <c r="N7" s="561"/>
      <c r="O7" s="561"/>
      <c r="P7" s="549"/>
      <c r="Q7" s="562"/>
    </row>
    <row r="8" spans="1:17" ht="14.4" customHeight="1" x14ac:dyDescent="0.3">
      <c r="A8" s="543" t="s">
        <v>1128</v>
      </c>
      <c r="B8" s="544" t="s">
        <v>1129</v>
      </c>
      <c r="C8" s="544" t="s">
        <v>1122</v>
      </c>
      <c r="D8" s="544" t="s">
        <v>1133</v>
      </c>
      <c r="E8" s="544" t="s">
        <v>562</v>
      </c>
      <c r="F8" s="561"/>
      <c r="G8" s="561"/>
      <c r="H8" s="544"/>
      <c r="I8" s="544"/>
      <c r="J8" s="561">
        <v>3</v>
      </c>
      <c r="K8" s="561">
        <v>3440.13</v>
      </c>
      <c r="L8" s="544"/>
      <c r="M8" s="544">
        <v>1146.71</v>
      </c>
      <c r="N8" s="561">
        <v>1</v>
      </c>
      <c r="O8" s="561">
        <v>1146.7</v>
      </c>
      <c r="P8" s="549"/>
      <c r="Q8" s="562">
        <v>1146.7</v>
      </c>
    </row>
    <row r="9" spans="1:17" ht="14.4" customHeight="1" x14ac:dyDescent="0.3">
      <c r="A9" s="543" t="s">
        <v>1128</v>
      </c>
      <c r="B9" s="544" t="s">
        <v>1129</v>
      </c>
      <c r="C9" s="544" t="s">
        <v>1122</v>
      </c>
      <c r="D9" s="544" t="s">
        <v>1134</v>
      </c>
      <c r="E9" s="544" t="s">
        <v>1135</v>
      </c>
      <c r="F9" s="561"/>
      <c r="G9" s="561"/>
      <c r="H9" s="544"/>
      <c r="I9" s="544"/>
      <c r="J9" s="561"/>
      <c r="K9" s="561"/>
      <c r="L9" s="544"/>
      <c r="M9" s="544"/>
      <c r="N9" s="561">
        <v>16</v>
      </c>
      <c r="O9" s="561">
        <v>22016.799999999996</v>
      </c>
      <c r="P9" s="549"/>
      <c r="Q9" s="562">
        <v>1376.0499999999997</v>
      </c>
    </row>
    <row r="10" spans="1:17" ht="14.4" customHeight="1" x14ac:dyDescent="0.3">
      <c r="A10" s="543" t="s">
        <v>1128</v>
      </c>
      <c r="B10" s="544" t="s">
        <v>1136</v>
      </c>
      <c r="C10" s="544" t="s">
        <v>1121</v>
      </c>
      <c r="D10" s="544" t="s">
        <v>1137</v>
      </c>
      <c r="E10" s="544" t="s">
        <v>1138</v>
      </c>
      <c r="F10" s="561"/>
      <c r="G10" s="561"/>
      <c r="H10" s="544"/>
      <c r="I10" s="544"/>
      <c r="J10" s="561">
        <v>1</v>
      </c>
      <c r="K10" s="561">
        <v>323</v>
      </c>
      <c r="L10" s="544"/>
      <c r="M10" s="544">
        <v>323</v>
      </c>
      <c r="N10" s="561"/>
      <c r="O10" s="561"/>
      <c r="P10" s="549"/>
      <c r="Q10" s="562"/>
    </row>
    <row r="11" spans="1:17" ht="14.4" customHeight="1" x14ac:dyDescent="0.3">
      <c r="A11" s="543" t="s">
        <v>1128</v>
      </c>
      <c r="B11" s="544" t="s">
        <v>1136</v>
      </c>
      <c r="C11" s="544" t="s">
        <v>1122</v>
      </c>
      <c r="D11" s="544" t="s">
        <v>1139</v>
      </c>
      <c r="E11" s="544" t="s">
        <v>1140</v>
      </c>
      <c r="F11" s="561">
        <v>8</v>
      </c>
      <c r="G11" s="561">
        <v>504</v>
      </c>
      <c r="H11" s="544">
        <v>1</v>
      </c>
      <c r="I11" s="544">
        <v>63</v>
      </c>
      <c r="J11" s="561">
        <v>47</v>
      </c>
      <c r="K11" s="561">
        <v>2961</v>
      </c>
      <c r="L11" s="544">
        <v>5.875</v>
      </c>
      <c r="M11" s="544">
        <v>63</v>
      </c>
      <c r="N11" s="561">
        <v>93</v>
      </c>
      <c r="O11" s="561">
        <v>5927</v>
      </c>
      <c r="P11" s="549">
        <v>11.759920634920634</v>
      </c>
      <c r="Q11" s="562">
        <v>63.731182795698928</v>
      </c>
    </row>
    <row r="12" spans="1:17" ht="14.4" customHeight="1" x14ac:dyDescent="0.3">
      <c r="A12" s="543" t="s">
        <v>1128</v>
      </c>
      <c r="B12" s="544" t="s">
        <v>1136</v>
      </c>
      <c r="C12" s="544" t="s">
        <v>1122</v>
      </c>
      <c r="D12" s="544" t="s">
        <v>1141</v>
      </c>
      <c r="E12" s="544" t="s">
        <v>1142</v>
      </c>
      <c r="F12" s="561"/>
      <c r="G12" s="561"/>
      <c r="H12" s="544"/>
      <c r="I12" s="544"/>
      <c r="J12" s="561">
        <v>2</v>
      </c>
      <c r="K12" s="561">
        <v>412</v>
      </c>
      <c r="L12" s="544"/>
      <c r="M12" s="544">
        <v>206</v>
      </c>
      <c r="N12" s="561">
        <v>1</v>
      </c>
      <c r="O12" s="561">
        <v>206</v>
      </c>
      <c r="P12" s="549"/>
      <c r="Q12" s="562">
        <v>206</v>
      </c>
    </row>
    <row r="13" spans="1:17" ht="14.4" customHeight="1" x14ac:dyDescent="0.3">
      <c r="A13" s="543" t="s">
        <v>1128</v>
      </c>
      <c r="B13" s="544" t="s">
        <v>1136</v>
      </c>
      <c r="C13" s="544" t="s">
        <v>1122</v>
      </c>
      <c r="D13" s="544" t="s">
        <v>1143</v>
      </c>
      <c r="E13" s="544" t="s">
        <v>1144</v>
      </c>
      <c r="F13" s="561">
        <v>575</v>
      </c>
      <c r="G13" s="561">
        <v>1428875</v>
      </c>
      <c r="H13" s="544">
        <v>1</v>
      </c>
      <c r="I13" s="544">
        <v>2485</v>
      </c>
      <c r="J13" s="561">
        <v>723</v>
      </c>
      <c r="K13" s="561">
        <v>1672299</v>
      </c>
      <c r="L13" s="544">
        <v>1.1703605983728458</v>
      </c>
      <c r="M13" s="544">
        <v>2313</v>
      </c>
      <c r="N13" s="561">
        <v>586</v>
      </c>
      <c r="O13" s="561">
        <v>1361514</v>
      </c>
      <c r="P13" s="549">
        <v>0.9528573178199633</v>
      </c>
      <c r="Q13" s="562">
        <v>2323.4027303754265</v>
      </c>
    </row>
    <row r="14" spans="1:17" ht="14.4" customHeight="1" x14ac:dyDescent="0.3">
      <c r="A14" s="543" t="s">
        <v>1128</v>
      </c>
      <c r="B14" s="544" t="s">
        <v>1136</v>
      </c>
      <c r="C14" s="544" t="s">
        <v>1122</v>
      </c>
      <c r="D14" s="544" t="s">
        <v>1145</v>
      </c>
      <c r="E14" s="544" t="s">
        <v>1146</v>
      </c>
      <c r="F14" s="561">
        <v>2</v>
      </c>
      <c r="G14" s="561">
        <v>1734</v>
      </c>
      <c r="H14" s="544">
        <v>1</v>
      </c>
      <c r="I14" s="544">
        <v>867</v>
      </c>
      <c r="J14" s="561"/>
      <c r="K14" s="561"/>
      <c r="L14" s="544"/>
      <c r="M14" s="544"/>
      <c r="N14" s="561"/>
      <c r="O14" s="561"/>
      <c r="P14" s="549"/>
      <c r="Q14" s="562"/>
    </row>
    <row r="15" spans="1:17" ht="14.4" customHeight="1" x14ac:dyDescent="0.3">
      <c r="A15" s="543" t="s">
        <v>1128</v>
      </c>
      <c r="B15" s="544" t="s">
        <v>1136</v>
      </c>
      <c r="C15" s="544" t="s">
        <v>1122</v>
      </c>
      <c r="D15" s="544" t="s">
        <v>1147</v>
      </c>
      <c r="E15" s="544" t="s">
        <v>1148</v>
      </c>
      <c r="F15" s="561">
        <v>1955</v>
      </c>
      <c r="G15" s="561">
        <v>621690</v>
      </c>
      <c r="H15" s="544">
        <v>1</v>
      </c>
      <c r="I15" s="544">
        <v>318</v>
      </c>
      <c r="J15" s="561">
        <v>1956</v>
      </c>
      <c r="K15" s="561">
        <v>623964</v>
      </c>
      <c r="L15" s="544">
        <v>1.003657771558172</v>
      </c>
      <c r="M15" s="544">
        <v>319</v>
      </c>
      <c r="N15" s="561">
        <v>1575</v>
      </c>
      <c r="O15" s="561">
        <v>504720</v>
      </c>
      <c r="P15" s="549">
        <v>0.81185156589296914</v>
      </c>
      <c r="Q15" s="562">
        <v>320.45714285714286</v>
      </c>
    </row>
    <row r="16" spans="1:17" ht="14.4" customHeight="1" x14ac:dyDescent="0.3">
      <c r="A16" s="543" t="s">
        <v>1128</v>
      </c>
      <c r="B16" s="544" t="s">
        <v>1136</v>
      </c>
      <c r="C16" s="544" t="s">
        <v>1122</v>
      </c>
      <c r="D16" s="544" t="s">
        <v>1149</v>
      </c>
      <c r="E16" s="544" t="s">
        <v>1150</v>
      </c>
      <c r="F16" s="561">
        <v>52</v>
      </c>
      <c r="G16" s="561">
        <v>0</v>
      </c>
      <c r="H16" s="544"/>
      <c r="I16" s="544">
        <v>0</v>
      </c>
      <c r="J16" s="561">
        <v>77</v>
      </c>
      <c r="K16" s="561">
        <v>0</v>
      </c>
      <c r="L16" s="544"/>
      <c r="M16" s="544">
        <v>0</v>
      </c>
      <c r="N16" s="561">
        <v>44</v>
      </c>
      <c r="O16" s="561">
        <v>0</v>
      </c>
      <c r="P16" s="549"/>
      <c r="Q16" s="562">
        <v>0</v>
      </c>
    </row>
    <row r="17" spans="1:17" ht="14.4" customHeight="1" x14ac:dyDescent="0.3">
      <c r="A17" s="543" t="s">
        <v>1128</v>
      </c>
      <c r="B17" s="544" t="s">
        <v>1136</v>
      </c>
      <c r="C17" s="544" t="s">
        <v>1122</v>
      </c>
      <c r="D17" s="544" t="s">
        <v>1137</v>
      </c>
      <c r="E17" s="544" t="s">
        <v>1138</v>
      </c>
      <c r="F17" s="561">
        <v>4507</v>
      </c>
      <c r="G17" s="561">
        <v>1455761</v>
      </c>
      <c r="H17" s="544">
        <v>1</v>
      </c>
      <c r="I17" s="544">
        <v>323</v>
      </c>
      <c r="J17" s="561">
        <v>4290</v>
      </c>
      <c r="K17" s="561">
        <v>1385670</v>
      </c>
      <c r="L17" s="544">
        <v>0.9518526736188152</v>
      </c>
      <c r="M17" s="544">
        <v>323</v>
      </c>
      <c r="N17" s="561">
        <v>3465</v>
      </c>
      <c r="O17" s="561">
        <v>1124649</v>
      </c>
      <c r="P17" s="549">
        <v>0.77255057663998417</v>
      </c>
      <c r="Q17" s="562">
        <v>324.57402597402597</v>
      </c>
    </row>
    <row r="18" spans="1:17" ht="14.4" customHeight="1" x14ac:dyDescent="0.3">
      <c r="A18" s="543" t="s">
        <v>1128</v>
      </c>
      <c r="B18" s="544" t="s">
        <v>1136</v>
      </c>
      <c r="C18" s="544" t="s">
        <v>1122</v>
      </c>
      <c r="D18" s="544" t="s">
        <v>1151</v>
      </c>
      <c r="E18" s="544" t="s">
        <v>1152</v>
      </c>
      <c r="F18" s="561">
        <v>4794</v>
      </c>
      <c r="G18" s="561">
        <v>0</v>
      </c>
      <c r="H18" s="544"/>
      <c r="I18" s="544">
        <v>0</v>
      </c>
      <c r="J18" s="561">
        <v>4789</v>
      </c>
      <c r="K18" s="561">
        <v>0</v>
      </c>
      <c r="L18" s="544"/>
      <c r="M18" s="544">
        <v>0</v>
      </c>
      <c r="N18" s="561">
        <v>4199</v>
      </c>
      <c r="O18" s="561">
        <v>0</v>
      </c>
      <c r="P18" s="549"/>
      <c r="Q18" s="562">
        <v>0</v>
      </c>
    </row>
    <row r="19" spans="1:17" ht="14.4" customHeight="1" x14ac:dyDescent="0.3">
      <c r="A19" s="543" t="s">
        <v>1128</v>
      </c>
      <c r="B19" s="544" t="s">
        <v>1136</v>
      </c>
      <c r="C19" s="544" t="s">
        <v>1122</v>
      </c>
      <c r="D19" s="544" t="s">
        <v>1153</v>
      </c>
      <c r="E19" s="544" t="s">
        <v>1154</v>
      </c>
      <c r="F19" s="561">
        <v>1646</v>
      </c>
      <c r="G19" s="561">
        <v>2643476</v>
      </c>
      <c r="H19" s="544">
        <v>1</v>
      </c>
      <c r="I19" s="544">
        <v>1606</v>
      </c>
      <c r="J19" s="561">
        <v>1567</v>
      </c>
      <c r="K19" s="561">
        <v>2250212</v>
      </c>
      <c r="L19" s="544">
        <v>0.85123224118546947</v>
      </c>
      <c r="M19" s="544">
        <v>1436</v>
      </c>
      <c r="N19" s="561">
        <v>1514</v>
      </c>
      <c r="O19" s="561">
        <v>2181680</v>
      </c>
      <c r="P19" s="549">
        <v>0.8253072848022831</v>
      </c>
      <c r="Q19" s="562">
        <v>1441.003963011889</v>
      </c>
    </row>
    <row r="20" spans="1:17" ht="14.4" customHeight="1" x14ac:dyDescent="0.3">
      <c r="A20" s="543" t="s">
        <v>1128</v>
      </c>
      <c r="B20" s="544" t="s">
        <v>1136</v>
      </c>
      <c r="C20" s="544" t="s">
        <v>1122</v>
      </c>
      <c r="D20" s="544" t="s">
        <v>1155</v>
      </c>
      <c r="E20" s="544" t="s">
        <v>1156</v>
      </c>
      <c r="F20" s="561"/>
      <c r="G20" s="561"/>
      <c r="H20" s="544"/>
      <c r="I20" s="544"/>
      <c r="J20" s="561">
        <v>782</v>
      </c>
      <c r="K20" s="561">
        <v>5406</v>
      </c>
      <c r="L20" s="544"/>
      <c r="M20" s="544">
        <v>6.9130434782608692</v>
      </c>
      <c r="N20" s="561">
        <v>178</v>
      </c>
      <c r="O20" s="561">
        <v>19108</v>
      </c>
      <c r="P20" s="549"/>
      <c r="Q20" s="562">
        <v>107.34831460674157</v>
      </c>
    </row>
    <row r="21" spans="1:17" ht="14.4" customHeight="1" x14ac:dyDescent="0.3">
      <c r="A21" s="543" t="s">
        <v>1128</v>
      </c>
      <c r="B21" s="544" t="s">
        <v>1136</v>
      </c>
      <c r="C21" s="544" t="s">
        <v>1122</v>
      </c>
      <c r="D21" s="544" t="s">
        <v>1157</v>
      </c>
      <c r="E21" s="544" t="s">
        <v>1158</v>
      </c>
      <c r="F21" s="561">
        <v>77</v>
      </c>
      <c r="G21" s="561">
        <v>1925</v>
      </c>
      <c r="H21" s="544">
        <v>1</v>
      </c>
      <c r="I21" s="544">
        <v>25</v>
      </c>
      <c r="J21" s="561">
        <v>2000</v>
      </c>
      <c r="K21" s="561">
        <v>70000</v>
      </c>
      <c r="L21" s="544">
        <v>36.363636363636367</v>
      </c>
      <c r="M21" s="544">
        <v>35</v>
      </c>
      <c r="N21" s="561">
        <v>2371</v>
      </c>
      <c r="O21" s="561">
        <v>84235</v>
      </c>
      <c r="P21" s="549">
        <v>43.758441558441561</v>
      </c>
      <c r="Q21" s="562">
        <v>35.527203711514126</v>
      </c>
    </row>
    <row r="22" spans="1:17" ht="14.4" customHeight="1" x14ac:dyDescent="0.3">
      <c r="A22" s="543" t="s">
        <v>1128</v>
      </c>
      <c r="B22" s="544" t="s">
        <v>1136</v>
      </c>
      <c r="C22" s="544" t="s">
        <v>1122</v>
      </c>
      <c r="D22" s="544" t="s">
        <v>1159</v>
      </c>
      <c r="E22" s="544" t="s">
        <v>1160</v>
      </c>
      <c r="F22" s="561"/>
      <c r="G22" s="561"/>
      <c r="H22" s="544"/>
      <c r="I22" s="544"/>
      <c r="J22" s="561"/>
      <c r="K22" s="561"/>
      <c r="L22" s="544"/>
      <c r="M22" s="544"/>
      <c r="N22" s="561">
        <v>49</v>
      </c>
      <c r="O22" s="561">
        <v>3995</v>
      </c>
      <c r="P22" s="549"/>
      <c r="Q22" s="562">
        <v>81.530612244897952</v>
      </c>
    </row>
    <row r="23" spans="1:17" ht="14.4" customHeight="1" x14ac:dyDescent="0.3">
      <c r="A23" s="543" t="s">
        <v>1128</v>
      </c>
      <c r="B23" s="544" t="s">
        <v>1136</v>
      </c>
      <c r="C23" s="544" t="s">
        <v>1122</v>
      </c>
      <c r="D23" s="544" t="s">
        <v>1161</v>
      </c>
      <c r="E23" s="544" t="s">
        <v>1162</v>
      </c>
      <c r="F23" s="561">
        <v>1</v>
      </c>
      <c r="G23" s="561">
        <v>19</v>
      </c>
      <c r="H23" s="544">
        <v>1</v>
      </c>
      <c r="I23" s="544">
        <v>19</v>
      </c>
      <c r="J23" s="561">
        <v>12</v>
      </c>
      <c r="K23" s="561">
        <v>360</v>
      </c>
      <c r="L23" s="544">
        <v>18.94736842105263</v>
      </c>
      <c r="M23" s="544">
        <v>30</v>
      </c>
      <c r="N23" s="561">
        <v>20</v>
      </c>
      <c r="O23" s="561">
        <v>611</v>
      </c>
      <c r="P23" s="549">
        <v>32.157894736842103</v>
      </c>
      <c r="Q23" s="562">
        <v>30.55</v>
      </c>
    </row>
    <row r="24" spans="1:17" ht="14.4" customHeight="1" x14ac:dyDescent="0.3">
      <c r="A24" s="543" t="s">
        <v>1128</v>
      </c>
      <c r="B24" s="544" t="s">
        <v>1136</v>
      </c>
      <c r="C24" s="544" t="s">
        <v>1122</v>
      </c>
      <c r="D24" s="544" t="s">
        <v>1163</v>
      </c>
      <c r="E24" s="544" t="s">
        <v>1164</v>
      </c>
      <c r="F24" s="561"/>
      <c r="G24" s="561"/>
      <c r="H24" s="544"/>
      <c r="I24" s="544"/>
      <c r="J24" s="561">
        <v>10</v>
      </c>
      <c r="K24" s="561">
        <v>690</v>
      </c>
      <c r="L24" s="544"/>
      <c r="M24" s="544">
        <v>69</v>
      </c>
      <c r="N24" s="561">
        <v>12</v>
      </c>
      <c r="O24" s="561">
        <v>835</v>
      </c>
      <c r="P24" s="549"/>
      <c r="Q24" s="562">
        <v>69.583333333333329</v>
      </c>
    </row>
    <row r="25" spans="1:17" ht="14.4" customHeight="1" x14ac:dyDescent="0.3">
      <c r="A25" s="543" t="s">
        <v>1128</v>
      </c>
      <c r="B25" s="544" t="s">
        <v>1136</v>
      </c>
      <c r="C25" s="544" t="s">
        <v>1122</v>
      </c>
      <c r="D25" s="544" t="s">
        <v>1165</v>
      </c>
      <c r="E25" s="544" t="s">
        <v>1166</v>
      </c>
      <c r="F25" s="561">
        <v>2</v>
      </c>
      <c r="G25" s="561">
        <v>3808</v>
      </c>
      <c r="H25" s="544">
        <v>1</v>
      </c>
      <c r="I25" s="544">
        <v>1904</v>
      </c>
      <c r="J25" s="561">
        <v>1</v>
      </c>
      <c r="K25" s="561">
        <v>1913</v>
      </c>
      <c r="L25" s="544">
        <v>0.50236344537815125</v>
      </c>
      <c r="M25" s="544">
        <v>1913</v>
      </c>
      <c r="N25" s="561"/>
      <c r="O25" s="561"/>
      <c r="P25" s="549"/>
      <c r="Q25" s="562"/>
    </row>
    <row r="26" spans="1:17" ht="14.4" customHeight="1" x14ac:dyDescent="0.3">
      <c r="A26" s="543" t="s">
        <v>1128</v>
      </c>
      <c r="B26" s="544" t="s">
        <v>1136</v>
      </c>
      <c r="C26" s="544" t="s">
        <v>1123</v>
      </c>
      <c r="D26" s="544" t="s">
        <v>1147</v>
      </c>
      <c r="E26" s="544" t="s">
        <v>1148</v>
      </c>
      <c r="F26" s="561"/>
      <c r="G26" s="561"/>
      <c r="H26" s="544"/>
      <c r="I26" s="544"/>
      <c r="J26" s="561"/>
      <c r="K26" s="561"/>
      <c r="L26" s="544"/>
      <c r="M26" s="544"/>
      <c r="N26" s="561">
        <v>49</v>
      </c>
      <c r="O26" s="561">
        <v>15778</v>
      </c>
      <c r="P26" s="549"/>
      <c r="Q26" s="562">
        <v>322</v>
      </c>
    </row>
    <row r="27" spans="1:17" ht="14.4" customHeight="1" x14ac:dyDescent="0.3">
      <c r="A27" s="543" t="s">
        <v>1128</v>
      </c>
      <c r="B27" s="544" t="s">
        <v>1136</v>
      </c>
      <c r="C27" s="544" t="s">
        <v>1123</v>
      </c>
      <c r="D27" s="544" t="s">
        <v>1137</v>
      </c>
      <c r="E27" s="544" t="s">
        <v>1138</v>
      </c>
      <c r="F27" s="561"/>
      <c r="G27" s="561"/>
      <c r="H27" s="544"/>
      <c r="I27" s="544"/>
      <c r="J27" s="561">
        <v>76</v>
      </c>
      <c r="K27" s="561">
        <v>24548</v>
      </c>
      <c r="L27" s="544"/>
      <c r="M27" s="544">
        <v>323</v>
      </c>
      <c r="N27" s="561">
        <v>436</v>
      </c>
      <c r="O27" s="561">
        <v>141575</v>
      </c>
      <c r="P27" s="549"/>
      <c r="Q27" s="562">
        <v>324.7133027522936</v>
      </c>
    </row>
    <row r="28" spans="1:17" ht="14.4" customHeight="1" x14ac:dyDescent="0.3">
      <c r="A28" s="543" t="s">
        <v>1128</v>
      </c>
      <c r="B28" s="544" t="s">
        <v>1136</v>
      </c>
      <c r="C28" s="544" t="s">
        <v>630</v>
      </c>
      <c r="D28" s="544" t="s">
        <v>1167</v>
      </c>
      <c r="E28" s="544" t="s">
        <v>1168</v>
      </c>
      <c r="F28" s="561">
        <v>6</v>
      </c>
      <c r="G28" s="561">
        <v>204</v>
      </c>
      <c r="H28" s="544">
        <v>1</v>
      </c>
      <c r="I28" s="544">
        <v>34</v>
      </c>
      <c r="J28" s="561">
        <v>3</v>
      </c>
      <c r="K28" s="561">
        <v>102</v>
      </c>
      <c r="L28" s="544">
        <v>0.5</v>
      </c>
      <c r="M28" s="544">
        <v>34</v>
      </c>
      <c r="N28" s="561">
        <v>4</v>
      </c>
      <c r="O28" s="561">
        <v>137</v>
      </c>
      <c r="P28" s="549">
        <v>0.67156862745098034</v>
      </c>
      <c r="Q28" s="562">
        <v>34.25</v>
      </c>
    </row>
    <row r="29" spans="1:17" ht="14.4" customHeight="1" x14ac:dyDescent="0.3">
      <c r="A29" s="543" t="s">
        <v>1128</v>
      </c>
      <c r="B29" s="544" t="s">
        <v>1136</v>
      </c>
      <c r="C29" s="544" t="s">
        <v>630</v>
      </c>
      <c r="D29" s="544" t="s">
        <v>1143</v>
      </c>
      <c r="E29" s="544" t="s">
        <v>1144</v>
      </c>
      <c r="F29" s="561">
        <v>1</v>
      </c>
      <c r="G29" s="561">
        <v>2485</v>
      </c>
      <c r="H29" s="544">
        <v>1</v>
      </c>
      <c r="I29" s="544">
        <v>2485</v>
      </c>
      <c r="J29" s="561"/>
      <c r="K29" s="561"/>
      <c r="L29" s="544"/>
      <c r="M29" s="544"/>
      <c r="N29" s="561"/>
      <c r="O29" s="561"/>
      <c r="P29" s="549"/>
      <c r="Q29" s="562"/>
    </row>
    <row r="30" spans="1:17" ht="14.4" customHeight="1" x14ac:dyDescent="0.3">
      <c r="A30" s="543" t="s">
        <v>1128</v>
      </c>
      <c r="B30" s="544" t="s">
        <v>1136</v>
      </c>
      <c r="C30" s="544" t="s">
        <v>630</v>
      </c>
      <c r="D30" s="544" t="s">
        <v>1147</v>
      </c>
      <c r="E30" s="544" t="s">
        <v>1148</v>
      </c>
      <c r="F30" s="561"/>
      <c r="G30" s="561"/>
      <c r="H30" s="544"/>
      <c r="I30" s="544"/>
      <c r="J30" s="561">
        <v>1</v>
      </c>
      <c r="K30" s="561">
        <v>319</v>
      </c>
      <c r="L30" s="544"/>
      <c r="M30" s="544">
        <v>319</v>
      </c>
      <c r="N30" s="561"/>
      <c r="O30" s="561"/>
      <c r="P30" s="549"/>
      <c r="Q30" s="562"/>
    </row>
    <row r="31" spans="1:17" ht="14.4" customHeight="1" x14ac:dyDescent="0.3">
      <c r="A31" s="543" t="s">
        <v>1128</v>
      </c>
      <c r="B31" s="544" t="s">
        <v>1136</v>
      </c>
      <c r="C31" s="544" t="s">
        <v>630</v>
      </c>
      <c r="D31" s="544" t="s">
        <v>1137</v>
      </c>
      <c r="E31" s="544" t="s">
        <v>1138</v>
      </c>
      <c r="F31" s="561">
        <v>2</v>
      </c>
      <c r="G31" s="561">
        <v>646</v>
      </c>
      <c r="H31" s="544">
        <v>1</v>
      </c>
      <c r="I31" s="544">
        <v>323</v>
      </c>
      <c r="J31" s="561">
        <v>1</v>
      </c>
      <c r="K31" s="561">
        <v>323</v>
      </c>
      <c r="L31" s="544">
        <v>0.5</v>
      </c>
      <c r="M31" s="544">
        <v>323</v>
      </c>
      <c r="N31" s="561"/>
      <c r="O31" s="561"/>
      <c r="P31" s="549"/>
      <c r="Q31" s="562"/>
    </row>
    <row r="32" spans="1:17" ht="14.4" customHeight="1" x14ac:dyDescent="0.3">
      <c r="A32" s="543" t="s">
        <v>1128</v>
      </c>
      <c r="B32" s="544" t="s">
        <v>1136</v>
      </c>
      <c r="C32" s="544" t="s">
        <v>630</v>
      </c>
      <c r="D32" s="544" t="s">
        <v>1151</v>
      </c>
      <c r="E32" s="544" t="s">
        <v>1152</v>
      </c>
      <c r="F32" s="561">
        <v>10</v>
      </c>
      <c r="G32" s="561">
        <v>0</v>
      </c>
      <c r="H32" s="544"/>
      <c r="I32" s="544">
        <v>0</v>
      </c>
      <c r="J32" s="561">
        <v>5</v>
      </c>
      <c r="K32" s="561">
        <v>0</v>
      </c>
      <c r="L32" s="544"/>
      <c r="M32" s="544">
        <v>0</v>
      </c>
      <c r="N32" s="561">
        <v>1</v>
      </c>
      <c r="O32" s="561">
        <v>0</v>
      </c>
      <c r="P32" s="549"/>
      <c r="Q32" s="562">
        <v>0</v>
      </c>
    </row>
    <row r="33" spans="1:17" ht="14.4" customHeight="1" x14ac:dyDescent="0.3">
      <c r="A33" s="543" t="s">
        <v>1128</v>
      </c>
      <c r="B33" s="544" t="s">
        <v>1136</v>
      </c>
      <c r="C33" s="544" t="s">
        <v>630</v>
      </c>
      <c r="D33" s="544" t="s">
        <v>1153</v>
      </c>
      <c r="E33" s="544" t="s">
        <v>1154</v>
      </c>
      <c r="F33" s="561">
        <v>18</v>
      </c>
      <c r="G33" s="561">
        <v>28908</v>
      </c>
      <c r="H33" s="544">
        <v>1</v>
      </c>
      <c r="I33" s="544">
        <v>1606</v>
      </c>
      <c r="J33" s="561">
        <v>2</v>
      </c>
      <c r="K33" s="561">
        <v>2872</v>
      </c>
      <c r="L33" s="544">
        <v>9.9349660993496611E-2</v>
      </c>
      <c r="M33" s="544">
        <v>1436</v>
      </c>
      <c r="N33" s="561">
        <v>1</v>
      </c>
      <c r="O33" s="561">
        <v>1444</v>
      </c>
      <c r="P33" s="549">
        <v>4.9951570499515707E-2</v>
      </c>
      <c r="Q33" s="562">
        <v>1444</v>
      </c>
    </row>
    <row r="34" spans="1:17" ht="14.4" customHeight="1" x14ac:dyDescent="0.3">
      <c r="A34" s="543" t="s">
        <v>1128</v>
      </c>
      <c r="B34" s="544" t="s">
        <v>1136</v>
      </c>
      <c r="C34" s="544" t="s">
        <v>630</v>
      </c>
      <c r="D34" s="544" t="s">
        <v>1157</v>
      </c>
      <c r="E34" s="544" t="s">
        <v>1158</v>
      </c>
      <c r="F34" s="561"/>
      <c r="G34" s="561"/>
      <c r="H34" s="544"/>
      <c r="I34" s="544"/>
      <c r="J34" s="561">
        <v>1</v>
      </c>
      <c r="K34" s="561">
        <v>35</v>
      </c>
      <c r="L34" s="544"/>
      <c r="M34" s="544">
        <v>35</v>
      </c>
      <c r="N34" s="561"/>
      <c r="O34" s="561"/>
      <c r="P34" s="549"/>
      <c r="Q34" s="562"/>
    </row>
    <row r="35" spans="1:17" ht="14.4" customHeight="1" x14ac:dyDescent="0.3">
      <c r="A35" s="543" t="s">
        <v>1128</v>
      </c>
      <c r="B35" s="544" t="s">
        <v>1136</v>
      </c>
      <c r="C35" s="544" t="s">
        <v>630</v>
      </c>
      <c r="D35" s="544" t="s">
        <v>1163</v>
      </c>
      <c r="E35" s="544" t="s">
        <v>1164</v>
      </c>
      <c r="F35" s="561"/>
      <c r="G35" s="561"/>
      <c r="H35" s="544"/>
      <c r="I35" s="544"/>
      <c r="J35" s="561"/>
      <c r="K35" s="561"/>
      <c r="L35" s="544"/>
      <c r="M35" s="544"/>
      <c r="N35" s="561">
        <v>1</v>
      </c>
      <c r="O35" s="561">
        <v>70</v>
      </c>
      <c r="P35" s="549"/>
      <c r="Q35" s="562">
        <v>70</v>
      </c>
    </row>
    <row r="36" spans="1:17" ht="14.4" customHeight="1" x14ac:dyDescent="0.3">
      <c r="A36" s="543" t="s">
        <v>1128</v>
      </c>
      <c r="B36" s="544" t="s">
        <v>1136</v>
      </c>
      <c r="C36" s="544" t="s">
        <v>631</v>
      </c>
      <c r="D36" s="544" t="s">
        <v>1147</v>
      </c>
      <c r="E36" s="544" t="s">
        <v>1148</v>
      </c>
      <c r="F36" s="561"/>
      <c r="G36" s="561"/>
      <c r="H36" s="544"/>
      <c r="I36" s="544"/>
      <c r="J36" s="561">
        <v>1</v>
      </c>
      <c r="K36" s="561">
        <v>319</v>
      </c>
      <c r="L36" s="544"/>
      <c r="M36" s="544">
        <v>319</v>
      </c>
      <c r="N36" s="561"/>
      <c r="O36" s="561"/>
      <c r="P36" s="549"/>
      <c r="Q36" s="562"/>
    </row>
    <row r="37" spans="1:17" ht="14.4" customHeight="1" x14ac:dyDescent="0.3">
      <c r="A37" s="543" t="s">
        <v>1128</v>
      </c>
      <c r="B37" s="544" t="s">
        <v>1136</v>
      </c>
      <c r="C37" s="544" t="s">
        <v>631</v>
      </c>
      <c r="D37" s="544" t="s">
        <v>1137</v>
      </c>
      <c r="E37" s="544" t="s">
        <v>1138</v>
      </c>
      <c r="F37" s="561"/>
      <c r="G37" s="561"/>
      <c r="H37" s="544"/>
      <c r="I37" s="544"/>
      <c r="J37" s="561">
        <v>1</v>
      </c>
      <c r="K37" s="561">
        <v>323</v>
      </c>
      <c r="L37" s="544"/>
      <c r="M37" s="544">
        <v>323</v>
      </c>
      <c r="N37" s="561"/>
      <c r="O37" s="561"/>
      <c r="P37" s="549"/>
      <c r="Q37" s="562"/>
    </row>
    <row r="38" spans="1:17" ht="14.4" customHeight="1" x14ac:dyDescent="0.3">
      <c r="A38" s="543" t="s">
        <v>1128</v>
      </c>
      <c r="B38" s="544" t="s">
        <v>1136</v>
      </c>
      <c r="C38" s="544" t="s">
        <v>631</v>
      </c>
      <c r="D38" s="544" t="s">
        <v>1151</v>
      </c>
      <c r="E38" s="544" t="s">
        <v>1152</v>
      </c>
      <c r="F38" s="561"/>
      <c r="G38" s="561"/>
      <c r="H38" s="544"/>
      <c r="I38" s="544"/>
      <c r="J38" s="561">
        <v>1</v>
      </c>
      <c r="K38" s="561">
        <v>0</v>
      </c>
      <c r="L38" s="544"/>
      <c r="M38" s="544">
        <v>0</v>
      </c>
      <c r="N38" s="561"/>
      <c r="O38" s="561"/>
      <c r="P38" s="549"/>
      <c r="Q38" s="562"/>
    </row>
    <row r="39" spans="1:17" ht="14.4" customHeight="1" x14ac:dyDescent="0.3">
      <c r="A39" s="543" t="s">
        <v>1128</v>
      </c>
      <c r="B39" s="544" t="s">
        <v>1136</v>
      </c>
      <c r="C39" s="544" t="s">
        <v>1124</v>
      </c>
      <c r="D39" s="544" t="s">
        <v>1137</v>
      </c>
      <c r="E39" s="544" t="s">
        <v>1138</v>
      </c>
      <c r="F39" s="561">
        <v>7</v>
      </c>
      <c r="G39" s="561">
        <v>2261</v>
      </c>
      <c r="H39" s="544">
        <v>1</v>
      </c>
      <c r="I39" s="544">
        <v>323</v>
      </c>
      <c r="J39" s="561">
        <v>1</v>
      </c>
      <c r="K39" s="561">
        <v>323</v>
      </c>
      <c r="L39" s="544">
        <v>0.14285714285714285</v>
      </c>
      <c r="M39" s="544">
        <v>323</v>
      </c>
      <c r="N39" s="561"/>
      <c r="O39" s="561"/>
      <c r="P39" s="549"/>
      <c r="Q39" s="562"/>
    </row>
    <row r="40" spans="1:17" ht="14.4" customHeight="1" x14ac:dyDescent="0.3">
      <c r="A40" s="543" t="s">
        <v>1128</v>
      </c>
      <c r="B40" s="544" t="s">
        <v>1136</v>
      </c>
      <c r="C40" s="544" t="s">
        <v>1125</v>
      </c>
      <c r="D40" s="544" t="s">
        <v>1137</v>
      </c>
      <c r="E40" s="544" t="s">
        <v>1138</v>
      </c>
      <c r="F40" s="561">
        <v>2</v>
      </c>
      <c r="G40" s="561">
        <v>646</v>
      </c>
      <c r="H40" s="544">
        <v>1</v>
      </c>
      <c r="I40" s="544">
        <v>323</v>
      </c>
      <c r="J40" s="561">
        <v>4</v>
      </c>
      <c r="K40" s="561">
        <v>1292</v>
      </c>
      <c r="L40" s="544">
        <v>2</v>
      </c>
      <c r="M40" s="544">
        <v>323</v>
      </c>
      <c r="N40" s="561"/>
      <c r="O40" s="561"/>
      <c r="P40" s="549"/>
      <c r="Q40" s="562"/>
    </row>
    <row r="41" spans="1:17" ht="14.4" customHeight="1" x14ac:dyDescent="0.3">
      <c r="A41" s="543" t="s">
        <v>1128</v>
      </c>
      <c r="B41" s="544" t="s">
        <v>1136</v>
      </c>
      <c r="C41" s="544" t="s">
        <v>1126</v>
      </c>
      <c r="D41" s="544" t="s">
        <v>1137</v>
      </c>
      <c r="E41" s="544" t="s">
        <v>1138</v>
      </c>
      <c r="F41" s="561">
        <v>2</v>
      </c>
      <c r="G41" s="561">
        <v>646</v>
      </c>
      <c r="H41" s="544">
        <v>1</v>
      </c>
      <c r="I41" s="544">
        <v>323</v>
      </c>
      <c r="J41" s="561"/>
      <c r="K41" s="561"/>
      <c r="L41" s="544"/>
      <c r="M41" s="544"/>
      <c r="N41" s="561"/>
      <c r="O41" s="561"/>
      <c r="P41" s="549"/>
      <c r="Q41" s="562"/>
    </row>
    <row r="42" spans="1:17" ht="14.4" customHeight="1" x14ac:dyDescent="0.3">
      <c r="A42" s="543" t="s">
        <v>1169</v>
      </c>
      <c r="B42" s="544" t="s">
        <v>1136</v>
      </c>
      <c r="C42" s="544" t="s">
        <v>1122</v>
      </c>
      <c r="D42" s="544" t="s">
        <v>1139</v>
      </c>
      <c r="E42" s="544" t="s">
        <v>1140</v>
      </c>
      <c r="F42" s="561"/>
      <c r="G42" s="561"/>
      <c r="H42" s="544"/>
      <c r="I42" s="544"/>
      <c r="J42" s="561">
        <v>1</v>
      </c>
      <c r="K42" s="561">
        <v>63</v>
      </c>
      <c r="L42" s="544"/>
      <c r="M42" s="544">
        <v>63</v>
      </c>
      <c r="N42" s="561">
        <v>1</v>
      </c>
      <c r="O42" s="561">
        <v>64</v>
      </c>
      <c r="P42" s="549"/>
      <c r="Q42" s="562">
        <v>64</v>
      </c>
    </row>
    <row r="43" spans="1:17" ht="14.4" customHeight="1" x14ac:dyDescent="0.3">
      <c r="A43" s="543" t="s">
        <v>1169</v>
      </c>
      <c r="B43" s="544" t="s">
        <v>1136</v>
      </c>
      <c r="C43" s="544" t="s">
        <v>1122</v>
      </c>
      <c r="D43" s="544" t="s">
        <v>1170</v>
      </c>
      <c r="E43" s="544" t="s">
        <v>1171</v>
      </c>
      <c r="F43" s="561">
        <v>4</v>
      </c>
      <c r="G43" s="561">
        <v>652</v>
      </c>
      <c r="H43" s="544">
        <v>1</v>
      </c>
      <c r="I43" s="544">
        <v>163</v>
      </c>
      <c r="J43" s="561">
        <v>5</v>
      </c>
      <c r="K43" s="561">
        <v>815</v>
      </c>
      <c r="L43" s="544">
        <v>1.25</v>
      </c>
      <c r="M43" s="544">
        <v>163</v>
      </c>
      <c r="N43" s="561">
        <v>2</v>
      </c>
      <c r="O43" s="561">
        <v>327</v>
      </c>
      <c r="P43" s="549">
        <v>0.50153374233128833</v>
      </c>
      <c r="Q43" s="562">
        <v>163.5</v>
      </c>
    </row>
    <row r="44" spans="1:17" ht="14.4" customHeight="1" x14ac:dyDescent="0.3">
      <c r="A44" s="543" t="s">
        <v>1169</v>
      </c>
      <c r="B44" s="544" t="s">
        <v>1136</v>
      </c>
      <c r="C44" s="544" t="s">
        <v>1122</v>
      </c>
      <c r="D44" s="544" t="s">
        <v>1155</v>
      </c>
      <c r="E44" s="544" t="s">
        <v>1156</v>
      </c>
      <c r="F44" s="561"/>
      <c r="G44" s="561"/>
      <c r="H44" s="544"/>
      <c r="I44" s="544"/>
      <c r="J44" s="561">
        <v>2</v>
      </c>
      <c r="K44" s="561">
        <v>0</v>
      </c>
      <c r="L44" s="544"/>
      <c r="M44" s="544">
        <v>0</v>
      </c>
      <c r="N44" s="561">
        <v>0</v>
      </c>
      <c r="O44" s="561">
        <v>0</v>
      </c>
      <c r="P44" s="549"/>
      <c r="Q44" s="562"/>
    </row>
    <row r="45" spans="1:17" ht="14.4" customHeight="1" x14ac:dyDescent="0.3">
      <c r="A45" s="543" t="s">
        <v>1169</v>
      </c>
      <c r="B45" s="544" t="s">
        <v>1136</v>
      </c>
      <c r="C45" s="544" t="s">
        <v>1122</v>
      </c>
      <c r="D45" s="544" t="s">
        <v>1157</v>
      </c>
      <c r="E45" s="544" t="s">
        <v>1158</v>
      </c>
      <c r="F45" s="561"/>
      <c r="G45" s="561"/>
      <c r="H45" s="544"/>
      <c r="I45" s="544"/>
      <c r="J45" s="561">
        <v>1</v>
      </c>
      <c r="K45" s="561">
        <v>35</v>
      </c>
      <c r="L45" s="544"/>
      <c r="M45" s="544">
        <v>35</v>
      </c>
      <c r="N45" s="561">
        <v>2</v>
      </c>
      <c r="O45" s="561">
        <v>71</v>
      </c>
      <c r="P45" s="549"/>
      <c r="Q45" s="562">
        <v>35.5</v>
      </c>
    </row>
    <row r="46" spans="1:17" ht="14.4" customHeight="1" x14ac:dyDescent="0.3">
      <c r="A46" s="543" t="s">
        <v>1169</v>
      </c>
      <c r="B46" s="544" t="s">
        <v>1136</v>
      </c>
      <c r="C46" s="544" t="s">
        <v>1122</v>
      </c>
      <c r="D46" s="544" t="s">
        <v>1172</v>
      </c>
      <c r="E46" s="544" t="s">
        <v>1173</v>
      </c>
      <c r="F46" s="561">
        <v>27</v>
      </c>
      <c r="G46" s="561">
        <v>8856</v>
      </c>
      <c r="H46" s="544">
        <v>1</v>
      </c>
      <c r="I46" s="544">
        <v>328</v>
      </c>
      <c r="J46" s="561">
        <v>18</v>
      </c>
      <c r="K46" s="561">
        <v>5886</v>
      </c>
      <c r="L46" s="544">
        <v>0.66463414634146345</v>
      </c>
      <c r="M46" s="544">
        <v>327</v>
      </c>
      <c r="N46" s="561">
        <v>18</v>
      </c>
      <c r="O46" s="561">
        <v>5922</v>
      </c>
      <c r="P46" s="549">
        <v>0.66869918699186992</v>
      </c>
      <c r="Q46" s="562">
        <v>329</v>
      </c>
    </row>
    <row r="47" spans="1:17" ht="14.4" customHeight="1" x14ac:dyDescent="0.3">
      <c r="A47" s="543" t="s">
        <v>1169</v>
      </c>
      <c r="B47" s="544" t="s">
        <v>1136</v>
      </c>
      <c r="C47" s="544" t="s">
        <v>630</v>
      </c>
      <c r="D47" s="544" t="s">
        <v>1172</v>
      </c>
      <c r="E47" s="544" t="s">
        <v>1173</v>
      </c>
      <c r="F47" s="561"/>
      <c r="G47" s="561"/>
      <c r="H47" s="544"/>
      <c r="I47" s="544"/>
      <c r="J47" s="561">
        <v>1</v>
      </c>
      <c r="K47" s="561">
        <v>327</v>
      </c>
      <c r="L47" s="544"/>
      <c r="M47" s="544">
        <v>327</v>
      </c>
      <c r="N47" s="561"/>
      <c r="O47" s="561"/>
      <c r="P47" s="549"/>
      <c r="Q47" s="562"/>
    </row>
    <row r="48" spans="1:17" ht="14.4" customHeight="1" x14ac:dyDescent="0.3">
      <c r="A48" s="543" t="s">
        <v>1169</v>
      </c>
      <c r="B48" s="544" t="s">
        <v>1136</v>
      </c>
      <c r="C48" s="544" t="s">
        <v>630</v>
      </c>
      <c r="D48" s="544" t="s">
        <v>1174</v>
      </c>
      <c r="E48" s="544" t="s">
        <v>1117</v>
      </c>
      <c r="F48" s="561">
        <v>1</v>
      </c>
      <c r="G48" s="561">
        <v>215</v>
      </c>
      <c r="H48" s="544">
        <v>1</v>
      </c>
      <c r="I48" s="544">
        <v>215</v>
      </c>
      <c r="J48" s="561"/>
      <c r="K48" s="561"/>
      <c r="L48" s="544"/>
      <c r="M48" s="544"/>
      <c r="N48" s="561"/>
      <c r="O48" s="561"/>
      <c r="P48" s="549"/>
      <c r="Q48" s="562"/>
    </row>
    <row r="49" spans="1:17" ht="14.4" customHeight="1" x14ac:dyDescent="0.3">
      <c r="A49" s="543" t="s">
        <v>1175</v>
      </c>
      <c r="B49" s="544" t="s">
        <v>1129</v>
      </c>
      <c r="C49" s="544" t="s">
        <v>1122</v>
      </c>
      <c r="D49" s="544" t="s">
        <v>1130</v>
      </c>
      <c r="E49" s="544" t="s">
        <v>1131</v>
      </c>
      <c r="F49" s="561">
        <v>12</v>
      </c>
      <c r="G49" s="561">
        <v>16368.96</v>
      </c>
      <c r="H49" s="544">
        <v>1</v>
      </c>
      <c r="I49" s="544">
        <v>1364.08</v>
      </c>
      <c r="J49" s="561">
        <v>16</v>
      </c>
      <c r="K49" s="561">
        <v>21992.78</v>
      </c>
      <c r="L49" s="544">
        <v>1.3435661153793521</v>
      </c>
      <c r="M49" s="544">
        <v>1374.5487499999999</v>
      </c>
      <c r="N49" s="561"/>
      <c r="O49" s="561"/>
      <c r="P49" s="549"/>
      <c r="Q49" s="562"/>
    </row>
    <row r="50" spans="1:17" ht="14.4" customHeight="1" x14ac:dyDescent="0.3">
      <c r="A50" s="543" t="s">
        <v>1175</v>
      </c>
      <c r="B50" s="544" t="s">
        <v>1129</v>
      </c>
      <c r="C50" s="544" t="s">
        <v>1122</v>
      </c>
      <c r="D50" s="544" t="s">
        <v>1132</v>
      </c>
      <c r="E50" s="544" t="s">
        <v>562</v>
      </c>
      <c r="F50" s="561">
        <v>10</v>
      </c>
      <c r="G50" s="561">
        <v>5683.7</v>
      </c>
      <c r="H50" s="544">
        <v>1</v>
      </c>
      <c r="I50" s="544">
        <v>568.37</v>
      </c>
      <c r="J50" s="561"/>
      <c r="K50" s="561"/>
      <c r="L50" s="544"/>
      <c r="M50" s="544"/>
      <c r="N50" s="561"/>
      <c r="O50" s="561"/>
      <c r="P50" s="549"/>
      <c r="Q50" s="562"/>
    </row>
    <row r="51" spans="1:17" ht="14.4" customHeight="1" x14ac:dyDescent="0.3">
      <c r="A51" s="543" t="s">
        <v>1175</v>
      </c>
      <c r="B51" s="544" t="s">
        <v>1129</v>
      </c>
      <c r="C51" s="544" t="s">
        <v>1122</v>
      </c>
      <c r="D51" s="544" t="s">
        <v>1133</v>
      </c>
      <c r="E51" s="544" t="s">
        <v>562</v>
      </c>
      <c r="F51" s="561"/>
      <c r="G51" s="561"/>
      <c r="H51" s="544"/>
      <c r="I51" s="544"/>
      <c r="J51" s="561">
        <v>5</v>
      </c>
      <c r="K51" s="561">
        <v>5733.55</v>
      </c>
      <c r="L51" s="544"/>
      <c r="M51" s="544">
        <v>1146.71</v>
      </c>
      <c r="N51" s="561">
        <v>2</v>
      </c>
      <c r="O51" s="561">
        <v>2293.4</v>
      </c>
      <c r="P51" s="549"/>
      <c r="Q51" s="562">
        <v>1146.7</v>
      </c>
    </row>
    <row r="52" spans="1:17" ht="14.4" customHeight="1" x14ac:dyDescent="0.3">
      <c r="A52" s="543" t="s">
        <v>1175</v>
      </c>
      <c r="B52" s="544" t="s">
        <v>1129</v>
      </c>
      <c r="C52" s="544" t="s">
        <v>1122</v>
      </c>
      <c r="D52" s="544" t="s">
        <v>1134</v>
      </c>
      <c r="E52" s="544" t="s">
        <v>1135</v>
      </c>
      <c r="F52" s="561"/>
      <c r="G52" s="561"/>
      <c r="H52" s="544"/>
      <c r="I52" s="544"/>
      <c r="J52" s="561"/>
      <c r="K52" s="561"/>
      <c r="L52" s="544"/>
      <c r="M52" s="544"/>
      <c r="N52" s="561">
        <v>6</v>
      </c>
      <c r="O52" s="561">
        <v>8256.2999999999993</v>
      </c>
      <c r="P52" s="549"/>
      <c r="Q52" s="562">
        <v>1376.05</v>
      </c>
    </row>
    <row r="53" spans="1:17" ht="14.4" customHeight="1" x14ac:dyDescent="0.3">
      <c r="A53" s="543" t="s">
        <v>1175</v>
      </c>
      <c r="B53" s="544" t="s">
        <v>1136</v>
      </c>
      <c r="C53" s="544" t="s">
        <v>1122</v>
      </c>
      <c r="D53" s="544" t="s">
        <v>1176</v>
      </c>
      <c r="E53" s="544" t="s">
        <v>1177</v>
      </c>
      <c r="F53" s="561">
        <v>1551</v>
      </c>
      <c r="G53" s="561">
        <v>677787</v>
      </c>
      <c r="H53" s="544">
        <v>1</v>
      </c>
      <c r="I53" s="544">
        <v>437</v>
      </c>
      <c r="J53" s="561">
        <v>1567</v>
      </c>
      <c r="K53" s="561">
        <v>686346</v>
      </c>
      <c r="L53" s="544">
        <v>1.0126278609651704</v>
      </c>
      <c r="M53" s="544">
        <v>438</v>
      </c>
      <c r="N53" s="561">
        <v>1306</v>
      </c>
      <c r="O53" s="561">
        <v>573350</v>
      </c>
      <c r="P53" s="549">
        <v>0.84591471952102948</v>
      </c>
      <c r="Q53" s="562">
        <v>439.0122511485452</v>
      </c>
    </row>
    <row r="54" spans="1:17" ht="14.4" customHeight="1" x14ac:dyDescent="0.3">
      <c r="A54" s="543" t="s">
        <v>1175</v>
      </c>
      <c r="B54" s="544" t="s">
        <v>1136</v>
      </c>
      <c r="C54" s="544" t="s">
        <v>1122</v>
      </c>
      <c r="D54" s="544" t="s">
        <v>1178</v>
      </c>
      <c r="E54" s="544" t="s">
        <v>1179</v>
      </c>
      <c r="F54" s="561">
        <v>78</v>
      </c>
      <c r="G54" s="561">
        <v>79092</v>
      </c>
      <c r="H54" s="544">
        <v>1</v>
      </c>
      <c r="I54" s="544">
        <v>1014</v>
      </c>
      <c r="J54" s="561">
        <v>75</v>
      </c>
      <c r="K54" s="561">
        <v>76350</v>
      </c>
      <c r="L54" s="544">
        <v>0.9653315126687908</v>
      </c>
      <c r="M54" s="544">
        <v>1018</v>
      </c>
      <c r="N54" s="561">
        <v>50</v>
      </c>
      <c r="O54" s="561">
        <v>51108</v>
      </c>
      <c r="P54" s="549">
        <v>0.64618419056288878</v>
      </c>
      <c r="Q54" s="562">
        <v>1022.16</v>
      </c>
    </row>
    <row r="55" spans="1:17" ht="14.4" customHeight="1" x14ac:dyDescent="0.3">
      <c r="A55" s="543" t="s">
        <v>1175</v>
      </c>
      <c r="B55" s="544" t="s">
        <v>1136</v>
      </c>
      <c r="C55" s="544" t="s">
        <v>1122</v>
      </c>
      <c r="D55" s="544" t="s">
        <v>1180</v>
      </c>
      <c r="E55" s="544" t="s">
        <v>1181</v>
      </c>
      <c r="F55" s="561">
        <v>3</v>
      </c>
      <c r="G55" s="561">
        <v>1905</v>
      </c>
      <c r="H55" s="544">
        <v>1</v>
      </c>
      <c r="I55" s="544">
        <v>635</v>
      </c>
      <c r="J55" s="561">
        <v>8</v>
      </c>
      <c r="K55" s="561">
        <v>5104</v>
      </c>
      <c r="L55" s="544">
        <v>2.6792650918635172</v>
      </c>
      <c r="M55" s="544">
        <v>638</v>
      </c>
      <c r="N55" s="561">
        <v>3</v>
      </c>
      <c r="O55" s="561">
        <v>1919</v>
      </c>
      <c r="P55" s="549">
        <v>1.0073490813648294</v>
      </c>
      <c r="Q55" s="562">
        <v>639.66666666666663</v>
      </c>
    </row>
    <row r="56" spans="1:17" ht="14.4" customHeight="1" x14ac:dyDescent="0.3">
      <c r="A56" s="543" t="s">
        <v>1175</v>
      </c>
      <c r="B56" s="544" t="s">
        <v>1136</v>
      </c>
      <c r="C56" s="544" t="s">
        <v>1122</v>
      </c>
      <c r="D56" s="544" t="s">
        <v>1182</v>
      </c>
      <c r="E56" s="544" t="s">
        <v>1183</v>
      </c>
      <c r="F56" s="561">
        <v>41</v>
      </c>
      <c r="G56" s="561">
        <v>12464</v>
      </c>
      <c r="H56" s="544">
        <v>1</v>
      </c>
      <c r="I56" s="544">
        <v>304</v>
      </c>
      <c r="J56" s="561">
        <v>51</v>
      </c>
      <c r="K56" s="561">
        <v>15555</v>
      </c>
      <c r="L56" s="544">
        <v>1.2479942233632864</v>
      </c>
      <c r="M56" s="544">
        <v>305</v>
      </c>
      <c r="N56" s="561">
        <v>27</v>
      </c>
      <c r="O56" s="561">
        <v>8257</v>
      </c>
      <c r="P56" s="549">
        <v>0.66246790757381258</v>
      </c>
      <c r="Q56" s="562">
        <v>305.81481481481484</v>
      </c>
    </row>
    <row r="57" spans="1:17" ht="14.4" customHeight="1" x14ac:dyDescent="0.3">
      <c r="A57" s="543" t="s">
        <v>1175</v>
      </c>
      <c r="B57" s="544" t="s">
        <v>1136</v>
      </c>
      <c r="C57" s="544" t="s">
        <v>1122</v>
      </c>
      <c r="D57" s="544" t="s">
        <v>1184</v>
      </c>
      <c r="E57" s="544" t="s">
        <v>1185</v>
      </c>
      <c r="F57" s="561">
        <v>18</v>
      </c>
      <c r="G57" s="561">
        <v>14922</v>
      </c>
      <c r="H57" s="544">
        <v>1</v>
      </c>
      <c r="I57" s="544">
        <v>829</v>
      </c>
      <c r="J57" s="561">
        <v>6</v>
      </c>
      <c r="K57" s="561">
        <v>4986</v>
      </c>
      <c r="L57" s="544">
        <v>0.33413751507840772</v>
      </c>
      <c r="M57" s="544">
        <v>831</v>
      </c>
      <c r="N57" s="561">
        <v>1</v>
      </c>
      <c r="O57" s="561">
        <v>831</v>
      </c>
      <c r="P57" s="549">
        <v>5.5689585846401289E-2</v>
      </c>
      <c r="Q57" s="562">
        <v>831</v>
      </c>
    </row>
    <row r="58" spans="1:17" ht="14.4" customHeight="1" x14ac:dyDescent="0.3">
      <c r="A58" s="543" t="s">
        <v>1175</v>
      </c>
      <c r="B58" s="544" t="s">
        <v>1136</v>
      </c>
      <c r="C58" s="544" t="s">
        <v>1122</v>
      </c>
      <c r="D58" s="544" t="s">
        <v>1186</v>
      </c>
      <c r="E58" s="544" t="s">
        <v>1187</v>
      </c>
      <c r="F58" s="561">
        <v>0</v>
      </c>
      <c r="G58" s="561">
        <v>0</v>
      </c>
      <c r="H58" s="544"/>
      <c r="I58" s="544"/>
      <c r="J58" s="561"/>
      <c r="K58" s="561"/>
      <c r="L58" s="544"/>
      <c r="M58" s="544"/>
      <c r="N58" s="561"/>
      <c r="O58" s="561"/>
      <c r="P58" s="549"/>
      <c r="Q58" s="562"/>
    </row>
    <row r="59" spans="1:17" ht="14.4" customHeight="1" x14ac:dyDescent="0.3">
      <c r="A59" s="543" t="s">
        <v>1175</v>
      </c>
      <c r="B59" s="544" t="s">
        <v>1136</v>
      </c>
      <c r="C59" s="544" t="s">
        <v>1122</v>
      </c>
      <c r="D59" s="544" t="s">
        <v>1161</v>
      </c>
      <c r="E59" s="544" t="s">
        <v>1162</v>
      </c>
      <c r="F59" s="561">
        <v>2</v>
      </c>
      <c r="G59" s="561">
        <v>38</v>
      </c>
      <c r="H59" s="544">
        <v>1</v>
      </c>
      <c r="I59" s="544">
        <v>19</v>
      </c>
      <c r="J59" s="561">
        <v>2</v>
      </c>
      <c r="K59" s="561">
        <v>60</v>
      </c>
      <c r="L59" s="544">
        <v>1.5789473684210527</v>
      </c>
      <c r="M59" s="544">
        <v>30</v>
      </c>
      <c r="N59" s="561"/>
      <c r="O59" s="561"/>
      <c r="P59" s="549"/>
      <c r="Q59" s="562"/>
    </row>
    <row r="60" spans="1:17" ht="14.4" customHeight="1" x14ac:dyDescent="0.3">
      <c r="A60" s="543" t="s">
        <v>1175</v>
      </c>
      <c r="B60" s="544" t="s">
        <v>1136</v>
      </c>
      <c r="C60" s="544" t="s">
        <v>1122</v>
      </c>
      <c r="D60" s="544" t="s">
        <v>1188</v>
      </c>
      <c r="E60" s="544" t="s">
        <v>1189</v>
      </c>
      <c r="F60" s="561">
        <v>4224</v>
      </c>
      <c r="G60" s="561">
        <v>2703360</v>
      </c>
      <c r="H60" s="544">
        <v>1</v>
      </c>
      <c r="I60" s="544">
        <v>640</v>
      </c>
      <c r="J60" s="561">
        <v>4208</v>
      </c>
      <c r="K60" s="561">
        <v>2701536</v>
      </c>
      <c r="L60" s="544">
        <v>0.99932528409090904</v>
      </c>
      <c r="M60" s="544">
        <v>642</v>
      </c>
      <c r="N60" s="561">
        <v>3416</v>
      </c>
      <c r="O60" s="561">
        <v>2201622</v>
      </c>
      <c r="P60" s="549">
        <v>0.81440207741477277</v>
      </c>
      <c r="Q60" s="562">
        <v>644.50292740046837</v>
      </c>
    </row>
    <row r="61" spans="1:17" ht="14.4" customHeight="1" x14ac:dyDescent="0.3">
      <c r="A61" s="543" t="s">
        <v>1175</v>
      </c>
      <c r="B61" s="544" t="s">
        <v>1136</v>
      </c>
      <c r="C61" s="544" t="s">
        <v>1122</v>
      </c>
      <c r="D61" s="544" t="s">
        <v>1190</v>
      </c>
      <c r="E61" s="544" t="s">
        <v>1191</v>
      </c>
      <c r="F61" s="561">
        <v>1175</v>
      </c>
      <c r="G61" s="561">
        <v>343100</v>
      </c>
      <c r="H61" s="544">
        <v>1</v>
      </c>
      <c r="I61" s="544">
        <v>292</v>
      </c>
      <c r="J61" s="561">
        <v>776</v>
      </c>
      <c r="K61" s="561">
        <v>227368</v>
      </c>
      <c r="L61" s="544">
        <v>0.66268726318857474</v>
      </c>
      <c r="M61" s="544">
        <v>293</v>
      </c>
      <c r="N61" s="561">
        <v>117</v>
      </c>
      <c r="O61" s="561">
        <v>34281</v>
      </c>
      <c r="P61" s="549">
        <v>9.9915476537452641E-2</v>
      </c>
      <c r="Q61" s="562">
        <v>293</v>
      </c>
    </row>
    <row r="62" spans="1:17" ht="14.4" customHeight="1" x14ac:dyDescent="0.3">
      <c r="A62" s="543" t="s">
        <v>1175</v>
      </c>
      <c r="B62" s="544" t="s">
        <v>1136</v>
      </c>
      <c r="C62" s="544" t="s">
        <v>1122</v>
      </c>
      <c r="D62" s="544" t="s">
        <v>1192</v>
      </c>
      <c r="E62" s="544" t="s">
        <v>1193</v>
      </c>
      <c r="F62" s="561">
        <v>92</v>
      </c>
      <c r="G62" s="561">
        <v>53636</v>
      </c>
      <c r="H62" s="544">
        <v>1</v>
      </c>
      <c r="I62" s="544">
        <v>583</v>
      </c>
      <c r="J62" s="561">
        <v>86</v>
      </c>
      <c r="K62" s="561">
        <v>50396</v>
      </c>
      <c r="L62" s="544">
        <v>0.93959281079871726</v>
      </c>
      <c r="M62" s="544">
        <v>586</v>
      </c>
      <c r="N62" s="561">
        <v>50</v>
      </c>
      <c r="O62" s="561">
        <v>29410</v>
      </c>
      <c r="P62" s="549">
        <v>0.54832575136102613</v>
      </c>
      <c r="Q62" s="562">
        <v>588.20000000000005</v>
      </c>
    </row>
    <row r="63" spans="1:17" ht="14.4" customHeight="1" x14ac:dyDescent="0.3">
      <c r="A63" s="543" t="s">
        <v>1175</v>
      </c>
      <c r="B63" s="544" t="s">
        <v>1136</v>
      </c>
      <c r="C63" s="544" t="s">
        <v>1122</v>
      </c>
      <c r="D63" s="544" t="s">
        <v>1194</v>
      </c>
      <c r="E63" s="544" t="s">
        <v>1195</v>
      </c>
      <c r="F63" s="561">
        <v>256</v>
      </c>
      <c r="G63" s="561">
        <v>208640</v>
      </c>
      <c r="H63" s="544">
        <v>1</v>
      </c>
      <c r="I63" s="544">
        <v>815</v>
      </c>
      <c r="J63" s="561">
        <v>239</v>
      </c>
      <c r="K63" s="561">
        <v>195024</v>
      </c>
      <c r="L63" s="544">
        <v>0.934739263803681</v>
      </c>
      <c r="M63" s="544">
        <v>816</v>
      </c>
      <c r="N63" s="561">
        <v>224</v>
      </c>
      <c r="O63" s="561">
        <v>183051</v>
      </c>
      <c r="P63" s="549">
        <v>0.87735333588957054</v>
      </c>
      <c r="Q63" s="562">
        <v>817.19196428571433</v>
      </c>
    </row>
    <row r="64" spans="1:17" ht="14.4" customHeight="1" x14ac:dyDescent="0.3">
      <c r="A64" s="543" t="s">
        <v>1175</v>
      </c>
      <c r="B64" s="544" t="s">
        <v>1136</v>
      </c>
      <c r="C64" s="544" t="s">
        <v>1122</v>
      </c>
      <c r="D64" s="544" t="s">
        <v>1196</v>
      </c>
      <c r="E64" s="544" t="s">
        <v>1197</v>
      </c>
      <c r="F64" s="561"/>
      <c r="G64" s="561"/>
      <c r="H64" s="544"/>
      <c r="I64" s="544"/>
      <c r="J64" s="561">
        <v>1</v>
      </c>
      <c r="K64" s="561">
        <v>285</v>
      </c>
      <c r="L64" s="544"/>
      <c r="M64" s="544">
        <v>285</v>
      </c>
      <c r="N64" s="561"/>
      <c r="O64" s="561"/>
      <c r="P64" s="549"/>
      <c r="Q64" s="562"/>
    </row>
    <row r="65" spans="1:17" ht="14.4" customHeight="1" x14ac:dyDescent="0.3">
      <c r="A65" s="543" t="s">
        <v>1175</v>
      </c>
      <c r="B65" s="544" t="s">
        <v>1136</v>
      </c>
      <c r="C65" s="544" t="s">
        <v>1122</v>
      </c>
      <c r="D65" s="544" t="s">
        <v>1198</v>
      </c>
      <c r="E65" s="544" t="s">
        <v>1199</v>
      </c>
      <c r="F65" s="561">
        <v>4</v>
      </c>
      <c r="G65" s="561">
        <v>4452</v>
      </c>
      <c r="H65" s="544">
        <v>1</v>
      </c>
      <c r="I65" s="544">
        <v>1113</v>
      </c>
      <c r="J65" s="561">
        <v>1</v>
      </c>
      <c r="K65" s="561">
        <v>1118</v>
      </c>
      <c r="L65" s="544">
        <v>0.25112309074573225</v>
      </c>
      <c r="M65" s="544">
        <v>1118</v>
      </c>
      <c r="N65" s="561"/>
      <c r="O65" s="561"/>
      <c r="P65" s="549"/>
      <c r="Q65" s="562"/>
    </row>
    <row r="66" spans="1:17" ht="14.4" customHeight="1" x14ac:dyDescent="0.3">
      <c r="A66" s="543" t="s">
        <v>1175</v>
      </c>
      <c r="B66" s="544" t="s">
        <v>1136</v>
      </c>
      <c r="C66" s="544" t="s">
        <v>630</v>
      </c>
      <c r="D66" s="544" t="s">
        <v>1188</v>
      </c>
      <c r="E66" s="544" t="s">
        <v>1189</v>
      </c>
      <c r="F66" s="561"/>
      <c r="G66" s="561"/>
      <c r="H66" s="544"/>
      <c r="I66" s="544"/>
      <c r="J66" s="561">
        <v>1</v>
      </c>
      <c r="K66" s="561">
        <v>642</v>
      </c>
      <c r="L66" s="544"/>
      <c r="M66" s="544">
        <v>642</v>
      </c>
      <c r="N66" s="561"/>
      <c r="O66" s="561"/>
      <c r="P66" s="549"/>
      <c r="Q66" s="562"/>
    </row>
    <row r="67" spans="1:17" ht="14.4" customHeight="1" x14ac:dyDescent="0.3">
      <c r="A67" s="543" t="s">
        <v>1175</v>
      </c>
      <c r="B67" s="544" t="s">
        <v>1136</v>
      </c>
      <c r="C67" s="544" t="s">
        <v>631</v>
      </c>
      <c r="D67" s="544" t="s">
        <v>1188</v>
      </c>
      <c r="E67" s="544" t="s">
        <v>1189</v>
      </c>
      <c r="F67" s="561"/>
      <c r="G67" s="561"/>
      <c r="H67" s="544"/>
      <c r="I67" s="544"/>
      <c r="J67" s="561">
        <v>1</v>
      </c>
      <c r="K67" s="561">
        <v>642</v>
      </c>
      <c r="L67" s="544"/>
      <c r="M67" s="544">
        <v>642</v>
      </c>
      <c r="N67" s="561"/>
      <c r="O67" s="561"/>
      <c r="P67" s="549"/>
      <c r="Q67" s="562"/>
    </row>
    <row r="68" spans="1:17" ht="14.4" customHeight="1" x14ac:dyDescent="0.3">
      <c r="A68" s="543" t="s">
        <v>1200</v>
      </c>
      <c r="B68" s="544" t="s">
        <v>1136</v>
      </c>
      <c r="C68" s="544" t="s">
        <v>1122</v>
      </c>
      <c r="D68" s="544" t="s">
        <v>1201</v>
      </c>
      <c r="E68" s="544" t="s">
        <v>1202</v>
      </c>
      <c r="F68" s="561">
        <v>73</v>
      </c>
      <c r="G68" s="561">
        <v>771683</v>
      </c>
      <c r="H68" s="544">
        <v>1</v>
      </c>
      <c r="I68" s="544">
        <v>10571</v>
      </c>
      <c r="J68" s="561">
        <v>73</v>
      </c>
      <c r="K68" s="561">
        <v>774603</v>
      </c>
      <c r="L68" s="544">
        <v>1.0037839371866426</v>
      </c>
      <c r="M68" s="544">
        <v>10611</v>
      </c>
      <c r="N68" s="561">
        <v>55</v>
      </c>
      <c r="O68" s="561">
        <v>586773</v>
      </c>
      <c r="P68" s="549">
        <v>0.7603808817869514</v>
      </c>
      <c r="Q68" s="562">
        <v>10668.6</v>
      </c>
    </row>
    <row r="69" spans="1:17" ht="14.4" customHeight="1" x14ac:dyDescent="0.3">
      <c r="A69" s="543" t="s">
        <v>1200</v>
      </c>
      <c r="B69" s="544" t="s">
        <v>1136</v>
      </c>
      <c r="C69" s="544" t="s">
        <v>1122</v>
      </c>
      <c r="D69" s="544" t="s">
        <v>1203</v>
      </c>
      <c r="E69" s="544" t="s">
        <v>1204</v>
      </c>
      <c r="F69" s="561">
        <v>461</v>
      </c>
      <c r="G69" s="561">
        <v>135995</v>
      </c>
      <c r="H69" s="544">
        <v>1</v>
      </c>
      <c r="I69" s="544">
        <v>295</v>
      </c>
      <c r="J69" s="561">
        <v>482</v>
      </c>
      <c r="K69" s="561">
        <v>143154</v>
      </c>
      <c r="L69" s="544">
        <v>1.0526416412368103</v>
      </c>
      <c r="M69" s="544">
        <v>297</v>
      </c>
      <c r="N69" s="561">
        <v>506</v>
      </c>
      <c r="O69" s="561">
        <v>151594</v>
      </c>
      <c r="P69" s="549">
        <v>1.114702746424501</v>
      </c>
      <c r="Q69" s="562">
        <v>299.59288537549406</v>
      </c>
    </row>
    <row r="70" spans="1:17" ht="14.4" customHeight="1" x14ac:dyDescent="0.3">
      <c r="A70" s="543" t="s">
        <v>1200</v>
      </c>
      <c r="B70" s="544" t="s">
        <v>1136</v>
      </c>
      <c r="C70" s="544" t="s">
        <v>1122</v>
      </c>
      <c r="D70" s="544" t="s">
        <v>1205</v>
      </c>
      <c r="E70" s="544" t="s">
        <v>1206</v>
      </c>
      <c r="F70" s="561">
        <v>1156</v>
      </c>
      <c r="G70" s="561">
        <v>1428816</v>
      </c>
      <c r="H70" s="544">
        <v>1</v>
      </c>
      <c r="I70" s="544">
        <v>1236</v>
      </c>
      <c r="J70" s="561">
        <v>1171</v>
      </c>
      <c r="K70" s="561">
        <v>1457895</v>
      </c>
      <c r="L70" s="544">
        <v>1.0203518157691402</v>
      </c>
      <c r="M70" s="544">
        <v>1245</v>
      </c>
      <c r="N70" s="561">
        <v>1153</v>
      </c>
      <c r="O70" s="561">
        <v>1447405</v>
      </c>
      <c r="P70" s="549">
        <v>1.013010072675558</v>
      </c>
      <c r="Q70" s="562">
        <v>1255.3382480485689</v>
      </c>
    </row>
    <row r="71" spans="1:17" ht="14.4" customHeight="1" x14ac:dyDescent="0.3">
      <c r="A71" s="543" t="s">
        <v>1200</v>
      </c>
      <c r="B71" s="544" t="s">
        <v>1136</v>
      </c>
      <c r="C71" s="544" t="s">
        <v>1122</v>
      </c>
      <c r="D71" s="544" t="s">
        <v>1207</v>
      </c>
      <c r="E71" s="544" t="s">
        <v>1208</v>
      </c>
      <c r="F71" s="561">
        <v>46</v>
      </c>
      <c r="G71" s="561">
        <v>427570</v>
      </c>
      <c r="H71" s="544">
        <v>1</v>
      </c>
      <c r="I71" s="544">
        <v>9295</v>
      </c>
      <c r="J71" s="561">
        <v>23</v>
      </c>
      <c r="K71" s="561">
        <v>214751</v>
      </c>
      <c r="L71" s="544">
        <v>0.50225927918235613</v>
      </c>
      <c r="M71" s="544">
        <v>9337</v>
      </c>
      <c r="N71" s="561">
        <v>47</v>
      </c>
      <c r="O71" s="561">
        <v>440864</v>
      </c>
      <c r="P71" s="549">
        <v>1.0310919849381388</v>
      </c>
      <c r="Q71" s="562">
        <v>9380.0851063829796</v>
      </c>
    </row>
    <row r="72" spans="1:17" ht="14.4" customHeight="1" x14ac:dyDescent="0.3">
      <c r="A72" s="543" t="s">
        <v>1200</v>
      </c>
      <c r="B72" s="544" t="s">
        <v>1136</v>
      </c>
      <c r="C72" s="544" t="s">
        <v>1122</v>
      </c>
      <c r="D72" s="544" t="s">
        <v>1209</v>
      </c>
      <c r="E72" s="544" t="s">
        <v>1210</v>
      </c>
      <c r="F72" s="561">
        <v>43</v>
      </c>
      <c r="G72" s="561">
        <v>18146</v>
      </c>
      <c r="H72" s="544">
        <v>1</v>
      </c>
      <c r="I72" s="544">
        <v>422</v>
      </c>
      <c r="J72" s="561"/>
      <c r="K72" s="561"/>
      <c r="L72" s="544"/>
      <c r="M72" s="544"/>
      <c r="N72" s="561">
        <v>9</v>
      </c>
      <c r="O72" s="561">
        <v>3870</v>
      </c>
      <c r="P72" s="549">
        <v>0.2132701421800948</v>
      </c>
      <c r="Q72" s="562">
        <v>430</v>
      </c>
    </row>
    <row r="73" spans="1:17" ht="14.4" customHeight="1" x14ac:dyDescent="0.3">
      <c r="A73" s="543" t="s">
        <v>1200</v>
      </c>
      <c r="B73" s="544" t="s">
        <v>1136</v>
      </c>
      <c r="C73" s="544" t="s">
        <v>1122</v>
      </c>
      <c r="D73" s="544" t="s">
        <v>1211</v>
      </c>
      <c r="E73" s="544" t="s">
        <v>1212</v>
      </c>
      <c r="F73" s="561">
        <v>600</v>
      </c>
      <c r="G73" s="561">
        <v>600000</v>
      </c>
      <c r="H73" s="544">
        <v>1</v>
      </c>
      <c r="I73" s="544">
        <v>1000</v>
      </c>
      <c r="J73" s="561">
        <v>110</v>
      </c>
      <c r="K73" s="561">
        <v>110220</v>
      </c>
      <c r="L73" s="544">
        <v>0.1837</v>
      </c>
      <c r="M73" s="544">
        <v>1002</v>
      </c>
      <c r="N73" s="561">
        <v>498</v>
      </c>
      <c r="O73" s="561">
        <v>500988</v>
      </c>
      <c r="P73" s="549">
        <v>0.83498000000000006</v>
      </c>
      <c r="Q73" s="562">
        <v>1006</v>
      </c>
    </row>
    <row r="74" spans="1:17" ht="14.4" customHeight="1" x14ac:dyDescent="0.3">
      <c r="A74" s="543" t="s">
        <v>1200</v>
      </c>
      <c r="B74" s="544" t="s">
        <v>1136</v>
      </c>
      <c r="C74" s="544" t="s">
        <v>1122</v>
      </c>
      <c r="D74" s="544" t="s">
        <v>1213</v>
      </c>
      <c r="E74" s="544" t="s">
        <v>1214</v>
      </c>
      <c r="F74" s="561">
        <v>8449</v>
      </c>
      <c r="G74" s="561">
        <v>18765229</v>
      </c>
      <c r="H74" s="544">
        <v>1</v>
      </c>
      <c r="I74" s="544">
        <v>2221</v>
      </c>
      <c r="J74" s="561">
        <v>9236</v>
      </c>
      <c r="K74" s="561">
        <v>20623988</v>
      </c>
      <c r="L74" s="544">
        <v>1.0990533608729209</v>
      </c>
      <c r="M74" s="544">
        <v>2233</v>
      </c>
      <c r="N74" s="561">
        <v>12237</v>
      </c>
      <c r="O74" s="561">
        <v>27507438</v>
      </c>
      <c r="P74" s="549">
        <v>1.4658727586004945</v>
      </c>
      <c r="Q74" s="562">
        <v>2247.8906594753616</v>
      </c>
    </row>
    <row r="75" spans="1:17" ht="14.4" customHeight="1" x14ac:dyDescent="0.3">
      <c r="A75" s="543" t="s">
        <v>1200</v>
      </c>
      <c r="B75" s="544" t="s">
        <v>1136</v>
      </c>
      <c r="C75" s="544" t="s">
        <v>1122</v>
      </c>
      <c r="D75" s="544" t="s">
        <v>1215</v>
      </c>
      <c r="E75" s="544" t="s">
        <v>1216</v>
      </c>
      <c r="F75" s="561">
        <v>70</v>
      </c>
      <c r="G75" s="561">
        <v>34440</v>
      </c>
      <c r="H75" s="544">
        <v>1</v>
      </c>
      <c r="I75" s="544">
        <v>492</v>
      </c>
      <c r="J75" s="561">
        <v>71</v>
      </c>
      <c r="K75" s="561">
        <v>35145</v>
      </c>
      <c r="L75" s="544">
        <v>1.0204703832752613</v>
      </c>
      <c r="M75" s="544">
        <v>495</v>
      </c>
      <c r="N75" s="561">
        <v>53</v>
      </c>
      <c r="O75" s="561">
        <v>26487</v>
      </c>
      <c r="P75" s="549">
        <v>0.76907665505226486</v>
      </c>
      <c r="Q75" s="562">
        <v>499.75471698113205</v>
      </c>
    </row>
    <row r="76" spans="1:17" ht="14.4" customHeight="1" x14ac:dyDescent="0.3">
      <c r="A76" s="543" t="s">
        <v>1200</v>
      </c>
      <c r="B76" s="544" t="s">
        <v>1136</v>
      </c>
      <c r="C76" s="544" t="s">
        <v>1122</v>
      </c>
      <c r="D76" s="544" t="s">
        <v>1217</v>
      </c>
      <c r="E76" s="544" t="s">
        <v>1218</v>
      </c>
      <c r="F76" s="561">
        <v>163</v>
      </c>
      <c r="G76" s="561">
        <v>141647</v>
      </c>
      <c r="H76" s="544">
        <v>1</v>
      </c>
      <c r="I76" s="544">
        <v>869</v>
      </c>
      <c r="J76" s="561">
        <v>161</v>
      </c>
      <c r="K76" s="561">
        <v>140553</v>
      </c>
      <c r="L76" s="544">
        <v>0.99227657486568721</v>
      </c>
      <c r="M76" s="544">
        <v>873</v>
      </c>
      <c r="N76" s="561">
        <v>120</v>
      </c>
      <c r="O76" s="561">
        <v>105424</v>
      </c>
      <c r="P76" s="549">
        <v>0.74427273433253083</v>
      </c>
      <c r="Q76" s="562">
        <v>878.5333333333333</v>
      </c>
    </row>
    <row r="77" spans="1:17" ht="14.4" customHeight="1" x14ac:dyDescent="0.3">
      <c r="A77" s="543" t="s">
        <v>1200</v>
      </c>
      <c r="B77" s="544" t="s">
        <v>1136</v>
      </c>
      <c r="C77" s="544" t="s">
        <v>1122</v>
      </c>
      <c r="D77" s="544" t="s">
        <v>1219</v>
      </c>
      <c r="E77" s="544" t="s">
        <v>1220</v>
      </c>
      <c r="F77" s="561">
        <v>298</v>
      </c>
      <c r="G77" s="561">
        <v>1932232</v>
      </c>
      <c r="H77" s="544">
        <v>1</v>
      </c>
      <c r="I77" s="544">
        <v>6484</v>
      </c>
      <c r="J77" s="561">
        <v>323</v>
      </c>
      <c r="K77" s="561">
        <v>2104022</v>
      </c>
      <c r="L77" s="544">
        <v>1.0889075431935709</v>
      </c>
      <c r="M77" s="544">
        <v>6514</v>
      </c>
      <c r="N77" s="561">
        <v>387</v>
      </c>
      <c r="O77" s="561">
        <v>2534202</v>
      </c>
      <c r="P77" s="549">
        <v>1.3115412641960178</v>
      </c>
      <c r="Q77" s="562">
        <v>6548.3255813953492</v>
      </c>
    </row>
    <row r="78" spans="1:17" ht="14.4" customHeight="1" x14ac:dyDescent="0.3">
      <c r="A78" s="543" t="s">
        <v>1200</v>
      </c>
      <c r="B78" s="544" t="s">
        <v>1136</v>
      </c>
      <c r="C78" s="544" t="s">
        <v>1122</v>
      </c>
      <c r="D78" s="544" t="s">
        <v>1221</v>
      </c>
      <c r="E78" s="544" t="s">
        <v>1222</v>
      </c>
      <c r="F78" s="561">
        <v>38</v>
      </c>
      <c r="G78" s="561">
        <v>125324</v>
      </c>
      <c r="H78" s="544">
        <v>1</v>
      </c>
      <c r="I78" s="544">
        <v>3298</v>
      </c>
      <c r="J78" s="561">
        <v>16</v>
      </c>
      <c r="K78" s="561">
        <v>53056</v>
      </c>
      <c r="L78" s="544">
        <v>0.42335067505026969</v>
      </c>
      <c r="M78" s="544">
        <v>3316</v>
      </c>
      <c r="N78" s="561">
        <v>15</v>
      </c>
      <c r="O78" s="561">
        <v>50019</v>
      </c>
      <c r="P78" s="549">
        <v>0.39911748747247133</v>
      </c>
      <c r="Q78" s="562">
        <v>3334.6</v>
      </c>
    </row>
    <row r="79" spans="1:17" ht="14.4" customHeight="1" x14ac:dyDescent="0.3">
      <c r="A79" s="543" t="s">
        <v>1200</v>
      </c>
      <c r="B79" s="544" t="s">
        <v>1136</v>
      </c>
      <c r="C79" s="544" t="s">
        <v>1122</v>
      </c>
      <c r="D79" s="544" t="s">
        <v>1223</v>
      </c>
      <c r="E79" s="544" t="s">
        <v>1224</v>
      </c>
      <c r="F79" s="561">
        <v>90</v>
      </c>
      <c r="G79" s="561">
        <v>762210</v>
      </c>
      <c r="H79" s="544">
        <v>1</v>
      </c>
      <c r="I79" s="544">
        <v>8469</v>
      </c>
      <c r="J79" s="561">
        <v>86</v>
      </c>
      <c r="K79" s="561">
        <v>731000</v>
      </c>
      <c r="L79" s="544">
        <v>0.9590532792799884</v>
      </c>
      <c r="M79" s="544">
        <v>8500</v>
      </c>
      <c r="N79" s="561">
        <v>61</v>
      </c>
      <c r="O79" s="561">
        <v>520552</v>
      </c>
      <c r="P79" s="549">
        <v>0.68295089279857257</v>
      </c>
      <c r="Q79" s="562">
        <v>8533.6393442622957</v>
      </c>
    </row>
    <row r="80" spans="1:17" ht="14.4" customHeight="1" x14ac:dyDescent="0.3">
      <c r="A80" s="543" t="s">
        <v>1200</v>
      </c>
      <c r="B80" s="544" t="s">
        <v>1136</v>
      </c>
      <c r="C80" s="544" t="s">
        <v>1122</v>
      </c>
      <c r="D80" s="544" t="s">
        <v>1225</v>
      </c>
      <c r="E80" s="544" t="s">
        <v>1226</v>
      </c>
      <c r="F80" s="561">
        <v>6</v>
      </c>
      <c r="G80" s="561">
        <v>62004</v>
      </c>
      <c r="H80" s="544">
        <v>1</v>
      </c>
      <c r="I80" s="544">
        <v>10334</v>
      </c>
      <c r="J80" s="561">
        <v>11</v>
      </c>
      <c r="K80" s="561">
        <v>114114</v>
      </c>
      <c r="L80" s="544">
        <v>1.8404296497000194</v>
      </c>
      <c r="M80" s="544">
        <v>10374</v>
      </c>
      <c r="N80" s="561">
        <v>7</v>
      </c>
      <c r="O80" s="561">
        <v>73050</v>
      </c>
      <c r="P80" s="549">
        <v>1.178149796787304</v>
      </c>
      <c r="Q80" s="562">
        <v>10435.714285714286</v>
      </c>
    </row>
    <row r="81" spans="1:17" ht="14.4" customHeight="1" x14ac:dyDescent="0.3">
      <c r="A81" s="543" t="s">
        <v>1200</v>
      </c>
      <c r="B81" s="544" t="s">
        <v>1136</v>
      </c>
      <c r="C81" s="544" t="s">
        <v>1122</v>
      </c>
      <c r="D81" s="544" t="s">
        <v>1227</v>
      </c>
      <c r="E81" s="544" t="s">
        <v>1228</v>
      </c>
      <c r="F81" s="561">
        <v>24</v>
      </c>
      <c r="G81" s="561">
        <v>24336</v>
      </c>
      <c r="H81" s="544">
        <v>1</v>
      </c>
      <c r="I81" s="544">
        <v>1014</v>
      </c>
      <c r="J81" s="561">
        <v>14</v>
      </c>
      <c r="K81" s="561">
        <v>14280</v>
      </c>
      <c r="L81" s="544">
        <v>0.58678500986193294</v>
      </c>
      <c r="M81" s="544">
        <v>1020</v>
      </c>
      <c r="N81" s="561">
        <v>15</v>
      </c>
      <c r="O81" s="561">
        <v>15377</v>
      </c>
      <c r="P81" s="549">
        <v>0.63186226166995396</v>
      </c>
      <c r="Q81" s="562">
        <v>1025.1333333333334</v>
      </c>
    </row>
    <row r="82" spans="1:17" ht="14.4" customHeight="1" x14ac:dyDescent="0.3">
      <c r="A82" s="543" t="s">
        <v>1200</v>
      </c>
      <c r="B82" s="544" t="s">
        <v>1136</v>
      </c>
      <c r="C82" s="544" t="s">
        <v>1122</v>
      </c>
      <c r="D82" s="544" t="s">
        <v>1229</v>
      </c>
      <c r="E82" s="544" t="s">
        <v>1230</v>
      </c>
      <c r="F82" s="561">
        <v>2</v>
      </c>
      <c r="G82" s="561">
        <v>1116</v>
      </c>
      <c r="H82" s="544">
        <v>1</v>
      </c>
      <c r="I82" s="544">
        <v>558</v>
      </c>
      <c r="J82" s="561">
        <v>2</v>
      </c>
      <c r="K82" s="561">
        <v>1122</v>
      </c>
      <c r="L82" s="544">
        <v>1.0053763440860215</v>
      </c>
      <c r="M82" s="544">
        <v>561</v>
      </c>
      <c r="N82" s="561">
        <v>4</v>
      </c>
      <c r="O82" s="561">
        <v>2256</v>
      </c>
      <c r="P82" s="549">
        <v>2.021505376344086</v>
      </c>
      <c r="Q82" s="562">
        <v>564</v>
      </c>
    </row>
    <row r="83" spans="1:17" ht="14.4" customHeight="1" thickBot="1" x14ac:dyDescent="0.35">
      <c r="A83" s="551" t="s">
        <v>1200</v>
      </c>
      <c r="B83" s="552" t="s">
        <v>1136</v>
      </c>
      <c r="C83" s="552" t="s">
        <v>1122</v>
      </c>
      <c r="D83" s="552" t="s">
        <v>1231</v>
      </c>
      <c r="E83" s="552" t="s">
        <v>1232</v>
      </c>
      <c r="F83" s="563"/>
      <c r="G83" s="563"/>
      <c r="H83" s="552"/>
      <c r="I83" s="552"/>
      <c r="J83" s="563"/>
      <c r="K83" s="563"/>
      <c r="L83" s="552"/>
      <c r="M83" s="552"/>
      <c r="N83" s="563">
        <v>2</v>
      </c>
      <c r="O83" s="563">
        <v>4820</v>
      </c>
      <c r="P83" s="557"/>
      <c r="Q83" s="564">
        <v>2410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281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906366</v>
      </c>
      <c r="C3" s="223">
        <f t="shared" ref="C3:R3" si="0">SUBTOTAL(9,C6:C1048576)</f>
        <v>10</v>
      </c>
      <c r="D3" s="223">
        <f t="shared" si="0"/>
        <v>397477</v>
      </c>
      <c r="E3" s="223">
        <f t="shared" si="0"/>
        <v>4.0067744087006663</v>
      </c>
      <c r="F3" s="223">
        <f t="shared" si="0"/>
        <v>700479</v>
      </c>
      <c r="G3" s="226">
        <f>IF(B3&lt;&gt;0,F3/B3,"")</f>
        <v>0.77284342086971491</v>
      </c>
      <c r="H3" s="222">
        <f t="shared" si="0"/>
        <v>-568.37</v>
      </c>
      <c r="I3" s="223">
        <f t="shared" si="0"/>
        <v>1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>
        <f>IF(H3&lt;&gt;0,L3/H3,"")</f>
        <v>0</v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106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607"/>
      <c r="B5" s="608">
        <v>2012</v>
      </c>
      <c r="C5" s="609"/>
      <c r="D5" s="609">
        <v>2013</v>
      </c>
      <c r="E5" s="609"/>
      <c r="F5" s="609">
        <v>2014</v>
      </c>
      <c r="G5" s="610" t="s">
        <v>2</v>
      </c>
      <c r="H5" s="608">
        <v>2012</v>
      </c>
      <c r="I5" s="609"/>
      <c r="J5" s="609">
        <v>2013</v>
      </c>
      <c r="K5" s="609"/>
      <c r="L5" s="609">
        <v>2014</v>
      </c>
      <c r="M5" s="610" t="s">
        <v>2</v>
      </c>
      <c r="N5" s="608">
        <v>2012</v>
      </c>
      <c r="O5" s="609"/>
      <c r="P5" s="609">
        <v>2013</v>
      </c>
      <c r="Q5" s="609"/>
      <c r="R5" s="609">
        <v>2014</v>
      </c>
      <c r="S5" s="610" t="s">
        <v>2</v>
      </c>
    </row>
    <row r="6" spans="1:19" ht="14.4" customHeight="1" x14ac:dyDescent="0.3">
      <c r="A6" s="568" t="s">
        <v>1234</v>
      </c>
      <c r="B6" s="611">
        <v>5776</v>
      </c>
      <c r="C6" s="537">
        <v>1</v>
      </c>
      <c r="D6" s="611">
        <v>6798</v>
      </c>
      <c r="E6" s="537">
        <v>1.1769390581717452</v>
      </c>
      <c r="F6" s="611">
        <v>4316</v>
      </c>
      <c r="G6" s="542">
        <v>0.74722991689750695</v>
      </c>
      <c r="H6" s="611"/>
      <c r="I6" s="537"/>
      <c r="J6" s="611"/>
      <c r="K6" s="537"/>
      <c r="L6" s="611"/>
      <c r="M6" s="542"/>
      <c r="N6" s="611"/>
      <c r="O6" s="537"/>
      <c r="P6" s="611"/>
      <c r="Q6" s="537"/>
      <c r="R6" s="611"/>
      <c r="S6" s="122"/>
    </row>
    <row r="7" spans="1:19" ht="14.4" customHeight="1" x14ac:dyDescent="0.3">
      <c r="A7" s="570" t="s">
        <v>1235</v>
      </c>
      <c r="B7" s="612"/>
      <c r="C7" s="544"/>
      <c r="D7" s="612"/>
      <c r="E7" s="544"/>
      <c r="F7" s="612">
        <v>2705</v>
      </c>
      <c r="G7" s="549"/>
      <c r="H7" s="612"/>
      <c r="I7" s="544"/>
      <c r="J7" s="612"/>
      <c r="K7" s="544"/>
      <c r="L7" s="612"/>
      <c r="M7" s="549"/>
      <c r="N7" s="612"/>
      <c r="O7" s="544"/>
      <c r="P7" s="612"/>
      <c r="Q7" s="544"/>
      <c r="R7" s="612"/>
      <c r="S7" s="550"/>
    </row>
    <row r="8" spans="1:19" ht="14.4" customHeight="1" x14ac:dyDescent="0.3">
      <c r="A8" s="570" t="s">
        <v>1236</v>
      </c>
      <c r="B8" s="612">
        <v>2485</v>
      </c>
      <c r="C8" s="544">
        <v>1</v>
      </c>
      <c r="D8" s="612"/>
      <c r="E8" s="544"/>
      <c r="F8" s="612"/>
      <c r="G8" s="549"/>
      <c r="H8" s="612"/>
      <c r="I8" s="544"/>
      <c r="J8" s="612"/>
      <c r="K8" s="544"/>
      <c r="L8" s="612"/>
      <c r="M8" s="549"/>
      <c r="N8" s="612"/>
      <c r="O8" s="544"/>
      <c r="P8" s="612"/>
      <c r="Q8" s="544"/>
      <c r="R8" s="612"/>
      <c r="S8" s="550"/>
    </row>
    <row r="9" spans="1:19" ht="14.4" customHeight="1" x14ac:dyDescent="0.3">
      <c r="A9" s="570" t="s">
        <v>1237</v>
      </c>
      <c r="B9" s="612"/>
      <c r="C9" s="544"/>
      <c r="D9" s="612">
        <v>2516</v>
      </c>
      <c r="E9" s="544"/>
      <c r="F9" s="612"/>
      <c r="G9" s="549"/>
      <c r="H9" s="612"/>
      <c r="I9" s="544"/>
      <c r="J9" s="612"/>
      <c r="K9" s="544"/>
      <c r="L9" s="612"/>
      <c r="M9" s="549"/>
      <c r="N9" s="612"/>
      <c r="O9" s="544"/>
      <c r="P9" s="612"/>
      <c r="Q9" s="544"/>
      <c r="R9" s="612"/>
      <c r="S9" s="550"/>
    </row>
    <row r="10" spans="1:19" ht="14.4" customHeight="1" x14ac:dyDescent="0.3">
      <c r="A10" s="570" t="s">
        <v>1238</v>
      </c>
      <c r="B10" s="612">
        <v>367706</v>
      </c>
      <c r="C10" s="544">
        <v>1</v>
      </c>
      <c r="D10" s="612">
        <v>86838</v>
      </c>
      <c r="E10" s="544">
        <v>0.23616149858854629</v>
      </c>
      <c r="F10" s="612">
        <v>169728</v>
      </c>
      <c r="G10" s="549">
        <v>0.46158615850706813</v>
      </c>
      <c r="H10" s="612"/>
      <c r="I10" s="544"/>
      <c r="J10" s="612"/>
      <c r="K10" s="544"/>
      <c r="L10" s="612"/>
      <c r="M10" s="549"/>
      <c r="N10" s="612"/>
      <c r="O10" s="544"/>
      <c r="P10" s="612"/>
      <c r="Q10" s="544"/>
      <c r="R10" s="612"/>
      <c r="S10" s="550"/>
    </row>
    <row r="11" spans="1:19" ht="14.4" customHeight="1" x14ac:dyDescent="0.3">
      <c r="A11" s="570" t="s">
        <v>1239</v>
      </c>
      <c r="B11" s="612">
        <v>177069</v>
      </c>
      <c r="C11" s="544">
        <v>1</v>
      </c>
      <c r="D11" s="612">
        <v>54951</v>
      </c>
      <c r="E11" s="544">
        <v>0.31033664842519015</v>
      </c>
      <c r="F11" s="612">
        <v>233538</v>
      </c>
      <c r="G11" s="549">
        <v>1.3189095776222828</v>
      </c>
      <c r="H11" s="612"/>
      <c r="I11" s="544"/>
      <c r="J11" s="612"/>
      <c r="K11" s="544"/>
      <c r="L11" s="612"/>
      <c r="M11" s="549"/>
      <c r="N11" s="612"/>
      <c r="O11" s="544"/>
      <c r="P11" s="612"/>
      <c r="Q11" s="544"/>
      <c r="R11" s="612"/>
      <c r="S11" s="550"/>
    </row>
    <row r="12" spans="1:19" ht="14.4" customHeight="1" x14ac:dyDescent="0.3">
      <c r="A12" s="570" t="s">
        <v>1240</v>
      </c>
      <c r="B12" s="612">
        <v>218944</v>
      </c>
      <c r="C12" s="544">
        <v>1</v>
      </c>
      <c r="D12" s="612">
        <v>137630</v>
      </c>
      <c r="E12" s="544">
        <v>0.62860822858813215</v>
      </c>
      <c r="F12" s="612">
        <v>192956</v>
      </c>
      <c r="G12" s="549">
        <v>0.88130298158433207</v>
      </c>
      <c r="H12" s="612"/>
      <c r="I12" s="544"/>
      <c r="J12" s="612"/>
      <c r="K12" s="544"/>
      <c r="L12" s="612"/>
      <c r="M12" s="549"/>
      <c r="N12" s="612"/>
      <c r="O12" s="544"/>
      <c r="P12" s="612"/>
      <c r="Q12" s="544"/>
      <c r="R12" s="612"/>
      <c r="S12" s="550"/>
    </row>
    <row r="13" spans="1:19" ht="14.4" customHeight="1" x14ac:dyDescent="0.3">
      <c r="A13" s="570" t="s">
        <v>1241</v>
      </c>
      <c r="B13" s="612">
        <v>48504</v>
      </c>
      <c r="C13" s="544">
        <v>1</v>
      </c>
      <c r="D13" s="612"/>
      <c r="E13" s="544"/>
      <c r="F13" s="612"/>
      <c r="G13" s="549"/>
      <c r="H13" s="612"/>
      <c r="I13" s="544"/>
      <c r="J13" s="612"/>
      <c r="K13" s="544"/>
      <c r="L13" s="612"/>
      <c r="M13" s="549"/>
      <c r="N13" s="612"/>
      <c r="O13" s="544"/>
      <c r="P13" s="612"/>
      <c r="Q13" s="544"/>
      <c r="R13" s="612"/>
      <c r="S13" s="550"/>
    </row>
    <row r="14" spans="1:19" ht="14.4" customHeight="1" x14ac:dyDescent="0.3">
      <c r="A14" s="570" t="s">
        <v>1242</v>
      </c>
      <c r="B14" s="612">
        <v>72571</v>
      </c>
      <c r="C14" s="544">
        <v>1</v>
      </c>
      <c r="D14" s="612">
        <v>107308</v>
      </c>
      <c r="E14" s="544">
        <v>1.4786622755646195</v>
      </c>
      <c r="F14" s="612">
        <v>95800</v>
      </c>
      <c r="G14" s="549">
        <v>1.3200865359441099</v>
      </c>
      <c r="H14" s="612"/>
      <c r="I14" s="544"/>
      <c r="J14" s="612"/>
      <c r="K14" s="544"/>
      <c r="L14" s="612"/>
      <c r="M14" s="549"/>
      <c r="N14" s="612"/>
      <c r="O14" s="544"/>
      <c r="P14" s="612"/>
      <c r="Q14" s="544"/>
      <c r="R14" s="612"/>
      <c r="S14" s="550"/>
    </row>
    <row r="15" spans="1:19" ht="14.4" customHeight="1" x14ac:dyDescent="0.3">
      <c r="A15" s="570" t="s">
        <v>1243</v>
      </c>
      <c r="B15" s="612">
        <v>1077</v>
      </c>
      <c r="C15" s="544">
        <v>1</v>
      </c>
      <c r="D15" s="612"/>
      <c r="E15" s="544"/>
      <c r="F15" s="612"/>
      <c r="G15" s="549"/>
      <c r="H15" s="612"/>
      <c r="I15" s="544"/>
      <c r="J15" s="612"/>
      <c r="K15" s="544"/>
      <c r="L15" s="612"/>
      <c r="M15" s="549"/>
      <c r="N15" s="612"/>
      <c r="O15" s="544"/>
      <c r="P15" s="612"/>
      <c r="Q15" s="544"/>
      <c r="R15" s="612"/>
      <c r="S15" s="550"/>
    </row>
    <row r="16" spans="1:19" ht="14.4" customHeight="1" x14ac:dyDescent="0.3">
      <c r="A16" s="570" t="s">
        <v>1244</v>
      </c>
      <c r="B16" s="612">
        <v>8156</v>
      </c>
      <c r="C16" s="544">
        <v>1</v>
      </c>
      <c r="D16" s="612">
        <v>1436</v>
      </c>
      <c r="E16" s="544">
        <v>0.17606669936243258</v>
      </c>
      <c r="F16" s="612">
        <v>1436</v>
      </c>
      <c r="G16" s="549">
        <v>0.17606669936243258</v>
      </c>
      <c r="H16" s="612"/>
      <c r="I16" s="544"/>
      <c r="J16" s="612"/>
      <c r="K16" s="544"/>
      <c r="L16" s="612"/>
      <c r="M16" s="549"/>
      <c r="N16" s="612"/>
      <c r="O16" s="544"/>
      <c r="P16" s="612"/>
      <c r="Q16" s="544"/>
      <c r="R16" s="612"/>
      <c r="S16" s="550"/>
    </row>
    <row r="17" spans="1:19" ht="14.4" customHeight="1" x14ac:dyDescent="0.3">
      <c r="A17" s="570" t="s">
        <v>623</v>
      </c>
      <c r="B17" s="612"/>
      <c r="C17" s="544"/>
      <c r="D17" s="612"/>
      <c r="E17" s="544"/>
      <c r="F17" s="612"/>
      <c r="G17" s="549"/>
      <c r="H17" s="612">
        <v>-568.37</v>
      </c>
      <c r="I17" s="544">
        <v>1</v>
      </c>
      <c r="J17" s="612"/>
      <c r="K17" s="544"/>
      <c r="L17" s="612"/>
      <c r="M17" s="549"/>
      <c r="N17" s="612"/>
      <c r="O17" s="544"/>
      <c r="P17" s="612"/>
      <c r="Q17" s="544"/>
      <c r="R17" s="612"/>
      <c r="S17" s="550"/>
    </row>
    <row r="18" spans="1:19" ht="14.4" customHeight="1" thickBot="1" x14ac:dyDescent="0.35">
      <c r="A18" s="614" t="s">
        <v>1245</v>
      </c>
      <c r="B18" s="613">
        <v>4078</v>
      </c>
      <c r="C18" s="552">
        <v>1</v>
      </c>
      <c r="D18" s="613"/>
      <c r="E18" s="552"/>
      <c r="F18" s="613"/>
      <c r="G18" s="557"/>
      <c r="H18" s="613"/>
      <c r="I18" s="552"/>
      <c r="J18" s="613"/>
      <c r="K18" s="552"/>
      <c r="L18" s="613"/>
      <c r="M18" s="557"/>
      <c r="N18" s="613"/>
      <c r="O18" s="552"/>
      <c r="P18" s="613"/>
      <c r="Q18" s="552"/>
      <c r="R18" s="613"/>
      <c r="S18" s="55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1260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281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463</v>
      </c>
      <c r="G3" s="103">
        <f t="shared" si="0"/>
        <v>905797.63</v>
      </c>
      <c r="H3" s="103"/>
      <c r="I3" s="103"/>
      <c r="J3" s="103">
        <f t="shared" si="0"/>
        <v>260</v>
      </c>
      <c r="K3" s="103">
        <f t="shared" si="0"/>
        <v>397477</v>
      </c>
      <c r="L3" s="103"/>
      <c r="M3" s="103"/>
      <c r="N3" s="103">
        <f t="shared" si="0"/>
        <v>375</v>
      </c>
      <c r="O3" s="103">
        <f t="shared" si="0"/>
        <v>700479</v>
      </c>
      <c r="P3" s="75">
        <f>IF(G3=0,0,O3/G3)</f>
        <v>0.77332836474743261</v>
      </c>
      <c r="Q3" s="104">
        <f>IF(N3=0,0,O3/N3)</f>
        <v>1867.944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08" t="s">
        <v>97</v>
      </c>
      <c r="E4" s="409" t="s">
        <v>70</v>
      </c>
      <c r="F4" s="414">
        <v>2012</v>
      </c>
      <c r="G4" s="415"/>
      <c r="H4" s="105"/>
      <c r="I4" s="105"/>
      <c r="J4" s="414">
        <v>2013</v>
      </c>
      <c r="K4" s="415"/>
      <c r="L4" s="105"/>
      <c r="M4" s="105"/>
      <c r="N4" s="414">
        <v>2014</v>
      </c>
      <c r="O4" s="415"/>
      <c r="P4" s="416" t="s">
        <v>2</v>
      </c>
      <c r="Q4" s="405" t="s">
        <v>98</v>
      </c>
    </row>
    <row r="5" spans="1:17" ht="14.4" customHeight="1" thickBot="1" x14ac:dyDescent="0.35">
      <c r="A5" s="622"/>
      <c r="B5" s="621"/>
      <c r="C5" s="622"/>
      <c r="D5" s="623"/>
      <c r="E5" s="625"/>
      <c r="F5" s="631" t="s">
        <v>72</v>
      </c>
      <c r="G5" s="632" t="s">
        <v>14</v>
      </c>
      <c r="H5" s="633"/>
      <c r="I5" s="633"/>
      <c r="J5" s="631" t="s">
        <v>72</v>
      </c>
      <c r="K5" s="632" t="s">
        <v>14</v>
      </c>
      <c r="L5" s="633"/>
      <c r="M5" s="633"/>
      <c r="N5" s="631" t="s">
        <v>72</v>
      </c>
      <c r="O5" s="632" t="s">
        <v>14</v>
      </c>
      <c r="P5" s="634"/>
      <c r="Q5" s="630"/>
    </row>
    <row r="6" spans="1:17" ht="14.4" customHeight="1" x14ac:dyDescent="0.3">
      <c r="A6" s="536" t="s">
        <v>1246</v>
      </c>
      <c r="B6" s="537" t="s">
        <v>1128</v>
      </c>
      <c r="C6" s="537" t="s">
        <v>1136</v>
      </c>
      <c r="D6" s="537" t="s">
        <v>1147</v>
      </c>
      <c r="E6" s="537" t="s">
        <v>1148</v>
      </c>
      <c r="F6" s="116">
        <v>1</v>
      </c>
      <c r="G6" s="116">
        <v>318</v>
      </c>
      <c r="H6" s="116">
        <v>1</v>
      </c>
      <c r="I6" s="116">
        <v>318</v>
      </c>
      <c r="J6" s="116"/>
      <c r="K6" s="116"/>
      <c r="L6" s="116"/>
      <c r="M6" s="116"/>
      <c r="N6" s="116"/>
      <c r="O6" s="116"/>
      <c r="P6" s="542"/>
      <c r="Q6" s="560"/>
    </row>
    <row r="7" spans="1:17" ht="14.4" customHeight="1" x14ac:dyDescent="0.3">
      <c r="A7" s="543" t="s">
        <v>1246</v>
      </c>
      <c r="B7" s="544" t="s">
        <v>1128</v>
      </c>
      <c r="C7" s="544" t="s">
        <v>1136</v>
      </c>
      <c r="D7" s="544" t="s">
        <v>1151</v>
      </c>
      <c r="E7" s="544" t="s">
        <v>1152</v>
      </c>
      <c r="F7" s="561">
        <v>1</v>
      </c>
      <c r="G7" s="561">
        <v>0</v>
      </c>
      <c r="H7" s="561"/>
      <c r="I7" s="561">
        <v>0</v>
      </c>
      <c r="J7" s="561">
        <v>2</v>
      </c>
      <c r="K7" s="561">
        <v>0</v>
      </c>
      <c r="L7" s="561"/>
      <c r="M7" s="561">
        <v>0</v>
      </c>
      <c r="N7" s="561">
        <v>2</v>
      </c>
      <c r="O7" s="561">
        <v>0</v>
      </c>
      <c r="P7" s="549"/>
      <c r="Q7" s="562">
        <v>0</v>
      </c>
    </row>
    <row r="8" spans="1:17" ht="14.4" customHeight="1" x14ac:dyDescent="0.3">
      <c r="A8" s="543" t="s">
        <v>1246</v>
      </c>
      <c r="B8" s="544" t="s">
        <v>1128</v>
      </c>
      <c r="C8" s="544" t="s">
        <v>1136</v>
      </c>
      <c r="D8" s="544" t="s">
        <v>1153</v>
      </c>
      <c r="E8" s="544" t="s">
        <v>1154</v>
      </c>
      <c r="F8" s="561">
        <v>3</v>
      </c>
      <c r="G8" s="561">
        <v>4818</v>
      </c>
      <c r="H8" s="561">
        <v>1</v>
      </c>
      <c r="I8" s="561">
        <v>1606</v>
      </c>
      <c r="J8" s="561">
        <v>3</v>
      </c>
      <c r="K8" s="561">
        <v>4308</v>
      </c>
      <c r="L8" s="561">
        <v>0.89414694894146951</v>
      </c>
      <c r="M8" s="561">
        <v>1436</v>
      </c>
      <c r="N8" s="561">
        <v>3</v>
      </c>
      <c r="O8" s="561">
        <v>4316</v>
      </c>
      <c r="P8" s="549">
        <v>0.89580738895807388</v>
      </c>
      <c r="Q8" s="562">
        <v>1438.6666666666667</v>
      </c>
    </row>
    <row r="9" spans="1:17" ht="14.4" customHeight="1" x14ac:dyDescent="0.3">
      <c r="A9" s="543" t="s">
        <v>1246</v>
      </c>
      <c r="B9" s="544" t="s">
        <v>1175</v>
      </c>
      <c r="C9" s="544" t="s">
        <v>1136</v>
      </c>
      <c r="D9" s="544" t="s">
        <v>1188</v>
      </c>
      <c r="E9" s="544" t="s">
        <v>1189</v>
      </c>
      <c r="F9" s="561">
        <v>1</v>
      </c>
      <c r="G9" s="561">
        <v>640</v>
      </c>
      <c r="H9" s="561">
        <v>1</v>
      </c>
      <c r="I9" s="561">
        <v>640</v>
      </c>
      <c r="J9" s="561"/>
      <c r="K9" s="561"/>
      <c r="L9" s="561"/>
      <c r="M9" s="561"/>
      <c r="N9" s="561"/>
      <c r="O9" s="561"/>
      <c r="P9" s="549"/>
      <c r="Q9" s="562"/>
    </row>
    <row r="10" spans="1:17" ht="14.4" customHeight="1" x14ac:dyDescent="0.3">
      <c r="A10" s="543" t="s">
        <v>1246</v>
      </c>
      <c r="B10" s="544" t="s">
        <v>1200</v>
      </c>
      <c r="C10" s="544" t="s">
        <v>1136</v>
      </c>
      <c r="D10" s="544" t="s">
        <v>1205</v>
      </c>
      <c r="E10" s="544" t="s">
        <v>1206</v>
      </c>
      <c r="F10" s="561"/>
      <c r="G10" s="561"/>
      <c r="H10" s="561"/>
      <c r="I10" s="561"/>
      <c r="J10" s="561">
        <v>2</v>
      </c>
      <c r="K10" s="561">
        <v>2490</v>
      </c>
      <c r="L10" s="561"/>
      <c r="M10" s="561">
        <v>1245</v>
      </c>
      <c r="N10" s="561"/>
      <c r="O10" s="561"/>
      <c r="P10" s="549"/>
      <c r="Q10" s="562"/>
    </row>
    <row r="11" spans="1:17" ht="14.4" customHeight="1" x14ac:dyDescent="0.3">
      <c r="A11" s="543" t="s">
        <v>1247</v>
      </c>
      <c r="B11" s="544" t="s">
        <v>1128</v>
      </c>
      <c r="C11" s="544" t="s">
        <v>1136</v>
      </c>
      <c r="D11" s="544" t="s">
        <v>1153</v>
      </c>
      <c r="E11" s="544" t="s">
        <v>1154</v>
      </c>
      <c r="F11" s="561"/>
      <c r="G11" s="561"/>
      <c r="H11" s="561"/>
      <c r="I11" s="561"/>
      <c r="J11" s="561"/>
      <c r="K11" s="561"/>
      <c r="L11" s="561"/>
      <c r="M11" s="561"/>
      <c r="N11" s="561">
        <v>1</v>
      </c>
      <c r="O11" s="561">
        <v>1444</v>
      </c>
      <c r="P11" s="549"/>
      <c r="Q11" s="562">
        <v>1444</v>
      </c>
    </row>
    <row r="12" spans="1:17" ht="14.4" customHeight="1" x14ac:dyDescent="0.3">
      <c r="A12" s="543" t="s">
        <v>1247</v>
      </c>
      <c r="B12" s="544" t="s">
        <v>1200</v>
      </c>
      <c r="C12" s="544" t="s">
        <v>1136</v>
      </c>
      <c r="D12" s="544" t="s">
        <v>1205</v>
      </c>
      <c r="E12" s="544" t="s">
        <v>1206</v>
      </c>
      <c r="F12" s="561"/>
      <c r="G12" s="561"/>
      <c r="H12" s="561"/>
      <c r="I12" s="561"/>
      <c r="J12" s="561"/>
      <c r="K12" s="561"/>
      <c r="L12" s="561"/>
      <c r="M12" s="561"/>
      <c r="N12" s="561">
        <v>1</v>
      </c>
      <c r="O12" s="561">
        <v>1261</v>
      </c>
      <c r="P12" s="549"/>
      <c r="Q12" s="562">
        <v>1261</v>
      </c>
    </row>
    <row r="13" spans="1:17" ht="14.4" customHeight="1" x14ac:dyDescent="0.3">
      <c r="A13" s="543" t="s">
        <v>1248</v>
      </c>
      <c r="B13" s="544" t="s">
        <v>1128</v>
      </c>
      <c r="C13" s="544" t="s">
        <v>1136</v>
      </c>
      <c r="D13" s="544" t="s">
        <v>1143</v>
      </c>
      <c r="E13" s="544" t="s">
        <v>1144</v>
      </c>
      <c r="F13" s="561">
        <v>1</v>
      </c>
      <c r="G13" s="561">
        <v>2485</v>
      </c>
      <c r="H13" s="561">
        <v>1</v>
      </c>
      <c r="I13" s="561">
        <v>2485</v>
      </c>
      <c r="J13" s="561"/>
      <c r="K13" s="561"/>
      <c r="L13" s="561"/>
      <c r="M13" s="561"/>
      <c r="N13" s="561"/>
      <c r="O13" s="561"/>
      <c r="P13" s="549"/>
      <c r="Q13" s="562"/>
    </row>
    <row r="14" spans="1:17" ht="14.4" customHeight="1" x14ac:dyDescent="0.3">
      <c r="A14" s="543" t="s">
        <v>1249</v>
      </c>
      <c r="B14" s="544" t="s">
        <v>1128</v>
      </c>
      <c r="C14" s="544" t="s">
        <v>1136</v>
      </c>
      <c r="D14" s="544" t="s">
        <v>1153</v>
      </c>
      <c r="E14" s="544" t="s">
        <v>1154</v>
      </c>
      <c r="F14" s="561"/>
      <c r="G14" s="561"/>
      <c r="H14" s="561"/>
      <c r="I14" s="561"/>
      <c r="J14" s="561">
        <v>1</v>
      </c>
      <c r="K14" s="561">
        <v>1436</v>
      </c>
      <c r="L14" s="561"/>
      <c r="M14" s="561">
        <v>1436</v>
      </c>
      <c r="N14" s="561"/>
      <c r="O14" s="561"/>
      <c r="P14" s="549"/>
      <c r="Q14" s="562"/>
    </row>
    <row r="15" spans="1:17" ht="14.4" customHeight="1" x14ac:dyDescent="0.3">
      <c r="A15" s="543" t="s">
        <v>1249</v>
      </c>
      <c r="B15" s="544" t="s">
        <v>1175</v>
      </c>
      <c r="C15" s="544" t="s">
        <v>1136</v>
      </c>
      <c r="D15" s="544" t="s">
        <v>1176</v>
      </c>
      <c r="E15" s="544" t="s">
        <v>1177</v>
      </c>
      <c r="F15" s="561"/>
      <c r="G15" s="561"/>
      <c r="H15" s="561"/>
      <c r="I15" s="561"/>
      <c r="J15" s="561">
        <v>1</v>
      </c>
      <c r="K15" s="561">
        <v>438</v>
      </c>
      <c r="L15" s="561"/>
      <c r="M15" s="561">
        <v>438</v>
      </c>
      <c r="N15" s="561"/>
      <c r="O15" s="561"/>
      <c r="P15" s="549"/>
      <c r="Q15" s="562"/>
    </row>
    <row r="16" spans="1:17" ht="14.4" customHeight="1" x14ac:dyDescent="0.3">
      <c r="A16" s="543" t="s">
        <v>1249</v>
      </c>
      <c r="B16" s="544" t="s">
        <v>1175</v>
      </c>
      <c r="C16" s="544" t="s">
        <v>1136</v>
      </c>
      <c r="D16" s="544" t="s">
        <v>1188</v>
      </c>
      <c r="E16" s="544" t="s">
        <v>1189</v>
      </c>
      <c r="F16" s="561"/>
      <c r="G16" s="561"/>
      <c r="H16" s="561"/>
      <c r="I16" s="561"/>
      <c r="J16" s="561">
        <v>1</v>
      </c>
      <c r="K16" s="561">
        <v>642</v>
      </c>
      <c r="L16" s="561"/>
      <c r="M16" s="561">
        <v>642</v>
      </c>
      <c r="N16" s="561"/>
      <c r="O16" s="561"/>
      <c r="P16" s="549"/>
      <c r="Q16" s="562"/>
    </row>
    <row r="17" spans="1:17" ht="14.4" customHeight="1" x14ac:dyDescent="0.3">
      <c r="A17" s="543" t="s">
        <v>1250</v>
      </c>
      <c r="B17" s="544" t="s">
        <v>1128</v>
      </c>
      <c r="C17" s="544" t="s">
        <v>1136</v>
      </c>
      <c r="D17" s="544" t="s">
        <v>1143</v>
      </c>
      <c r="E17" s="544" t="s">
        <v>1144</v>
      </c>
      <c r="F17" s="561">
        <v>1</v>
      </c>
      <c r="G17" s="561">
        <v>2485</v>
      </c>
      <c r="H17" s="561">
        <v>1</v>
      </c>
      <c r="I17" s="561">
        <v>2485</v>
      </c>
      <c r="J17" s="561"/>
      <c r="K17" s="561"/>
      <c r="L17" s="561"/>
      <c r="M17" s="561"/>
      <c r="N17" s="561"/>
      <c r="O17" s="561"/>
      <c r="P17" s="549"/>
      <c r="Q17" s="562"/>
    </row>
    <row r="18" spans="1:17" ht="14.4" customHeight="1" x14ac:dyDescent="0.3">
      <c r="A18" s="543" t="s">
        <v>1250</v>
      </c>
      <c r="B18" s="544" t="s">
        <v>1128</v>
      </c>
      <c r="C18" s="544" t="s">
        <v>1136</v>
      </c>
      <c r="D18" s="544" t="s">
        <v>1147</v>
      </c>
      <c r="E18" s="544" t="s">
        <v>1148</v>
      </c>
      <c r="F18" s="561">
        <v>2</v>
      </c>
      <c r="G18" s="561">
        <v>636</v>
      </c>
      <c r="H18" s="561">
        <v>1</v>
      </c>
      <c r="I18" s="561">
        <v>318</v>
      </c>
      <c r="J18" s="561"/>
      <c r="K18" s="561"/>
      <c r="L18" s="561"/>
      <c r="M18" s="561"/>
      <c r="N18" s="561"/>
      <c r="O18" s="561"/>
      <c r="P18" s="549"/>
      <c r="Q18" s="562"/>
    </row>
    <row r="19" spans="1:17" ht="14.4" customHeight="1" x14ac:dyDescent="0.3">
      <c r="A19" s="543" t="s">
        <v>1250</v>
      </c>
      <c r="B19" s="544" t="s">
        <v>1128</v>
      </c>
      <c r="C19" s="544" t="s">
        <v>1136</v>
      </c>
      <c r="D19" s="544" t="s">
        <v>1137</v>
      </c>
      <c r="E19" s="544" t="s">
        <v>1138</v>
      </c>
      <c r="F19" s="561">
        <v>17</v>
      </c>
      <c r="G19" s="561">
        <v>5491</v>
      </c>
      <c r="H19" s="561">
        <v>1</v>
      </c>
      <c r="I19" s="561">
        <v>323</v>
      </c>
      <c r="J19" s="561">
        <v>10</v>
      </c>
      <c r="K19" s="561">
        <v>3230</v>
      </c>
      <c r="L19" s="561">
        <v>0.58823529411764708</v>
      </c>
      <c r="M19" s="561">
        <v>323</v>
      </c>
      <c r="N19" s="561">
        <v>8</v>
      </c>
      <c r="O19" s="561">
        <v>2590</v>
      </c>
      <c r="P19" s="549">
        <v>0.47168093243489345</v>
      </c>
      <c r="Q19" s="562">
        <v>323.75</v>
      </c>
    </row>
    <row r="20" spans="1:17" ht="14.4" customHeight="1" x14ac:dyDescent="0.3">
      <c r="A20" s="543" t="s">
        <v>1250</v>
      </c>
      <c r="B20" s="544" t="s">
        <v>1128</v>
      </c>
      <c r="C20" s="544" t="s">
        <v>1136</v>
      </c>
      <c r="D20" s="544" t="s">
        <v>1151</v>
      </c>
      <c r="E20" s="544" t="s">
        <v>1152</v>
      </c>
      <c r="F20" s="561">
        <v>6</v>
      </c>
      <c r="G20" s="561">
        <v>0</v>
      </c>
      <c r="H20" s="561"/>
      <c r="I20" s="561">
        <v>0</v>
      </c>
      <c r="J20" s="561">
        <v>3</v>
      </c>
      <c r="K20" s="561">
        <v>0</v>
      </c>
      <c r="L20" s="561"/>
      <c r="M20" s="561">
        <v>0</v>
      </c>
      <c r="N20" s="561">
        <v>4</v>
      </c>
      <c r="O20" s="561">
        <v>0</v>
      </c>
      <c r="P20" s="549"/>
      <c r="Q20" s="562">
        <v>0</v>
      </c>
    </row>
    <row r="21" spans="1:17" ht="14.4" customHeight="1" x14ac:dyDescent="0.3">
      <c r="A21" s="543" t="s">
        <v>1250</v>
      </c>
      <c r="B21" s="544" t="s">
        <v>1128</v>
      </c>
      <c r="C21" s="544" t="s">
        <v>1136</v>
      </c>
      <c r="D21" s="544" t="s">
        <v>1153</v>
      </c>
      <c r="E21" s="544" t="s">
        <v>1154</v>
      </c>
      <c r="F21" s="561">
        <v>10</v>
      </c>
      <c r="G21" s="561">
        <v>16060</v>
      </c>
      <c r="H21" s="561">
        <v>1</v>
      </c>
      <c r="I21" s="561">
        <v>1606</v>
      </c>
      <c r="J21" s="561">
        <v>4</v>
      </c>
      <c r="K21" s="561">
        <v>5744</v>
      </c>
      <c r="L21" s="561">
        <v>0.35765877957658782</v>
      </c>
      <c r="M21" s="561">
        <v>1436</v>
      </c>
      <c r="N21" s="561">
        <v>9</v>
      </c>
      <c r="O21" s="561">
        <v>12980</v>
      </c>
      <c r="P21" s="549">
        <v>0.80821917808219179</v>
      </c>
      <c r="Q21" s="562">
        <v>1442.2222222222222</v>
      </c>
    </row>
    <row r="22" spans="1:17" ht="14.4" customHeight="1" x14ac:dyDescent="0.3">
      <c r="A22" s="543" t="s">
        <v>1250</v>
      </c>
      <c r="B22" s="544" t="s">
        <v>1128</v>
      </c>
      <c r="C22" s="544" t="s">
        <v>1136</v>
      </c>
      <c r="D22" s="544" t="s">
        <v>1155</v>
      </c>
      <c r="E22" s="544" t="s">
        <v>1156</v>
      </c>
      <c r="F22" s="561"/>
      <c r="G22" s="561"/>
      <c r="H22" s="561"/>
      <c r="I22" s="561"/>
      <c r="J22" s="561">
        <v>0</v>
      </c>
      <c r="K22" s="561">
        <v>0</v>
      </c>
      <c r="L22" s="561"/>
      <c r="M22" s="561"/>
      <c r="N22" s="561"/>
      <c r="O22" s="561"/>
      <c r="P22" s="549"/>
      <c r="Q22" s="562"/>
    </row>
    <row r="23" spans="1:17" ht="14.4" customHeight="1" x14ac:dyDescent="0.3">
      <c r="A23" s="543" t="s">
        <v>1250</v>
      </c>
      <c r="B23" s="544" t="s">
        <v>1175</v>
      </c>
      <c r="C23" s="544" t="s">
        <v>1136</v>
      </c>
      <c r="D23" s="544" t="s">
        <v>1176</v>
      </c>
      <c r="E23" s="544" t="s">
        <v>1177</v>
      </c>
      <c r="F23" s="561">
        <v>4</v>
      </c>
      <c r="G23" s="561">
        <v>1748</v>
      </c>
      <c r="H23" s="561">
        <v>1</v>
      </c>
      <c r="I23" s="561">
        <v>437</v>
      </c>
      <c r="J23" s="561"/>
      <c r="K23" s="561"/>
      <c r="L23" s="561"/>
      <c r="M23" s="561"/>
      <c r="N23" s="561">
        <v>1</v>
      </c>
      <c r="O23" s="561">
        <v>438</v>
      </c>
      <c r="P23" s="549">
        <v>0.25057208237986273</v>
      </c>
      <c r="Q23" s="562">
        <v>438</v>
      </c>
    </row>
    <row r="24" spans="1:17" ht="14.4" customHeight="1" x14ac:dyDescent="0.3">
      <c r="A24" s="543" t="s">
        <v>1250</v>
      </c>
      <c r="B24" s="544" t="s">
        <v>1175</v>
      </c>
      <c r="C24" s="544" t="s">
        <v>1136</v>
      </c>
      <c r="D24" s="544" t="s">
        <v>1188</v>
      </c>
      <c r="E24" s="544" t="s">
        <v>1189</v>
      </c>
      <c r="F24" s="561">
        <v>19</v>
      </c>
      <c r="G24" s="561">
        <v>12160</v>
      </c>
      <c r="H24" s="561">
        <v>1</v>
      </c>
      <c r="I24" s="561">
        <v>640</v>
      </c>
      <c r="J24" s="561">
        <v>15</v>
      </c>
      <c r="K24" s="561">
        <v>9630</v>
      </c>
      <c r="L24" s="561">
        <v>0.79194078947368418</v>
      </c>
      <c r="M24" s="561">
        <v>642</v>
      </c>
      <c r="N24" s="561">
        <v>5</v>
      </c>
      <c r="O24" s="561">
        <v>3215</v>
      </c>
      <c r="P24" s="549">
        <v>0.26439144736842107</v>
      </c>
      <c r="Q24" s="562">
        <v>643</v>
      </c>
    </row>
    <row r="25" spans="1:17" ht="14.4" customHeight="1" x14ac:dyDescent="0.3">
      <c r="A25" s="543" t="s">
        <v>1250</v>
      </c>
      <c r="B25" s="544" t="s">
        <v>1175</v>
      </c>
      <c r="C25" s="544" t="s">
        <v>1136</v>
      </c>
      <c r="D25" s="544" t="s">
        <v>1192</v>
      </c>
      <c r="E25" s="544" t="s">
        <v>1193</v>
      </c>
      <c r="F25" s="561">
        <v>2</v>
      </c>
      <c r="G25" s="561">
        <v>1166</v>
      </c>
      <c r="H25" s="561">
        <v>1</v>
      </c>
      <c r="I25" s="561">
        <v>583</v>
      </c>
      <c r="J25" s="561"/>
      <c r="K25" s="561"/>
      <c r="L25" s="561"/>
      <c r="M25" s="561"/>
      <c r="N25" s="561">
        <v>2</v>
      </c>
      <c r="O25" s="561">
        <v>1172</v>
      </c>
      <c r="P25" s="549">
        <v>1.0051457975986278</v>
      </c>
      <c r="Q25" s="562">
        <v>586</v>
      </c>
    </row>
    <row r="26" spans="1:17" ht="14.4" customHeight="1" x14ac:dyDescent="0.3">
      <c r="A26" s="543" t="s">
        <v>1250</v>
      </c>
      <c r="B26" s="544" t="s">
        <v>1175</v>
      </c>
      <c r="C26" s="544" t="s">
        <v>1136</v>
      </c>
      <c r="D26" s="544" t="s">
        <v>1194</v>
      </c>
      <c r="E26" s="544" t="s">
        <v>1195</v>
      </c>
      <c r="F26" s="561">
        <v>2</v>
      </c>
      <c r="G26" s="561">
        <v>1630</v>
      </c>
      <c r="H26" s="561">
        <v>1</v>
      </c>
      <c r="I26" s="561">
        <v>815</v>
      </c>
      <c r="J26" s="561">
        <v>3</v>
      </c>
      <c r="K26" s="561">
        <v>2448</v>
      </c>
      <c r="L26" s="561">
        <v>1.501840490797546</v>
      </c>
      <c r="M26" s="561">
        <v>816</v>
      </c>
      <c r="N26" s="561">
        <v>1</v>
      </c>
      <c r="O26" s="561">
        <v>816</v>
      </c>
      <c r="P26" s="549">
        <v>0.50061349693251533</v>
      </c>
      <c r="Q26" s="562">
        <v>816</v>
      </c>
    </row>
    <row r="27" spans="1:17" ht="14.4" customHeight="1" x14ac:dyDescent="0.3">
      <c r="A27" s="543" t="s">
        <v>1250</v>
      </c>
      <c r="B27" s="544" t="s">
        <v>1175</v>
      </c>
      <c r="C27" s="544" t="s">
        <v>1136</v>
      </c>
      <c r="D27" s="544" t="s">
        <v>1198</v>
      </c>
      <c r="E27" s="544" t="s">
        <v>1199</v>
      </c>
      <c r="F27" s="561">
        <v>1</v>
      </c>
      <c r="G27" s="561">
        <v>1113</v>
      </c>
      <c r="H27" s="561">
        <v>1</v>
      </c>
      <c r="I27" s="561">
        <v>1113</v>
      </c>
      <c r="J27" s="561"/>
      <c r="K27" s="561"/>
      <c r="L27" s="561"/>
      <c r="M27" s="561"/>
      <c r="N27" s="561"/>
      <c r="O27" s="561"/>
      <c r="P27" s="549"/>
      <c r="Q27" s="562"/>
    </row>
    <row r="28" spans="1:17" ht="14.4" customHeight="1" x14ac:dyDescent="0.3">
      <c r="A28" s="543" t="s">
        <v>1250</v>
      </c>
      <c r="B28" s="544" t="s">
        <v>1200</v>
      </c>
      <c r="C28" s="544" t="s">
        <v>1136</v>
      </c>
      <c r="D28" s="544" t="s">
        <v>1203</v>
      </c>
      <c r="E28" s="544" t="s">
        <v>1204</v>
      </c>
      <c r="F28" s="561">
        <v>5</v>
      </c>
      <c r="G28" s="561">
        <v>1475</v>
      </c>
      <c r="H28" s="561">
        <v>1</v>
      </c>
      <c r="I28" s="561">
        <v>295</v>
      </c>
      <c r="J28" s="561">
        <v>4</v>
      </c>
      <c r="K28" s="561">
        <v>1188</v>
      </c>
      <c r="L28" s="561">
        <v>0.80542372881355928</v>
      </c>
      <c r="M28" s="561">
        <v>297</v>
      </c>
      <c r="N28" s="561">
        <v>2</v>
      </c>
      <c r="O28" s="561">
        <v>594</v>
      </c>
      <c r="P28" s="549">
        <v>0.40271186440677964</v>
      </c>
      <c r="Q28" s="562">
        <v>297</v>
      </c>
    </row>
    <row r="29" spans="1:17" ht="14.4" customHeight="1" x14ac:dyDescent="0.3">
      <c r="A29" s="543" t="s">
        <v>1250</v>
      </c>
      <c r="B29" s="544" t="s">
        <v>1200</v>
      </c>
      <c r="C29" s="544" t="s">
        <v>1136</v>
      </c>
      <c r="D29" s="544" t="s">
        <v>1205</v>
      </c>
      <c r="E29" s="544" t="s">
        <v>1206</v>
      </c>
      <c r="F29" s="561">
        <v>9</v>
      </c>
      <c r="G29" s="561">
        <v>11124</v>
      </c>
      <c r="H29" s="561">
        <v>1</v>
      </c>
      <c r="I29" s="561">
        <v>1236</v>
      </c>
      <c r="J29" s="561"/>
      <c r="K29" s="561"/>
      <c r="L29" s="561"/>
      <c r="M29" s="561"/>
      <c r="N29" s="561">
        <v>3</v>
      </c>
      <c r="O29" s="561">
        <v>3751</v>
      </c>
      <c r="P29" s="549">
        <v>0.33719884933477168</v>
      </c>
      <c r="Q29" s="562">
        <v>1250.3333333333333</v>
      </c>
    </row>
    <row r="30" spans="1:17" ht="14.4" customHeight="1" x14ac:dyDescent="0.3">
      <c r="A30" s="543" t="s">
        <v>1250</v>
      </c>
      <c r="B30" s="544" t="s">
        <v>1200</v>
      </c>
      <c r="C30" s="544" t="s">
        <v>1136</v>
      </c>
      <c r="D30" s="544" t="s">
        <v>1207</v>
      </c>
      <c r="E30" s="544" t="s">
        <v>1208</v>
      </c>
      <c r="F30" s="561">
        <v>4</v>
      </c>
      <c r="G30" s="561">
        <v>37180</v>
      </c>
      <c r="H30" s="561">
        <v>1</v>
      </c>
      <c r="I30" s="561">
        <v>9295</v>
      </c>
      <c r="J30" s="561"/>
      <c r="K30" s="561"/>
      <c r="L30" s="561"/>
      <c r="M30" s="561"/>
      <c r="N30" s="561"/>
      <c r="O30" s="561"/>
      <c r="P30" s="549"/>
      <c r="Q30" s="562"/>
    </row>
    <row r="31" spans="1:17" ht="14.4" customHeight="1" x14ac:dyDescent="0.3">
      <c r="A31" s="543" t="s">
        <v>1250</v>
      </c>
      <c r="B31" s="544" t="s">
        <v>1200</v>
      </c>
      <c r="C31" s="544" t="s">
        <v>1136</v>
      </c>
      <c r="D31" s="544" t="s">
        <v>1213</v>
      </c>
      <c r="E31" s="544" t="s">
        <v>1214</v>
      </c>
      <c r="F31" s="561">
        <v>92</v>
      </c>
      <c r="G31" s="561">
        <v>204332</v>
      </c>
      <c r="H31" s="561">
        <v>1</v>
      </c>
      <c r="I31" s="561">
        <v>2221</v>
      </c>
      <c r="J31" s="561">
        <v>8</v>
      </c>
      <c r="K31" s="561">
        <v>17864</v>
      </c>
      <c r="L31" s="561">
        <v>8.742634535951295E-2</v>
      </c>
      <c r="M31" s="561">
        <v>2233</v>
      </c>
      <c r="N31" s="561">
        <v>56</v>
      </c>
      <c r="O31" s="561">
        <v>125426</v>
      </c>
      <c r="P31" s="549">
        <v>0.61383434802184678</v>
      </c>
      <c r="Q31" s="562">
        <v>2239.75</v>
      </c>
    </row>
    <row r="32" spans="1:17" ht="14.4" customHeight="1" x14ac:dyDescent="0.3">
      <c r="A32" s="543" t="s">
        <v>1250</v>
      </c>
      <c r="B32" s="544" t="s">
        <v>1200</v>
      </c>
      <c r="C32" s="544" t="s">
        <v>1136</v>
      </c>
      <c r="D32" s="544" t="s">
        <v>1217</v>
      </c>
      <c r="E32" s="544" t="s">
        <v>1218</v>
      </c>
      <c r="F32" s="561">
        <v>6</v>
      </c>
      <c r="G32" s="561">
        <v>5214</v>
      </c>
      <c r="H32" s="561">
        <v>1</v>
      </c>
      <c r="I32" s="561">
        <v>869</v>
      </c>
      <c r="J32" s="561">
        <v>6</v>
      </c>
      <c r="K32" s="561">
        <v>5238</v>
      </c>
      <c r="L32" s="561">
        <v>1.0046029919447641</v>
      </c>
      <c r="M32" s="561">
        <v>873</v>
      </c>
      <c r="N32" s="561">
        <v>2</v>
      </c>
      <c r="O32" s="561">
        <v>1746</v>
      </c>
      <c r="P32" s="549">
        <v>0.33486766398158802</v>
      </c>
      <c r="Q32" s="562">
        <v>873</v>
      </c>
    </row>
    <row r="33" spans="1:17" ht="14.4" customHeight="1" x14ac:dyDescent="0.3">
      <c r="A33" s="543" t="s">
        <v>1250</v>
      </c>
      <c r="B33" s="544" t="s">
        <v>1200</v>
      </c>
      <c r="C33" s="544" t="s">
        <v>1136</v>
      </c>
      <c r="D33" s="544" t="s">
        <v>1223</v>
      </c>
      <c r="E33" s="544" t="s">
        <v>1224</v>
      </c>
      <c r="F33" s="561">
        <v>4</v>
      </c>
      <c r="G33" s="561">
        <v>33876</v>
      </c>
      <c r="H33" s="561">
        <v>1</v>
      </c>
      <c r="I33" s="561">
        <v>8469</v>
      </c>
      <c r="J33" s="561"/>
      <c r="K33" s="561"/>
      <c r="L33" s="561"/>
      <c r="M33" s="561"/>
      <c r="N33" s="561">
        <v>2</v>
      </c>
      <c r="O33" s="561">
        <v>17000</v>
      </c>
      <c r="P33" s="549">
        <v>0.50183020427441261</v>
      </c>
      <c r="Q33" s="562">
        <v>8500</v>
      </c>
    </row>
    <row r="34" spans="1:17" ht="14.4" customHeight="1" x14ac:dyDescent="0.3">
      <c r="A34" s="543" t="s">
        <v>1250</v>
      </c>
      <c r="B34" s="544" t="s">
        <v>1200</v>
      </c>
      <c r="C34" s="544" t="s">
        <v>1136</v>
      </c>
      <c r="D34" s="544" t="s">
        <v>1225</v>
      </c>
      <c r="E34" s="544" t="s">
        <v>1226</v>
      </c>
      <c r="F34" s="561">
        <v>3</v>
      </c>
      <c r="G34" s="561">
        <v>31002</v>
      </c>
      <c r="H34" s="561">
        <v>1</v>
      </c>
      <c r="I34" s="561">
        <v>10334</v>
      </c>
      <c r="J34" s="561">
        <v>4</v>
      </c>
      <c r="K34" s="561">
        <v>41496</v>
      </c>
      <c r="L34" s="561">
        <v>1.3384942906909232</v>
      </c>
      <c r="M34" s="561">
        <v>10374</v>
      </c>
      <c r="N34" s="561"/>
      <c r="O34" s="561"/>
      <c r="P34" s="549"/>
      <c r="Q34" s="562"/>
    </row>
    <row r="35" spans="1:17" ht="14.4" customHeight="1" x14ac:dyDescent="0.3">
      <c r="A35" s="543" t="s">
        <v>1250</v>
      </c>
      <c r="B35" s="544" t="s">
        <v>1200</v>
      </c>
      <c r="C35" s="544" t="s">
        <v>1136</v>
      </c>
      <c r="D35" s="544" t="s">
        <v>1227</v>
      </c>
      <c r="E35" s="544" t="s">
        <v>1228</v>
      </c>
      <c r="F35" s="561">
        <v>1</v>
      </c>
      <c r="G35" s="561">
        <v>1014</v>
      </c>
      <c r="H35" s="561">
        <v>1</v>
      </c>
      <c r="I35" s="561">
        <v>1014</v>
      </c>
      <c r="J35" s="561"/>
      <c r="K35" s="561"/>
      <c r="L35" s="561"/>
      <c r="M35" s="561"/>
      <c r="N35" s="561"/>
      <c r="O35" s="561"/>
      <c r="P35" s="549"/>
      <c r="Q35" s="562"/>
    </row>
    <row r="36" spans="1:17" ht="14.4" customHeight="1" x14ac:dyDescent="0.3">
      <c r="A36" s="543" t="s">
        <v>1251</v>
      </c>
      <c r="B36" s="544" t="s">
        <v>1128</v>
      </c>
      <c r="C36" s="544" t="s">
        <v>1136</v>
      </c>
      <c r="D36" s="544" t="s">
        <v>1143</v>
      </c>
      <c r="E36" s="544" t="s">
        <v>1144</v>
      </c>
      <c r="F36" s="561">
        <v>5</v>
      </c>
      <c r="G36" s="561">
        <v>12425</v>
      </c>
      <c r="H36" s="561">
        <v>1</v>
      </c>
      <c r="I36" s="561">
        <v>2485</v>
      </c>
      <c r="J36" s="561">
        <v>1</v>
      </c>
      <c r="K36" s="561">
        <v>2313</v>
      </c>
      <c r="L36" s="561">
        <v>0.1861569416498994</v>
      </c>
      <c r="M36" s="561">
        <v>2313</v>
      </c>
      <c r="N36" s="561">
        <v>5</v>
      </c>
      <c r="O36" s="561">
        <v>11629</v>
      </c>
      <c r="P36" s="549">
        <v>0.93593561368209255</v>
      </c>
      <c r="Q36" s="562">
        <v>2325.8000000000002</v>
      </c>
    </row>
    <row r="37" spans="1:17" ht="14.4" customHeight="1" x14ac:dyDescent="0.3">
      <c r="A37" s="543" t="s">
        <v>1251</v>
      </c>
      <c r="B37" s="544" t="s">
        <v>1128</v>
      </c>
      <c r="C37" s="544" t="s">
        <v>1136</v>
      </c>
      <c r="D37" s="544" t="s">
        <v>1137</v>
      </c>
      <c r="E37" s="544" t="s">
        <v>1138</v>
      </c>
      <c r="F37" s="561">
        <v>3</v>
      </c>
      <c r="G37" s="561">
        <v>969</v>
      </c>
      <c r="H37" s="561">
        <v>1</v>
      </c>
      <c r="I37" s="561">
        <v>323</v>
      </c>
      <c r="J37" s="561">
        <v>1</v>
      </c>
      <c r="K37" s="561">
        <v>323</v>
      </c>
      <c r="L37" s="561">
        <v>0.33333333333333331</v>
      </c>
      <c r="M37" s="561">
        <v>323</v>
      </c>
      <c r="N37" s="561">
        <v>4</v>
      </c>
      <c r="O37" s="561">
        <v>1301</v>
      </c>
      <c r="P37" s="549">
        <v>1.3426212590299278</v>
      </c>
      <c r="Q37" s="562">
        <v>325.25</v>
      </c>
    </row>
    <row r="38" spans="1:17" ht="14.4" customHeight="1" x14ac:dyDescent="0.3">
      <c r="A38" s="543" t="s">
        <v>1251</v>
      </c>
      <c r="B38" s="544" t="s">
        <v>1128</v>
      </c>
      <c r="C38" s="544" t="s">
        <v>1136</v>
      </c>
      <c r="D38" s="544" t="s">
        <v>1153</v>
      </c>
      <c r="E38" s="544" t="s">
        <v>1154</v>
      </c>
      <c r="F38" s="561">
        <v>8</v>
      </c>
      <c r="G38" s="561">
        <v>12848</v>
      </c>
      <c r="H38" s="561">
        <v>1</v>
      </c>
      <c r="I38" s="561">
        <v>1606</v>
      </c>
      <c r="J38" s="561">
        <v>5</v>
      </c>
      <c r="K38" s="561">
        <v>7180</v>
      </c>
      <c r="L38" s="561">
        <v>0.55884184308841844</v>
      </c>
      <c r="M38" s="561">
        <v>1436</v>
      </c>
      <c r="N38" s="561">
        <v>11</v>
      </c>
      <c r="O38" s="561">
        <v>15868</v>
      </c>
      <c r="P38" s="549">
        <v>1.2350560398505603</v>
      </c>
      <c r="Q38" s="562">
        <v>1442.5454545454545</v>
      </c>
    </row>
    <row r="39" spans="1:17" ht="14.4" customHeight="1" x14ac:dyDescent="0.3">
      <c r="A39" s="543" t="s">
        <v>1251</v>
      </c>
      <c r="B39" s="544" t="s">
        <v>1128</v>
      </c>
      <c r="C39" s="544" t="s">
        <v>1136</v>
      </c>
      <c r="D39" s="544" t="s">
        <v>1155</v>
      </c>
      <c r="E39" s="544" t="s">
        <v>1156</v>
      </c>
      <c r="F39" s="561"/>
      <c r="G39" s="561"/>
      <c r="H39" s="561"/>
      <c r="I39" s="561"/>
      <c r="J39" s="561">
        <v>1</v>
      </c>
      <c r="K39" s="561">
        <v>106</v>
      </c>
      <c r="L39" s="561"/>
      <c r="M39" s="561">
        <v>106</v>
      </c>
      <c r="N39" s="561"/>
      <c r="O39" s="561"/>
      <c r="P39" s="549"/>
      <c r="Q39" s="562"/>
    </row>
    <row r="40" spans="1:17" ht="14.4" customHeight="1" x14ac:dyDescent="0.3">
      <c r="A40" s="543" t="s">
        <v>1251</v>
      </c>
      <c r="B40" s="544" t="s">
        <v>1200</v>
      </c>
      <c r="C40" s="544" t="s">
        <v>1136</v>
      </c>
      <c r="D40" s="544" t="s">
        <v>1203</v>
      </c>
      <c r="E40" s="544" t="s">
        <v>1204</v>
      </c>
      <c r="F40" s="561">
        <v>6</v>
      </c>
      <c r="G40" s="561">
        <v>1770</v>
      </c>
      <c r="H40" s="561">
        <v>1</v>
      </c>
      <c r="I40" s="561">
        <v>295</v>
      </c>
      <c r="J40" s="561">
        <v>1</v>
      </c>
      <c r="K40" s="561">
        <v>297</v>
      </c>
      <c r="L40" s="561">
        <v>0.16779661016949152</v>
      </c>
      <c r="M40" s="561">
        <v>297</v>
      </c>
      <c r="N40" s="561">
        <v>5</v>
      </c>
      <c r="O40" s="561">
        <v>1497</v>
      </c>
      <c r="P40" s="549">
        <v>0.84576271186440677</v>
      </c>
      <c r="Q40" s="562">
        <v>299.39999999999998</v>
      </c>
    </row>
    <row r="41" spans="1:17" ht="14.4" customHeight="1" x14ac:dyDescent="0.3">
      <c r="A41" s="543" t="s">
        <v>1251</v>
      </c>
      <c r="B41" s="544" t="s">
        <v>1200</v>
      </c>
      <c r="C41" s="544" t="s">
        <v>1136</v>
      </c>
      <c r="D41" s="544" t="s">
        <v>1205</v>
      </c>
      <c r="E41" s="544" t="s">
        <v>1206</v>
      </c>
      <c r="F41" s="561">
        <v>4</v>
      </c>
      <c r="G41" s="561">
        <v>4944</v>
      </c>
      <c r="H41" s="561">
        <v>1</v>
      </c>
      <c r="I41" s="561">
        <v>1236</v>
      </c>
      <c r="J41" s="561">
        <v>2</v>
      </c>
      <c r="K41" s="561">
        <v>2490</v>
      </c>
      <c r="L41" s="561">
        <v>0.50364077669902918</v>
      </c>
      <c r="M41" s="561">
        <v>1245</v>
      </c>
      <c r="N41" s="561">
        <v>7</v>
      </c>
      <c r="O41" s="561">
        <v>8811</v>
      </c>
      <c r="P41" s="549">
        <v>1.7821601941747574</v>
      </c>
      <c r="Q41" s="562">
        <v>1258.7142857142858</v>
      </c>
    </row>
    <row r="42" spans="1:17" ht="14.4" customHeight="1" x14ac:dyDescent="0.3">
      <c r="A42" s="543" t="s">
        <v>1251</v>
      </c>
      <c r="B42" s="544" t="s">
        <v>1200</v>
      </c>
      <c r="C42" s="544" t="s">
        <v>1136</v>
      </c>
      <c r="D42" s="544" t="s">
        <v>1207</v>
      </c>
      <c r="E42" s="544" t="s">
        <v>1208</v>
      </c>
      <c r="F42" s="561">
        <v>2</v>
      </c>
      <c r="G42" s="561">
        <v>18590</v>
      </c>
      <c r="H42" s="561">
        <v>1</v>
      </c>
      <c r="I42" s="561">
        <v>9295</v>
      </c>
      <c r="J42" s="561"/>
      <c r="K42" s="561"/>
      <c r="L42" s="561"/>
      <c r="M42" s="561"/>
      <c r="N42" s="561"/>
      <c r="O42" s="561"/>
      <c r="P42" s="549"/>
      <c r="Q42" s="562"/>
    </row>
    <row r="43" spans="1:17" ht="14.4" customHeight="1" x14ac:dyDescent="0.3">
      <c r="A43" s="543" t="s">
        <v>1251</v>
      </c>
      <c r="B43" s="544" t="s">
        <v>1200</v>
      </c>
      <c r="C43" s="544" t="s">
        <v>1136</v>
      </c>
      <c r="D43" s="544" t="s">
        <v>1213</v>
      </c>
      <c r="E43" s="544" t="s">
        <v>1214</v>
      </c>
      <c r="F43" s="561">
        <v>39</v>
      </c>
      <c r="G43" s="561">
        <v>86619</v>
      </c>
      <c r="H43" s="561">
        <v>1</v>
      </c>
      <c r="I43" s="561">
        <v>2221</v>
      </c>
      <c r="J43" s="561">
        <v>16</v>
      </c>
      <c r="K43" s="561">
        <v>35728</v>
      </c>
      <c r="L43" s="561">
        <v>0.41247301400385594</v>
      </c>
      <c r="M43" s="561">
        <v>2233</v>
      </c>
      <c r="N43" s="561">
        <v>72</v>
      </c>
      <c r="O43" s="561">
        <v>161700</v>
      </c>
      <c r="P43" s="549">
        <v>1.8667959685519344</v>
      </c>
      <c r="Q43" s="562">
        <v>2245.8333333333335</v>
      </c>
    </row>
    <row r="44" spans="1:17" ht="14.4" customHeight="1" x14ac:dyDescent="0.3">
      <c r="A44" s="543" t="s">
        <v>1251</v>
      </c>
      <c r="B44" s="544" t="s">
        <v>1200</v>
      </c>
      <c r="C44" s="544" t="s">
        <v>1136</v>
      </c>
      <c r="D44" s="544" t="s">
        <v>1219</v>
      </c>
      <c r="E44" s="544" t="s">
        <v>1220</v>
      </c>
      <c r="F44" s="561">
        <v>6</v>
      </c>
      <c r="G44" s="561">
        <v>38904</v>
      </c>
      <c r="H44" s="561">
        <v>1</v>
      </c>
      <c r="I44" s="561">
        <v>6484</v>
      </c>
      <c r="J44" s="561">
        <v>1</v>
      </c>
      <c r="K44" s="561">
        <v>6514</v>
      </c>
      <c r="L44" s="561">
        <v>0.16743779559942423</v>
      </c>
      <c r="M44" s="561">
        <v>6514</v>
      </c>
      <c r="N44" s="561">
        <v>5</v>
      </c>
      <c r="O44" s="561">
        <v>32732</v>
      </c>
      <c r="P44" s="549">
        <v>0.84135307423401196</v>
      </c>
      <c r="Q44" s="562">
        <v>6546.4</v>
      </c>
    </row>
    <row r="45" spans="1:17" ht="14.4" customHeight="1" x14ac:dyDescent="0.3">
      <c r="A45" s="543" t="s">
        <v>1252</v>
      </c>
      <c r="B45" s="544" t="s">
        <v>1128</v>
      </c>
      <c r="C45" s="544" t="s">
        <v>1136</v>
      </c>
      <c r="D45" s="544" t="s">
        <v>1143</v>
      </c>
      <c r="E45" s="544" t="s">
        <v>1144</v>
      </c>
      <c r="F45" s="561">
        <v>3</v>
      </c>
      <c r="G45" s="561">
        <v>7455</v>
      </c>
      <c r="H45" s="561">
        <v>1</v>
      </c>
      <c r="I45" s="561">
        <v>2485</v>
      </c>
      <c r="J45" s="561">
        <v>2</v>
      </c>
      <c r="K45" s="561">
        <v>4626</v>
      </c>
      <c r="L45" s="561">
        <v>0.62052313883299803</v>
      </c>
      <c r="M45" s="561">
        <v>2313</v>
      </c>
      <c r="N45" s="561">
        <v>3</v>
      </c>
      <c r="O45" s="561">
        <v>6955</v>
      </c>
      <c r="P45" s="549">
        <v>0.93293091884641177</v>
      </c>
      <c r="Q45" s="562">
        <v>2318.3333333333335</v>
      </c>
    </row>
    <row r="46" spans="1:17" ht="14.4" customHeight="1" x14ac:dyDescent="0.3">
      <c r="A46" s="543" t="s">
        <v>1252</v>
      </c>
      <c r="B46" s="544" t="s">
        <v>1128</v>
      </c>
      <c r="C46" s="544" t="s">
        <v>1136</v>
      </c>
      <c r="D46" s="544" t="s">
        <v>1147</v>
      </c>
      <c r="E46" s="544" t="s">
        <v>1148</v>
      </c>
      <c r="F46" s="561">
        <v>1</v>
      </c>
      <c r="G46" s="561">
        <v>318</v>
      </c>
      <c r="H46" s="561">
        <v>1</v>
      </c>
      <c r="I46" s="561">
        <v>318</v>
      </c>
      <c r="J46" s="561"/>
      <c r="K46" s="561"/>
      <c r="L46" s="561"/>
      <c r="M46" s="561"/>
      <c r="N46" s="561"/>
      <c r="O46" s="561"/>
      <c r="P46" s="549"/>
      <c r="Q46" s="562"/>
    </row>
    <row r="47" spans="1:17" ht="14.4" customHeight="1" x14ac:dyDescent="0.3">
      <c r="A47" s="543" t="s">
        <v>1252</v>
      </c>
      <c r="B47" s="544" t="s">
        <v>1128</v>
      </c>
      <c r="C47" s="544" t="s">
        <v>1136</v>
      </c>
      <c r="D47" s="544" t="s">
        <v>1137</v>
      </c>
      <c r="E47" s="544" t="s">
        <v>1138</v>
      </c>
      <c r="F47" s="561">
        <v>5</v>
      </c>
      <c r="G47" s="561">
        <v>1615</v>
      </c>
      <c r="H47" s="561">
        <v>1</v>
      </c>
      <c r="I47" s="561">
        <v>323</v>
      </c>
      <c r="J47" s="561">
        <v>2</v>
      </c>
      <c r="K47" s="561">
        <v>646</v>
      </c>
      <c r="L47" s="561">
        <v>0.4</v>
      </c>
      <c r="M47" s="561">
        <v>323</v>
      </c>
      <c r="N47" s="561">
        <v>5</v>
      </c>
      <c r="O47" s="561">
        <v>1627</v>
      </c>
      <c r="P47" s="549">
        <v>1.0074303405572755</v>
      </c>
      <c r="Q47" s="562">
        <v>325.39999999999998</v>
      </c>
    </row>
    <row r="48" spans="1:17" ht="14.4" customHeight="1" x14ac:dyDescent="0.3">
      <c r="A48" s="543" t="s">
        <v>1252</v>
      </c>
      <c r="B48" s="544" t="s">
        <v>1128</v>
      </c>
      <c r="C48" s="544" t="s">
        <v>1136</v>
      </c>
      <c r="D48" s="544" t="s">
        <v>1151</v>
      </c>
      <c r="E48" s="544" t="s">
        <v>1152</v>
      </c>
      <c r="F48" s="561">
        <v>2</v>
      </c>
      <c r="G48" s="561">
        <v>0</v>
      </c>
      <c r="H48" s="561"/>
      <c r="I48" s="561">
        <v>0</v>
      </c>
      <c r="J48" s="561">
        <v>1</v>
      </c>
      <c r="K48" s="561">
        <v>0</v>
      </c>
      <c r="L48" s="561"/>
      <c r="M48" s="561">
        <v>0</v>
      </c>
      <c r="N48" s="561">
        <v>1</v>
      </c>
      <c r="O48" s="561">
        <v>0</v>
      </c>
      <c r="P48" s="549"/>
      <c r="Q48" s="562">
        <v>0</v>
      </c>
    </row>
    <row r="49" spans="1:17" ht="14.4" customHeight="1" x14ac:dyDescent="0.3">
      <c r="A49" s="543" t="s">
        <v>1252</v>
      </c>
      <c r="B49" s="544" t="s">
        <v>1128</v>
      </c>
      <c r="C49" s="544" t="s">
        <v>1136</v>
      </c>
      <c r="D49" s="544" t="s">
        <v>1153</v>
      </c>
      <c r="E49" s="544" t="s">
        <v>1154</v>
      </c>
      <c r="F49" s="561">
        <v>15</v>
      </c>
      <c r="G49" s="561">
        <v>24090</v>
      </c>
      <c r="H49" s="561">
        <v>1</v>
      </c>
      <c r="I49" s="561">
        <v>1606</v>
      </c>
      <c r="J49" s="561">
        <v>7</v>
      </c>
      <c r="K49" s="561">
        <v>10052</v>
      </c>
      <c r="L49" s="561">
        <v>0.41726857617268576</v>
      </c>
      <c r="M49" s="561">
        <v>1436</v>
      </c>
      <c r="N49" s="561">
        <v>19</v>
      </c>
      <c r="O49" s="561">
        <v>27372</v>
      </c>
      <c r="P49" s="549">
        <v>1.1362391033623911</v>
      </c>
      <c r="Q49" s="562">
        <v>1440.6315789473683</v>
      </c>
    </row>
    <row r="50" spans="1:17" ht="14.4" customHeight="1" x14ac:dyDescent="0.3">
      <c r="A50" s="543" t="s">
        <v>1252</v>
      </c>
      <c r="B50" s="544" t="s">
        <v>1128</v>
      </c>
      <c r="C50" s="544" t="s">
        <v>1136</v>
      </c>
      <c r="D50" s="544" t="s">
        <v>1155</v>
      </c>
      <c r="E50" s="544" t="s">
        <v>1156</v>
      </c>
      <c r="F50" s="561"/>
      <c r="G50" s="561"/>
      <c r="H50" s="561"/>
      <c r="I50" s="561"/>
      <c r="J50" s="561">
        <v>6</v>
      </c>
      <c r="K50" s="561">
        <v>212</v>
      </c>
      <c r="L50" s="561"/>
      <c r="M50" s="561">
        <v>35.333333333333336</v>
      </c>
      <c r="N50" s="561"/>
      <c r="O50" s="561"/>
      <c r="P50" s="549"/>
      <c r="Q50" s="562"/>
    </row>
    <row r="51" spans="1:17" ht="14.4" customHeight="1" x14ac:dyDescent="0.3">
      <c r="A51" s="543" t="s">
        <v>1252</v>
      </c>
      <c r="B51" s="544" t="s">
        <v>1175</v>
      </c>
      <c r="C51" s="544" t="s">
        <v>1136</v>
      </c>
      <c r="D51" s="544" t="s">
        <v>1176</v>
      </c>
      <c r="E51" s="544" t="s">
        <v>1177</v>
      </c>
      <c r="F51" s="561"/>
      <c r="G51" s="561"/>
      <c r="H51" s="561"/>
      <c r="I51" s="561"/>
      <c r="J51" s="561">
        <v>1</v>
      </c>
      <c r="K51" s="561">
        <v>438</v>
      </c>
      <c r="L51" s="561"/>
      <c r="M51" s="561">
        <v>438</v>
      </c>
      <c r="N51" s="561"/>
      <c r="O51" s="561"/>
      <c r="P51" s="549"/>
      <c r="Q51" s="562"/>
    </row>
    <row r="52" spans="1:17" ht="14.4" customHeight="1" x14ac:dyDescent="0.3">
      <c r="A52" s="543" t="s">
        <v>1252</v>
      </c>
      <c r="B52" s="544" t="s">
        <v>1175</v>
      </c>
      <c r="C52" s="544" t="s">
        <v>1136</v>
      </c>
      <c r="D52" s="544" t="s">
        <v>1188</v>
      </c>
      <c r="E52" s="544" t="s">
        <v>1189</v>
      </c>
      <c r="F52" s="561">
        <v>1</v>
      </c>
      <c r="G52" s="561">
        <v>640</v>
      </c>
      <c r="H52" s="561">
        <v>1</v>
      </c>
      <c r="I52" s="561">
        <v>640</v>
      </c>
      <c r="J52" s="561">
        <v>2</v>
      </c>
      <c r="K52" s="561">
        <v>1284</v>
      </c>
      <c r="L52" s="561">
        <v>2.0062500000000001</v>
      </c>
      <c r="M52" s="561">
        <v>642</v>
      </c>
      <c r="N52" s="561"/>
      <c r="O52" s="561"/>
      <c r="P52" s="549"/>
      <c r="Q52" s="562"/>
    </row>
    <row r="53" spans="1:17" ht="14.4" customHeight="1" x14ac:dyDescent="0.3">
      <c r="A53" s="543" t="s">
        <v>1252</v>
      </c>
      <c r="B53" s="544" t="s">
        <v>1200</v>
      </c>
      <c r="C53" s="544" t="s">
        <v>1136</v>
      </c>
      <c r="D53" s="544" t="s">
        <v>1203</v>
      </c>
      <c r="E53" s="544" t="s">
        <v>1204</v>
      </c>
      <c r="F53" s="561">
        <v>4</v>
      </c>
      <c r="G53" s="561">
        <v>1180</v>
      </c>
      <c r="H53" s="561">
        <v>1</v>
      </c>
      <c r="I53" s="561">
        <v>295</v>
      </c>
      <c r="J53" s="561">
        <v>2</v>
      </c>
      <c r="K53" s="561">
        <v>594</v>
      </c>
      <c r="L53" s="561">
        <v>0.50338983050847452</v>
      </c>
      <c r="M53" s="561">
        <v>297</v>
      </c>
      <c r="N53" s="561">
        <v>4</v>
      </c>
      <c r="O53" s="561">
        <v>1200</v>
      </c>
      <c r="P53" s="549">
        <v>1.0169491525423728</v>
      </c>
      <c r="Q53" s="562">
        <v>300</v>
      </c>
    </row>
    <row r="54" spans="1:17" ht="14.4" customHeight="1" x14ac:dyDescent="0.3">
      <c r="A54" s="543" t="s">
        <v>1252</v>
      </c>
      <c r="B54" s="544" t="s">
        <v>1200</v>
      </c>
      <c r="C54" s="544" t="s">
        <v>1136</v>
      </c>
      <c r="D54" s="544" t="s">
        <v>1253</v>
      </c>
      <c r="E54" s="544" t="s">
        <v>1254</v>
      </c>
      <c r="F54" s="561"/>
      <c r="G54" s="561"/>
      <c r="H54" s="561"/>
      <c r="I54" s="561"/>
      <c r="J54" s="561"/>
      <c r="K54" s="561"/>
      <c r="L54" s="561"/>
      <c r="M54" s="561"/>
      <c r="N54" s="561">
        <v>1</v>
      </c>
      <c r="O54" s="561">
        <v>6276</v>
      </c>
      <c r="P54" s="549"/>
      <c r="Q54" s="562">
        <v>6276</v>
      </c>
    </row>
    <row r="55" spans="1:17" ht="14.4" customHeight="1" x14ac:dyDescent="0.3">
      <c r="A55" s="543" t="s">
        <v>1252</v>
      </c>
      <c r="B55" s="544" t="s">
        <v>1200</v>
      </c>
      <c r="C55" s="544" t="s">
        <v>1136</v>
      </c>
      <c r="D55" s="544" t="s">
        <v>1205</v>
      </c>
      <c r="E55" s="544" t="s">
        <v>1206</v>
      </c>
      <c r="F55" s="561">
        <v>9</v>
      </c>
      <c r="G55" s="561">
        <v>11124</v>
      </c>
      <c r="H55" s="561">
        <v>1</v>
      </c>
      <c r="I55" s="561">
        <v>1236</v>
      </c>
      <c r="J55" s="561">
        <v>14</v>
      </c>
      <c r="K55" s="561">
        <v>17430</v>
      </c>
      <c r="L55" s="561">
        <v>1.5668824163969794</v>
      </c>
      <c r="M55" s="561">
        <v>1245</v>
      </c>
      <c r="N55" s="561">
        <v>20</v>
      </c>
      <c r="O55" s="561">
        <v>25108</v>
      </c>
      <c r="P55" s="549">
        <v>2.2571017619561311</v>
      </c>
      <c r="Q55" s="562">
        <v>1255.4000000000001</v>
      </c>
    </row>
    <row r="56" spans="1:17" ht="14.4" customHeight="1" x14ac:dyDescent="0.3">
      <c r="A56" s="543" t="s">
        <v>1252</v>
      </c>
      <c r="B56" s="544" t="s">
        <v>1200</v>
      </c>
      <c r="C56" s="544" t="s">
        <v>1136</v>
      </c>
      <c r="D56" s="544" t="s">
        <v>1207</v>
      </c>
      <c r="E56" s="544" t="s">
        <v>1208</v>
      </c>
      <c r="F56" s="561"/>
      <c r="G56" s="561"/>
      <c r="H56" s="561"/>
      <c r="I56" s="561"/>
      <c r="J56" s="561"/>
      <c r="K56" s="561"/>
      <c r="L56" s="561"/>
      <c r="M56" s="561"/>
      <c r="N56" s="561">
        <v>1</v>
      </c>
      <c r="O56" s="561">
        <v>9337</v>
      </c>
      <c r="P56" s="549"/>
      <c r="Q56" s="562">
        <v>9337</v>
      </c>
    </row>
    <row r="57" spans="1:17" ht="14.4" customHeight="1" x14ac:dyDescent="0.3">
      <c r="A57" s="543" t="s">
        <v>1252</v>
      </c>
      <c r="B57" s="544" t="s">
        <v>1200</v>
      </c>
      <c r="C57" s="544" t="s">
        <v>1136</v>
      </c>
      <c r="D57" s="544" t="s">
        <v>1213</v>
      </c>
      <c r="E57" s="544" t="s">
        <v>1214</v>
      </c>
      <c r="F57" s="561">
        <v>66</v>
      </c>
      <c r="G57" s="561">
        <v>146586</v>
      </c>
      <c r="H57" s="561">
        <v>1</v>
      </c>
      <c r="I57" s="561">
        <v>2221</v>
      </c>
      <c r="J57" s="561">
        <v>40</v>
      </c>
      <c r="K57" s="561">
        <v>89320</v>
      </c>
      <c r="L57" s="561">
        <v>0.60933513432387809</v>
      </c>
      <c r="M57" s="561">
        <v>2233</v>
      </c>
      <c r="N57" s="561">
        <v>39</v>
      </c>
      <c r="O57" s="561">
        <v>87843</v>
      </c>
      <c r="P57" s="549">
        <v>0.59925913798043473</v>
      </c>
      <c r="Q57" s="562">
        <v>2252.3846153846152</v>
      </c>
    </row>
    <row r="58" spans="1:17" ht="14.4" customHeight="1" x14ac:dyDescent="0.3">
      <c r="A58" s="543" t="s">
        <v>1252</v>
      </c>
      <c r="B58" s="544" t="s">
        <v>1200</v>
      </c>
      <c r="C58" s="544" t="s">
        <v>1136</v>
      </c>
      <c r="D58" s="544" t="s">
        <v>1219</v>
      </c>
      <c r="E58" s="544" t="s">
        <v>1220</v>
      </c>
      <c r="F58" s="561">
        <v>4</v>
      </c>
      <c r="G58" s="561">
        <v>25936</v>
      </c>
      <c r="H58" s="561">
        <v>1</v>
      </c>
      <c r="I58" s="561">
        <v>6484</v>
      </c>
      <c r="J58" s="561">
        <v>2</v>
      </c>
      <c r="K58" s="561">
        <v>13028</v>
      </c>
      <c r="L58" s="561">
        <v>0.50231338679827264</v>
      </c>
      <c r="M58" s="561">
        <v>6514</v>
      </c>
      <c r="N58" s="561">
        <v>4</v>
      </c>
      <c r="O58" s="561">
        <v>26218</v>
      </c>
      <c r="P58" s="549">
        <v>1.0108729179518816</v>
      </c>
      <c r="Q58" s="562">
        <v>6554.5</v>
      </c>
    </row>
    <row r="59" spans="1:17" ht="14.4" customHeight="1" x14ac:dyDescent="0.3">
      <c r="A59" s="543" t="s">
        <v>1252</v>
      </c>
      <c r="B59" s="544" t="s">
        <v>1200</v>
      </c>
      <c r="C59" s="544" t="s">
        <v>1136</v>
      </c>
      <c r="D59" s="544" t="s">
        <v>1227</v>
      </c>
      <c r="E59" s="544" t="s">
        <v>1228</v>
      </c>
      <c r="F59" s="561"/>
      <c r="G59" s="561"/>
      <c r="H59" s="561"/>
      <c r="I59" s="561"/>
      <c r="J59" s="561"/>
      <c r="K59" s="561"/>
      <c r="L59" s="561"/>
      <c r="M59" s="561"/>
      <c r="N59" s="561">
        <v>1</v>
      </c>
      <c r="O59" s="561">
        <v>1020</v>
      </c>
      <c r="P59" s="549"/>
      <c r="Q59" s="562">
        <v>1020</v>
      </c>
    </row>
    <row r="60" spans="1:17" ht="14.4" customHeight="1" x14ac:dyDescent="0.3">
      <c r="A60" s="543" t="s">
        <v>1255</v>
      </c>
      <c r="B60" s="544" t="s">
        <v>1128</v>
      </c>
      <c r="C60" s="544" t="s">
        <v>1136</v>
      </c>
      <c r="D60" s="544" t="s">
        <v>1153</v>
      </c>
      <c r="E60" s="544" t="s">
        <v>1154</v>
      </c>
      <c r="F60" s="561">
        <v>3</v>
      </c>
      <c r="G60" s="561">
        <v>4818</v>
      </c>
      <c r="H60" s="561">
        <v>1</v>
      </c>
      <c r="I60" s="561">
        <v>1606</v>
      </c>
      <c r="J60" s="561"/>
      <c r="K60" s="561"/>
      <c r="L60" s="561"/>
      <c r="M60" s="561"/>
      <c r="N60" s="561"/>
      <c r="O60" s="561"/>
      <c r="P60" s="549"/>
      <c r="Q60" s="562"/>
    </row>
    <row r="61" spans="1:17" ht="14.4" customHeight="1" x14ac:dyDescent="0.3">
      <c r="A61" s="543" t="s">
        <v>1255</v>
      </c>
      <c r="B61" s="544" t="s">
        <v>1200</v>
      </c>
      <c r="C61" s="544" t="s">
        <v>1136</v>
      </c>
      <c r="D61" s="544" t="s">
        <v>1205</v>
      </c>
      <c r="E61" s="544" t="s">
        <v>1206</v>
      </c>
      <c r="F61" s="561">
        <v>3</v>
      </c>
      <c r="G61" s="561">
        <v>3708</v>
      </c>
      <c r="H61" s="561">
        <v>1</v>
      </c>
      <c r="I61" s="561">
        <v>1236</v>
      </c>
      <c r="J61" s="561"/>
      <c r="K61" s="561"/>
      <c r="L61" s="561"/>
      <c r="M61" s="561"/>
      <c r="N61" s="561"/>
      <c r="O61" s="561"/>
      <c r="P61" s="549"/>
      <c r="Q61" s="562"/>
    </row>
    <row r="62" spans="1:17" ht="14.4" customHeight="1" x14ac:dyDescent="0.3">
      <c r="A62" s="543" t="s">
        <v>1255</v>
      </c>
      <c r="B62" s="544" t="s">
        <v>1200</v>
      </c>
      <c r="C62" s="544" t="s">
        <v>1136</v>
      </c>
      <c r="D62" s="544" t="s">
        <v>1213</v>
      </c>
      <c r="E62" s="544" t="s">
        <v>1214</v>
      </c>
      <c r="F62" s="561">
        <v>18</v>
      </c>
      <c r="G62" s="561">
        <v>39978</v>
      </c>
      <c r="H62" s="561">
        <v>1</v>
      </c>
      <c r="I62" s="561">
        <v>2221</v>
      </c>
      <c r="J62" s="561"/>
      <c r="K62" s="561"/>
      <c r="L62" s="561"/>
      <c r="M62" s="561"/>
      <c r="N62" s="561"/>
      <c r="O62" s="561"/>
      <c r="P62" s="549"/>
      <c r="Q62" s="562"/>
    </row>
    <row r="63" spans="1:17" ht="14.4" customHeight="1" x14ac:dyDescent="0.3">
      <c r="A63" s="543" t="s">
        <v>1256</v>
      </c>
      <c r="B63" s="544" t="s">
        <v>1128</v>
      </c>
      <c r="C63" s="544" t="s">
        <v>1136</v>
      </c>
      <c r="D63" s="544" t="s">
        <v>1143</v>
      </c>
      <c r="E63" s="544" t="s">
        <v>1144</v>
      </c>
      <c r="F63" s="561">
        <v>3</v>
      </c>
      <c r="G63" s="561">
        <v>7455</v>
      </c>
      <c r="H63" s="561">
        <v>1</v>
      </c>
      <c r="I63" s="561">
        <v>2485</v>
      </c>
      <c r="J63" s="561">
        <v>3</v>
      </c>
      <c r="K63" s="561">
        <v>6939</v>
      </c>
      <c r="L63" s="561">
        <v>0.93078470824949699</v>
      </c>
      <c r="M63" s="561">
        <v>2313</v>
      </c>
      <c r="N63" s="561">
        <v>2</v>
      </c>
      <c r="O63" s="561">
        <v>4658</v>
      </c>
      <c r="P63" s="549">
        <v>0.62481556002682759</v>
      </c>
      <c r="Q63" s="562">
        <v>2329</v>
      </c>
    </row>
    <row r="64" spans="1:17" ht="14.4" customHeight="1" x14ac:dyDescent="0.3">
      <c r="A64" s="543" t="s">
        <v>1256</v>
      </c>
      <c r="B64" s="544" t="s">
        <v>1128</v>
      </c>
      <c r="C64" s="544" t="s">
        <v>1136</v>
      </c>
      <c r="D64" s="544" t="s">
        <v>1137</v>
      </c>
      <c r="E64" s="544" t="s">
        <v>1138</v>
      </c>
      <c r="F64" s="561">
        <v>2</v>
      </c>
      <c r="G64" s="561">
        <v>646</v>
      </c>
      <c r="H64" s="561">
        <v>1</v>
      </c>
      <c r="I64" s="561">
        <v>323</v>
      </c>
      <c r="J64" s="561">
        <v>2</v>
      </c>
      <c r="K64" s="561">
        <v>646</v>
      </c>
      <c r="L64" s="561">
        <v>1</v>
      </c>
      <c r="M64" s="561">
        <v>323</v>
      </c>
      <c r="N64" s="561">
        <v>2</v>
      </c>
      <c r="O64" s="561">
        <v>652</v>
      </c>
      <c r="P64" s="549">
        <v>1.0092879256965945</v>
      </c>
      <c r="Q64" s="562">
        <v>326</v>
      </c>
    </row>
    <row r="65" spans="1:17" ht="14.4" customHeight="1" x14ac:dyDescent="0.3">
      <c r="A65" s="543" t="s">
        <v>1256</v>
      </c>
      <c r="B65" s="544" t="s">
        <v>1128</v>
      </c>
      <c r="C65" s="544" t="s">
        <v>1136</v>
      </c>
      <c r="D65" s="544" t="s">
        <v>1151</v>
      </c>
      <c r="E65" s="544" t="s">
        <v>1152</v>
      </c>
      <c r="F65" s="561">
        <v>4</v>
      </c>
      <c r="G65" s="561">
        <v>0</v>
      </c>
      <c r="H65" s="561"/>
      <c r="I65" s="561">
        <v>0</v>
      </c>
      <c r="J65" s="561">
        <v>14</v>
      </c>
      <c r="K65" s="561">
        <v>0</v>
      </c>
      <c r="L65" s="561"/>
      <c r="M65" s="561">
        <v>0</v>
      </c>
      <c r="N65" s="561">
        <v>5</v>
      </c>
      <c r="O65" s="561">
        <v>0</v>
      </c>
      <c r="P65" s="549"/>
      <c r="Q65" s="562">
        <v>0</v>
      </c>
    </row>
    <row r="66" spans="1:17" ht="14.4" customHeight="1" x14ac:dyDescent="0.3">
      <c r="A66" s="543" t="s">
        <v>1256</v>
      </c>
      <c r="B66" s="544" t="s">
        <v>1128</v>
      </c>
      <c r="C66" s="544" t="s">
        <v>1136</v>
      </c>
      <c r="D66" s="544" t="s">
        <v>1153</v>
      </c>
      <c r="E66" s="544" t="s">
        <v>1154</v>
      </c>
      <c r="F66" s="561">
        <v>14</v>
      </c>
      <c r="G66" s="561">
        <v>22484</v>
      </c>
      <c r="H66" s="561">
        <v>1</v>
      </c>
      <c r="I66" s="561">
        <v>1606</v>
      </c>
      <c r="J66" s="561">
        <v>26</v>
      </c>
      <c r="K66" s="561">
        <v>37336</v>
      </c>
      <c r="L66" s="561">
        <v>1.6605586194627291</v>
      </c>
      <c r="M66" s="561">
        <v>1436</v>
      </c>
      <c r="N66" s="561">
        <v>21</v>
      </c>
      <c r="O66" s="561">
        <v>30252</v>
      </c>
      <c r="P66" s="549">
        <v>1.345490126312044</v>
      </c>
      <c r="Q66" s="562">
        <v>1440.5714285714287</v>
      </c>
    </row>
    <row r="67" spans="1:17" ht="14.4" customHeight="1" x14ac:dyDescent="0.3">
      <c r="A67" s="543" t="s">
        <v>1256</v>
      </c>
      <c r="B67" s="544" t="s">
        <v>1128</v>
      </c>
      <c r="C67" s="544" t="s">
        <v>1136</v>
      </c>
      <c r="D67" s="544" t="s">
        <v>1155</v>
      </c>
      <c r="E67" s="544" t="s">
        <v>1156</v>
      </c>
      <c r="F67" s="561"/>
      <c r="G67" s="561"/>
      <c r="H67" s="561"/>
      <c r="I67" s="561"/>
      <c r="J67" s="561">
        <v>0</v>
      </c>
      <c r="K67" s="561">
        <v>0</v>
      </c>
      <c r="L67" s="561"/>
      <c r="M67" s="561"/>
      <c r="N67" s="561"/>
      <c r="O67" s="561"/>
      <c r="P67" s="549"/>
      <c r="Q67" s="562"/>
    </row>
    <row r="68" spans="1:17" ht="14.4" customHeight="1" x14ac:dyDescent="0.3">
      <c r="A68" s="543" t="s">
        <v>1256</v>
      </c>
      <c r="B68" s="544" t="s">
        <v>1200</v>
      </c>
      <c r="C68" s="544" t="s">
        <v>1136</v>
      </c>
      <c r="D68" s="544" t="s">
        <v>1203</v>
      </c>
      <c r="E68" s="544" t="s">
        <v>1204</v>
      </c>
      <c r="F68" s="561"/>
      <c r="G68" s="561"/>
      <c r="H68" s="561"/>
      <c r="I68" s="561"/>
      <c r="J68" s="561"/>
      <c r="K68" s="561"/>
      <c r="L68" s="561"/>
      <c r="M68" s="561"/>
      <c r="N68" s="561">
        <v>1</v>
      </c>
      <c r="O68" s="561">
        <v>301</v>
      </c>
      <c r="P68" s="549"/>
      <c r="Q68" s="562">
        <v>301</v>
      </c>
    </row>
    <row r="69" spans="1:17" ht="14.4" customHeight="1" x14ac:dyDescent="0.3">
      <c r="A69" s="543" t="s">
        <v>1256</v>
      </c>
      <c r="B69" s="544" t="s">
        <v>1200</v>
      </c>
      <c r="C69" s="544" t="s">
        <v>1136</v>
      </c>
      <c r="D69" s="544" t="s">
        <v>1205</v>
      </c>
      <c r="E69" s="544" t="s">
        <v>1206</v>
      </c>
      <c r="F69" s="561">
        <v>16</v>
      </c>
      <c r="G69" s="561">
        <v>19776</v>
      </c>
      <c r="H69" s="561">
        <v>1</v>
      </c>
      <c r="I69" s="561">
        <v>1236</v>
      </c>
      <c r="J69" s="561">
        <v>25</v>
      </c>
      <c r="K69" s="561">
        <v>31125</v>
      </c>
      <c r="L69" s="561">
        <v>1.573877427184466</v>
      </c>
      <c r="M69" s="561">
        <v>1245</v>
      </c>
      <c r="N69" s="561">
        <v>21</v>
      </c>
      <c r="O69" s="561">
        <v>26321</v>
      </c>
      <c r="P69" s="549">
        <v>1.3309567152103561</v>
      </c>
      <c r="Q69" s="562">
        <v>1253.3809523809523</v>
      </c>
    </row>
    <row r="70" spans="1:17" ht="14.4" customHeight="1" x14ac:dyDescent="0.3">
      <c r="A70" s="543" t="s">
        <v>1256</v>
      </c>
      <c r="B70" s="544" t="s">
        <v>1200</v>
      </c>
      <c r="C70" s="544" t="s">
        <v>1136</v>
      </c>
      <c r="D70" s="544" t="s">
        <v>1213</v>
      </c>
      <c r="E70" s="544" t="s">
        <v>1214</v>
      </c>
      <c r="F70" s="561">
        <v>10</v>
      </c>
      <c r="G70" s="561">
        <v>22210</v>
      </c>
      <c r="H70" s="561">
        <v>1</v>
      </c>
      <c r="I70" s="561">
        <v>2221</v>
      </c>
      <c r="J70" s="561">
        <v>14</v>
      </c>
      <c r="K70" s="561">
        <v>31262</v>
      </c>
      <c r="L70" s="561">
        <v>1.4075641602881586</v>
      </c>
      <c r="M70" s="561">
        <v>2233</v>
      </c>
      <c r="N70" s="561">
        <v>12</v>
      </c>
      <c r="O70" s="561">
        <v>27048</v>
      </c>
      <c r="P70" s="549">
        <v>1.2178298063935165</v>
      </c>
      <c r="Q70" s="562">
        <v>2254</v>
      </c>
    </row>
    <row r="71" spans="1:17" ht="14.4" customHeight="1" x14ac:dyDescent="0.3">
      <c r="A71" s="543" t="s">
        <v>1256</v>
      </c>
      <c r="B71" s="544" t="s">
        <v>1200</v>
      </c>
      <c r="C71" s="544" t="s">
        <v>1136</v>
      </c>
      <c r="D71" s="544" t="s">
        <v>1219</v>
      </c>
      <c r="E71" s="544" t="s">
        <v>1220</v>
      </c>
      <c r="F71" s="561"/>
      <c r="G71" s="561"/>
      <c r="H71" s="561"/>
      <c r="I71" s="561"/>
      <c r="J71" s="561"/>
      <c r="K71" s="561"/>
      <c r="L71" s="561"/>
      <c r="M71" s="561"/>
      <c r="N71" s="561">
        <v>1</v>
      </c>
      <c r="O71" s="561">
        <v>6568</v>
      </c>
      <c r="P71" s="549"/>
      <c r="Q71" s="562">
        <v>6568</v>
      </c>
    </row>
    <row r="72" spans="1:17" ht="14.4" customHeight="1" x14ac:dyDescent="0.3">
      <c r="A72" s="543" t="s">
        <v>1257</v>
      </c>
      <c r="B72" s="544" t="s">
        <v>1175</v>
      </c>
      <c r="C72" s="544" t="s">
        <v>1136</v>
      </c>
      <c r="D72" s="544" t="s">
        <v>1176</v>
      </c>
      <c r="E72" s="544" t="s">
        <v>1177</v>
      </c>
      <c r="F72" s="561">
        <v>1</v>
      </c>
      <c r="G72" s="561">
        <v>437</v>
      </c>
      <c r="H72" s="561">
        <v>1</v>
      </c>
      <c r="I72" s="561">
        <v>437</v>
      </c>
      <c r="J72" s="561"/>
      <c r="K72" s="561"/>
      <c r="L72" s="561"/>
      <c r="M72" s="561"/>
      <c r="N72" s="561"/>
      <c r="O72" s="561"/>
      <c r="P72" s="549"/>
      <c r="Q72" s="562"/>
    </row>
    <row r="73" spans="1:17" ht="14.4" customHeight="1" x14ac:dyDescent="0.3">
      <c r="A73" s="543" t="s">
        <v>1257</v>
      </c>
      <c r="B73" s="544" t="s">
        <v>1175</v>
      </c>
      <c r="C73" s="544" t="s">
        <v>1136</v>
      </c>
      <c r="D73" s="544" t="s">
        <v>1188</v>
      </c>
      <c r="E73" s="544" t="s">
        <v>1189</v>
      </c>
      <c r="F73" s="561">
        <v>1</v>
      </c>
      <c r="G73" s="561">
        <v>640</v>
      </c>
      <c r="H73" s="561">
        <v>1</v>
      </c>
      <c r="I73" s="561">
        <v>640</v>
      </c>
      <c r="J73" s="561"/>
      <c r="K73" s="561"/>
      <c r="L73" s="561"/>
      <c r="M73" s="561"/>
      <c r="N73" s="561"/>
      <c r="O73" s="561"/>
      <c r="P73" s="549"/>
      <c r="Q73" s="562"/>
    </row>
    <row r="74" spans="1:17" ht="14.4" customHeight="1" x14ac:dyDescent="0.3">
      <c r="A74" s="543" t="s">
        <v>1258</v>
      </c>
      <c r="B74" s="544" t="s">
        <v>1128</v>
      </c>
      <c r="C74" s="544" t="s">
        <v>1136</v>
      </c>
      <c r="D74" s="544" t="s">
        <v>1151</v>
      </c>
      <c r="E74" s="544" t="s">
        <v>1152</v>
      </c>
      <c r="F74" s="561">
        <v>1</v>
      </c>
      <c r="G74" s="561">
        <v>0</v>
      </c>
      <c r="H74" s="561"/>
      <c r="I74" s="561">
        <v>0</v>
      </c>
      <c r="J74" s="561">
        <v>1</v>
      </c>
      <c r="K74" s="561">
        <v>0</v>
      </c>
      <c r="L74" s="561"/>
      <c r="M74" s="561">
        <v>0</v>
      </c>
      <c r="N74" s="561"/>
      <c r="O74" s="561"/>
      <c r="P74" s="549"/>
      <c r="Q74" s="562"/>
    </row>
    <row r="75" spans="1:17" ht="14.4" customHeight="1" x14ac:dyDescent="0.3">
      <c r="A75" s="543" t="s">
        <v>1258</v>
      </c>
      <c r="B75" s="544" t="s">
        <v>1128</v>
      </c>
      <c r="C75" s="544" t="s">
        <v>1136</v>
      </c>
      <c r="D75" s="544" t="s">
        <v>1153</v>
      </c>
      <c r="E75" s="544" t="s">
        <v>1154</v>
      </c>
      <c r="F75" s="561">
        <v>2</v>
      </c>
      <c r="G75" s="561">
        <v>3212</v>
      </c>
      <c r="H75" s="561">
        <v>1</v>
      </c>
      <c r="I75" s="561">
        <v>1606</v>
      </c>
      <c r="J75" s="561">
        <v>1</v>
      </c>
      <c r="K75" s="561">
        <v>1436</v>
      </c>
      <c r="L75" s="561">
        <v>0.44707347447073476</v>
      </c>
      <c r="M75" s="561">
        <v>1436</v>
      </c>
      <c r="N75" s="561">
        <v>1</v>
      </c>
      <c r="O75" s="561">
        <v>1436</v>
      </c>
      <c r="P75" s="549">
        <v>0.44707347447073476</v>
      </c>
      <c r="Q75" s="562">
        <v>1436</v>
      </c>
    </row>
    <row r="76" spans="1:17" ht="14.4" customHeight="1" x14ac:dyDescent="0.3">
      <c r="A76" s="543" t="s">
        <v>1258</v>
      </c>
      <c r="B76" s="544" t="s">
        <v>1200</v>
      </c>
      <c r="C76" s="544" t="s">
        <v>1136</v>
      </c>
      <c r="D76" s="544" t="s">
        <v>1205</v>
      </c>
      <c r="E76" s="544" t="s">
        <v>1206</v>
      </c>
      <c r="F76" s="561">
        <v>4</v>
      </c>
      <c r="G76" s="561">
        <v>4944</v>
      </c>
      <c r="H76" s="561">
        <v>1</v>
      </c>
      <c r="I76" s="561">
        <v>1236</v>
      </c>
      <c r="J76" s="561"/>
      <c r="K76" s="561"/>
      <c r="L76" s="561"/>
      <c r="M76" s="561"/>
      <c r="N76" s="561"/>
      <c r="O76" s="561"/>
      <c r="P76" s="549"/>
      <c r="Q76" s="562"/>
    </row>
    <row r="77" spans="1:17" ht="14.4" customHeight="1" x14ac:dyDescent="0.3">
      <c r="A77" s="543" t="s">
        <v>470</v>
      </c>
      <c r="B77" s="544" t="s">
        <v>1175</v>
      </c>
      <c r="C77" s="544" t="s">
        <v>1129</v>
      </c>
      <c r="D77" s="544" t="s">
        <v>1132</v>
      </c>
      <c r="E77" s="544" t="s">
        <v>562</v>
      </c>
      <c r="F77" s="561">
        <v>-1</v>
      </c>
      <c r="G77" s="561">
        <v>-568.37</v>
      </c>
      <c r="H77" s="561">
        <v>1</v>
      </c>
      <c r="I77" s="561">
        <v>568.37</v>
      </c>
      <c r="J77" s="561"/>
      <c r="K77" s="561"/>
      <c r="L77" s="561"/>
      <c r="M77" s="561"/>
      <c r="N77" s="561"/>
      <c r="O77" s="561"/>
      <c r="P77" s="549"/>
      <c r="Q77" s="562"/>
    </row>
    <row r="78" spans="1:17" ht="14.4" customHeight="1" x14ac:dyDescent="0.3">
      <c r="A78" s="543" t="s">
        <v>1259</v>
      </c>
      <c r="B78" s="544" t="s">
        <v>1128</v>
      </c>
      <c r="C78" s="544" t="s">
        <v>1136</v>
      </c>
      <c r="D78" s="544" t="s">
        <v>1151</v>
      </c>
      <c r="E78" s="544" t="s">
        <v>1152</v>
      </c>
      <c r="F78" s="561">
        <v>1</v>
      </c>
      <c r="G78" s="561">
        <v>0</v>
      </c>
      <c r="H78" s="561"/>
      <c r="I78" s="561">
        <v>0</v>
      </c>
      <c r="J78" s="561"/>
      <c r="K78" s="561"/>
      <c r="L78" s="561"/>
      <c r="M78" s="561"/>
      <c r="N78" s="561"/>
      <c r="O78" s="561"/>
      <c r="P78" s="549"/>
      <c r="Q78" s="562"/>
    </row>
    <row r="79" spans="1:17" ht="14.4" customHeight="1" x14ac:dyDescent="0.3">
      <c r="A79" s="543" t="s">
        <v>1259</v>
      </c>
      <c r="B79" s="544" t="s">
        <v>1128</v>
      </c>
      <c r="C79" s="544" t="s">
        <v>1136</v>
      </c>
      <c r="D79" s="544" t="s">
        <v>1153</v>
      </c>
      <c r="E79" s="544" t="s">
        <v>1154</v>
      </c>
      <c r="F79" s="561">
        <v>1</v>
      </c>
      <c r="G79" s="561">
        <v>1606</v>
      </c>
      <c r="H79" s="561">
        <v>1</v>
      </c>
      <c r="I79" s="561">
        <v>1606</v>
      </c>
      <c r="J79" s="561"/>
      <c r="K79" s="561"/>
      <c r="L79" s="561"/>
      <c r="M79" s="561"/>
      <c r="N79" s="561"/>
      <c r="O79" s="561"/>
      <c r="P79" s="549"/>
      <c r="Q79" s="562"/>
    </row>
    <row r="80" spans="1:17" ht="14.4" customHeight="1" thickBot="1" x14ac:dyDescent="0.35">
      <c r="A80" s="551" t="s">
        <v>1259</v>
      </c>
      <c r="B80" s="552" t="s">
        <v>1200</v>
      </c>
      <c r="C80" s="552" t="s">
        <v>1136</v>
      </c>
      <c r="D80" s="552" t="s">
        <v>1205</v>
      </c>
      <c r="E80" s="552" t="s">
        <v>1206</v>
      </c>
      <c r="F80" s="563">
        <v>2</v>
      </c>
      <c r="G80" s="563">
        <v>2472</v>
      </c>
      <c r="H80" s="563">
        <v>1</v>
      </c>
      <c r="I80" s="563">
        <v>1236</v>
      </c>
      <c r="J80" s="563"/>
      <c r="K80" s="563"/>
      <c r="L80" s="563"/>
      <c r="M80" s="563"/>
      <c r="N80" s="563"/>
      <c r="O80" s="563"/>
      <c r="P80" s="557"/>
      <c r="Q80" s="56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138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281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2012</v>
      </c>
      <c r="C3" s="40">
        <v>2013</v>
      </c>
      <c r="D3" s="7"/>
      <c r="E3" s="331">
        <v>2014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59.375479999999996</v>
      </c>
      <c r="C5" s="29">
        <v>64.681609999999012</v>
      </c>
      <c r="D5" s="8"/>
      <c r="E5" s="117">
        <v>49.021500000000003</v>
      </c>
      <c r="F5" s="28">
        <v>62.539133011221331</v>
      </c>
      <c r="G5" s="116">
        <f>E5-F5</f>
        <v>-13.517633011221328</v>
      </c>
      <c r="H5" s="122">
        <f>IF(F5&lt;0.00000001,"",E5/F5)</f>
        <v>0.78385320741821163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1050.6260400000001</v>
      </c>
      <c r="C6" s="31">
        <v>1322.5654399999989</v>
      </c>
      <c r="D6" s="8"/>
      <c r="E6" s="118">
        <v>1836.5858800000008</v>
      </c>
      <c r="F6" s="30">
        <v>2935.6326304777181</v>
      </c>
      <c r="G6" s="119">
        <f>E6-F6</f>
        <v>-1099.0467504777173</v>
      </c>
      <c r="H6" s="123">
        <f>IF(F6&lt;0.00000001,"",E6/F6)</f>
        <v>0.625618430907389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9171.1537199999984</v>
      </c>
      <c r="C7" s="31">
        <v>10034.260449999998</v>
      </c>
      <c r="D7" s="8"/>
      <c r="E7" s="118">
        <v>9678.607520000005</v>
      </c>
      <c r="F7" s="30">
        <v>10069.38311639996</v>
      </c>
      <c r="G7" s="119">
        <f>E7-F7</f>
        <v>-390.77559639995525</v>
      </c>
      <c r="H7" s="123">
        <f>IF(F7&lt;0.00000001,"",E7/F7)</f>
        <v>0.96119170440903168</v>
      </c>
    </row>
    <row r="8" spans="1:8" ht="14.4" customHeight="1" thickBot="1" x14ac:dyDescent="0.35">
      <c r="A8" s="1" t="s">
        <v>76</v>
      </c>
      <c r="B8" s="11">
        <v>2720.8508100000013</v>
      </c>
      <c r="C8" s="33">
        <v>3056.0801600000018</v>
      </c>
      <c r="D8" s="8"/>
      <c r="E8" s="120">
        <v>3661.7299500000036</v>
      </c>
      <c r="F8" s="32">
        <v>3581.7272391412475</v>
      </c>
      <c r="G8" s="121">
        <f>E8-F8</f>
        <v>80.002710858756018</v>
      </c>
      <c r="H8" s="124">
        <f>IF(F8&lt;0.00000001,"",E8/F8)</f>
        <v>1.0223363493413131</v>
      </c>
    </row>
    <row r="9" spans="1:8" ht="14.4" customHeight="1" thickBot="1" x14ac:dyDescent="0.35">
      <c r="A9" s="2" t="s">
        <v>77</v>
      </c>
      <c r="B9" s="3">
        <v>13002.00605</v>
      </c>
      <c r="C9" s="35">
        <v>14477.587659999997</v>
      </c>
      <c r="D9" s="8"/>
      <c r="E9" s="3">
        <v>15225.944850000011</v>
      </c>
      <c r="F9" s="34">
        <v>16649.282119030147</v>
      </c>
      <c r="G9" s="34">
        <f>E9-F9</f>
        <v>-1423.3372690301367</v>
      </c>
      <c r="H9" s="125">
        <f>IF(F9&lt;0.00000001,"",E9/F9)</f>
        <v>0.91451059217722908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35533.455000000002</v>
      </c>
      <c r="C11" s="29">
        <f>IF(ISERROR(VLOOKUP("Celkem:",'ZV Vykáz.-A'!A:F,4,0)),0,VLOOKUP("Celkem:",'ZV Vykáz.-A'!A:F,4,0)/1000)</f>
        <v>36535.107000000004</v>
      </c>
      <c r="D11" s="8"/>
      <c r="E11" s="117">
        <f>IF(ISERROR(VLOOKUP("Celkem:",'ZV Vykáz.-A'!A:F,6,0)),0,VLOOKUP("Celkem:",'ZV Vykáz.-A'!A:F,6,0)/1000)</f>
        <v>42507.815999999999</v>
      </c>
      <c r="F11" s="28">
        <f>B11</f>
        <v>35533.455000000002</v>
      </c>
      <c r="G11" s="116">
        <f>E11-F11</f>
        <v>6974.3609999999971</v>
      </c>
      <c r="H11" s="122">
        <f>IF(F11&lt;0.00000001,"",E11/F11)</f>
        <v>1.1962759039333495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35533.455000000002</v>
      </c>
      <c r="C13" s="37">
        <f>SUM(C11:C12)</f>
        <v>36535.107000000004</v>
      </c>
      <c r="D13" s="8"/>
      <c r="E13" s="5">
        <f>SUM(E11:E12)</f>
        <v>42507.815999999999</v>
      </c>
      <c r="F13" s="36">
        <f>SUM(F11:F12)</f>
        <v>35533.455000000002</v>
      </c>
      <c r="G13" s="36">
        <f>E13-F13</f>
        <v>6974.3609999999971</v>
      </c>
      <c r="H13" s="126">
        <f>IF(F13&lt;0.00000001,"",E13/F13)</f>
        <v>1.1962759039333495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2.732920971068153</v>
      </c>
      <c r="C15" s="39">
        <f>IF(C9=0,"",C13/C9)</f>
        <v>2.523563169362983</v>
      </c>
      <c r="D15" s="8"/>
      <c r="E15" s="6">
        <f>IF(E9=0,"",E13/E9)</f>
        <v>2.7918015215981797</v>
      </c>
      <c r="F15" s="38">
        <f>IF(F9=0,"",F13/F9)</f>
        <v>2.1342334609962088</v>
      </c>
      <c r="G15" s="38">
        <f>IF(ISERROR(F15-E15),"",E15-F15)</f>
        <v>0.65756806060197093</v>
      </c>
      <c r="H15" s="127">
        <f>IF(ISERROR(F15-E15),"",IF(F15&lt;0.00000001,"",E15/F15))</f>
        <v>1.3081050281608058</v>
      </c>
    </row>
    <row r="17" spans="1:8" ht="14.4" customHeight="1" x14ac:dyDescent="0.3">
      <c r="A17" s="113" t="s">
        <v>162</v>
      </c>
    </row>
    <row r="18" spans="1:8" ht="14.4" customHeight="1" x14ac:dyDescent="0.3">
      <c r="A18" s="288" t="s">
        <v>224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223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278</v>
      </c>
    </row>
    <row r="21" spans="1:8" ht="14.4" customHeight="1" x14ac:dyDescent="0.3">
      <c r="A21" s="114" t="s">
        <v>163</v>
      </c>
    </row>
    <row r="22" spans="1:8" ht="14.4" customHeight="1" x14ac:dyDescent="0.3">
      <c r="A22" s="115" t="s">
        <v>164</v>
      </c>
    </row>
    <row r="23" spans="1:8" ht="14.4" customHeight="1" x14ac:dyDescent="0.3">
      <c r="A23" s="115" t="s">
        <v>165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281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2.2931335058609186</v>
      </c>
      <c r="C4" s="202">
        <f t="shared" ref="C4:M4" si="0">(C10+C8)/C6</f>
        <v>2.8253988406708408</v>
      </c>
      <c r="D4" s="202">
        <f t="shared" si="0"/>
        <v>2.7891891210703679</v>
      </c>
      <c r="E4" s="202">
        <f t="shared" si="0"/>
        <v>3.0486544568405605</v>
      </c>
      <c r="F4" s="202">
        <f t="shared" si="0"/>
        <v>3.3188495399565405</v>
      </c>
      <c r="G4" s="202">
        <f t="shared" si="0"/>
        <v>3.1407557789354925</v>
      </c>
      <c r="H4" s="202">
        <f t="shared" si="0"/>
        <v>2.9755006930138665</v>
      </c>
      <c r="I4" s="202">
        <f t="shared" si="0"/>
        <v>2.7918015215981797</v>
      </c>
      <c r="J4" s="202">
        <f t="shared" si="0"/>
        <v>2.7918015215981797</v>
      </c>
      <c r="K4" s="202">
        <f t="shared" si="0"/>
        <v>2.7918015215981797</v>
      </c>
      <c r="L4" s="202">
        <f t="shared" si="0"/>
        <v>2.7918015215981797</v>
      </c>
      <c r="M4" s="202">
        <f t="shared" si="0"/>
        <v>2.7918015215981797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1685.67813000001</v>
      </c>
      <c r="C5" s="202">
        <f>IF(ISERROR(VLOOKUP($A5,'Man Tab'!$A:$Q,COLUMN()+2,0)),0,VLOOKUP($A5,'Man Tab'!$A:$Q,COLUMN()+2,0))</f>
        <v>1651.2189000000001</v>
      </c>
      <c r="D5" s="202">
        <f>IF(ISERROR(VLOOKUP($A5,'Man Tab'!$A:$Q,COLUMN()+2,0)),0,VLOOKUP($A5,'Man Tab'!$A:$Q,COLUMN()+2,0))</f>
        <v>2087.6469299999999</v>
      </c>
      <c r="E5" s="202">
        <f>IF(ISERROR(VLOOKUP($A5,'Man Tab'!$A:$Q,COLUMN()+2,0)),0,VLOOKUP($A5,'Man Tab'!$A:$Q,COLUMN()+2,0))</f>
        <v>1561.3021900000001</v>
      </c>
      <c r="F5" s="202">
        <f>IF(ISERROR(VLOOKUP($A5,'Man Tab'!$A:$Q,COLUMN()+2,0)),0,VLOOKUP($A5,'Man Tab'!$A:$Q,COLUMN()+2,0))</f>
        <v>1675.5519200000001</v>
      </c>
      <c r="G5" s="202">
        <f>IF(ISERROR(VLOOKUP($A5,'Man Tab'!$A:$Q,COLUMN()+2,0)),0,VLOOKUP($A5,'Man Tab'!$A:$Q,COLUMN()+2,0))</f>
        <v>2466.02108</v>
      </c>
      <c r="H5" s="202">
        <f>IF(ISERROR(VLOOKUP($A5,'Man Tab'!$A:$Q,COLUMN()+2,0)),0,VLOOKUP($A5,'Man Tab'!$A:$Q,COLUMN()+2,0))</f>
        <v>2263.1930900000002</v>
      </c>
      <c r="I5" s="202">
        <f>IF(ISERROR(VLOOKUP($A5,'Man Tab'!$A:$Q,COLUMN()+2,0)),0,VLOOKUP($A5,'Man Tab'!$A:$Q,COLUMN()+2,0))</f>
        <v>1835.3326099999999</v>
      </c>
      <c r="J5" s="202">
        <f>IF(ISERROR(VLOOKUP($A5,'Man Tab'!$A:$Q,COLUMN()+2,0)),0,VLOOKUP($A5,'Man Tab'!$A:$Q,COLUMN()+2,0))</f>
        <v>4.9406564584124654E-324</v>
      </c>
      <c r="K5" s="202">
        <f>IF(ISERROR(VLOOKUP($A5,'Man Tab'!$A:$Q,COLUMN()+2,0)),0,VLOOKUP($A5,'Man Tab'!$A:$Q,COLUMN()+2,0))</f>
        <v>4.9406564584124654E-324</v>
      </c>
      <c r="L5" s="202">
        <f>IF(ISERROR(VLOOKUP($A5,'Man Tab'!$A:$Q,COLUMN()+2,0)),0,VLOOKUP($A5,'Man Tab'!$A:$Q,COLUMN()+2,0))</f>
        <v>4.9406564584124654E-324</v>
      </c>
      <c r="M5" s="202">
        <f>IF(ISERROR(VLOOKUP($A5,'Man Tab'!$A:$Q,COLUMN()+2,0)),0,VLOOKUP($A5,'Man Tab'!$A:$Q,COLUMN()+2,0))</f>
        <v>4.9406564584124654E-324</v>
      </c>
    </row>
    <row r="6" spans="1:13" ht="14.4" customHeight="1" x14ac:dyDescent="0.3">
      <c r="A6" s="203" t="s">
        <v>77</v>
      </c>
      <c r="B6" s="204">
        <f>B5</f>
        <v>1685.67813000001</v>
      </c>
      <c r="C6" s="204">
        <f t="shared" ref="C6:M6" si="1">C5+B6</f>
        <v>3336.8970300000101</v>
      </c>
      <c r="D6" s="204">
        <f t="shared" si="1"/>
        <v>5424.54396000001</v>
      </c>
      <c r="E6" s="204">
        <f t="shared" si="1"/>
        <v>6985.8461500000103</v>
      </c>
      <c r="F6" s="204">
        <f t="shared" si="1"/>
        <v>8661.3980700000102</v>
      </c>
      <c r="G6" s="204">
        <f t="shared" si="1"/>
        <v>11127.419150000011</v>
      </c>
      <c r="H6" s="204">
        <f t="shared" si="1"/>
        <v>13390.612240000011</v>
      </c>
      <c r="I6" s="204">
        <f t="shared" si="1"/>
        <v>15225.944850000011</v>
      </c>
      <c r="J6" s="204">
        <f t="shared" si="1"/>
        <v>15225.944850000011</v>
      </c>
      <c r="K6" s="204">
        <f t="shared" si="1"/>
        <v>15225.944850000011</v>
      </c>
      <c r="L6" s="204">
        <f t="shared" si="1"/>
        <v>15225.944850000011</v>
      </c>
      <c r="M6" s="204">
        <f t="shared" si="1"/>
        <v>15225.944850000011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3865485</v>
      </c>
      <c r="C9" s="203">
        <v>5562580</v>
      </c>
      <c r="D9" s="203">
        <v>5702014</v>
      </c>
      <c r="E9" s="203">
        <v>6167352</v>
      </c>
      <c r="F9" s="203">
        <v>7448446</v>
      </c>
      <c r="G9" s="203">
        <v>6202629</v>
      </c>
      <c r="H9" s="203">
        <v>4895270</v>
      </c>
      <c r="I9" s="203">
        <v>2664040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3865.4850000000001</v>
      </c>
      <c r="C10" s="204">
        <f t="shared" ref="C10:M10" si="3">C9/1000+B10</f>
        <v>9428.0650000000005</v>
      </c>
      <c r="D10" s="204">
        <f t="shared" si="3"/>
        <v>15130.079000000002</v>
      </c>
      <c r="E10" s="204">
        <f t="shared" si="3"/>
        <v>21297.431</v>
      </c>
      <c r="F10" s="204">
        <f t="shared" si="3"/>
        <v>28745.877</v>
      </c>
      <c r="G10" s="204">
        <f t="shared" si="3"/>
        <v>34948.506000000001</v>
      </c>
      <c r="H10" s="204">
        <f t="shared" si="3"/>
        <v>39843.775999999998</v>
      </c>
      <c r="I10" s="204">
        <f t="shared" si="3"/>
        <v>42507.815999999999</v>
      </c>
      <c r="J10" s="204">
        <f t="shared" si="3"/>
        <v>42507.815999999999</v>
      </c>
      <c r="K10" s="204">
        <f t="shared" si="3"/>
        <v>42507.815999999999</v>
      </c>
      <c r="L10" s="204">
        <f t="shared" si="3"/>
        <v>42507.815999999999</v>
      </c>
      <c r="M10" s="204">
        <f t="shared" si="3"/>
        <v>42507.815999999999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8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2.1342334609962088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2.1342334609962088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283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281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168</v>
      </c>
      <c r="E4" s="129" t="s">
        <v>169</v>
      </c>
      <c r="F4" s="129" t="s">
        <v>170</v>
      </c>
      <c r="G4" s="129" t="s">
        <v>171</v>
      </c>
      <c r="H4" s="129" t="s">
        <v>172</v>
      </c>
      <c r="I4" s="129" t="s">
        <v>173</v>
      </c>
      <c r="J4" s="129" t="s">
        <v>174</v>
      </c>
      <c r="K4" s="129" t="s">
        <v>175</v>
      </c>
      <c r="L4" s="129" t="s">
        <v>176</v>
      </c>
      <c r="M4" s="129" t="s">
        <v>177</v>
      </c>
      <c r="N4" s="129" t="s">
        <v>178</v>
      </c>
      <c r="O4" s="129" t="s">
        <v>179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3.9525251667299724E-323</v>
      </c>
      <c r="Q6" s="94" t="s">
        <v>282</v>
      </c>
    </row>
    <row r="7" spans="1:17" ht="14.4" customHeight="1" x14ac:dyDescent="0.3">
      <c r="A7" s="15" t="s">
        <v>35</v>
      </c>
      <c r="B7" s="51">
        <v>93.808699516833002</v>
      </c>
      <c r="C7" s="52">
        <v>7.8173916264020002</v>
      </c>
      <c r="D7" s="52">
        <v>3.9129100000000001</v>
      </c>
      <c r="E7" s="52">
        <v>8.1569800000000008</v>
      </c>
      <c r="F7" s="52">
        <v>5.9600299999999997</v>
      </c>
      <c r="G7" s="52">
        <v>9.3713099999999994</v>
      </c>
      <c r="H7" s="52">
        <v>8.01187</v>
      </c>
      <c r="I7" s="52">
        <v>7.1669</v>
      </c>
      <c r="J7" s="52">
        <v>2.73197</v>
      </c>
      <c r="K7" s="52">
        <v>3.70953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49.021500000000003</v>
      </c>
      <c r="Q7" s="95">
        <v>0.78385320741800002</v>
      </c>
    </row>
    <row r="8" spans="1:17" ht="14.4" customHeight="1" x14ac:dyDescent="0.3">
      <c r="A8" s="15" t="s">
        <v>36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3.9525251667299724E-323</v>
      </c>
      <c r="Q8" s="95" t="s">
        <v>282</v>
      </c>
    </row>
    <row r="9" spans="1:17" ht="14.4" customHeight="1" x14ac:dyDescent="0.3">
      <c r="A9" s="15" t="s">
        <v>37</v>
      </c>
      <c r="B9" s="51">
        <v>4403.4489457165801</v>
      </c>
      <c r="C9" s="52">
        <v>366.95407880971499</v>
      </c>
      <c r="D9" s="52">
        <v>165.94484000000099</v>
      </c>
      <c r="E9" s="52">
        <v>143.74386000000001</v>
      </c>
      <c r="F9" s="52">
        <v>222.52466000000001</v>
      </c>
      <c r="G9" s="52">
        <v>92.89434</v>
      </c>
      <c r="H9" s="52">
        <v>90.507599999999996</v>
      </c>
      <c r="I9" s="52">
        <v>441.91359</v>
      </c>
      <c r="J9" s="52">
        <v>202.98928000000001</v>
      </c>
      <c r="K9" s="52">
        <v>476.06770999999998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1836.5858800000001</v>
      </c>
      <c r="Q9" s="95">
        <v>0.62561843090699998</v>
      </c>
    </row>
    <row r="10" spans="1:17" ht="14.4" customHeight="1" x14ac:dyDescent="0.3">
      <c r="A10" s="15" t="s">
        <v>38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3.9525251667299724E-323</v>
      </c>
      <c r="Q10" s="95" t="s">
        <v>282</v>
      </c>
    </row>
    <row r="11" spans="1:17" ht="14.4" customHeight="1" x14ac:dyDescent="0.3">
      <c r="A11" s="15" t="s">
        <v>39</v>
      </c>
      <c r="B11" s="51">
        <v>129.733234849436</v>
      </c>
      <c r="C11" s="52">
        <v>10.811102904119</v>
      </c>
      <c r="D11" s="52">
        <v>14.826779999999999</v>
      </c>
      <c r="E11" s="52">
        <v>13.942679999999999</v>
      </c>
      <c r="F11" s="52">
        <v>10.87458</v>
      </c>
      <c r="G11" s="52">
        <v>10.86782</v>
      </c>
      <c r="H11" s="52">
        <v>9.8026099999999996</v>
      </c>
      <c r="I11" s="52">
        <v>10.385</v>
      </c>
      <c r="J11" s="52">
        <v>6.1373899999999999</v>
      </c>
      <c r="K11" s="52">
        <v>2.9847199999999998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79.821579999999997</v>
      </c>
      <c r="Q11" s="95">
        <v>0.92291208292799998</v>
      </c>
    </row>
    <row r="12" spans="1:17" ht="14.4" customHeight="1" x14ac:dyDescent="0.3">
      <c r="A12" s="15" t="s">
        <v>40</v>
      </c>
      <c r="B12" s="51">
        <v>10.535080868799</v>
      </c>
      <c r="C12" s="52">
        <v>0.87792340573299998</v>
      </c>
      <c r="D12" s="52">
        <v>4.9406564584124654E-324</v>
      </c>
      <c r="E12" s="52">
        <v>11.185499999999999</v>
      </c>
      <c r="F12" s="52">
        <v>5.9499999999999997E-2</v>
      </c>
      <c r="G12" s="52">
        <v>4.9406564584124654E-324</v>
      </c>
      <c r="H12" s="52">
        <v>4.9406564584124654E-324</v>
      </c>
      <c r="I12" s="52">
        <v>4.9406564584124654E-324</v>
      </c>
      <c r="J12" s="52">
        <v>-3.3</v>
      </c>
      <c r="K12" s="52">
        <v>7.2330000000000005E-2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8.0173299999999994</v>
      </c>
      <c r="Q12" s="95">
        <v>1.1415190020620001</v>
      </c>
    </row>
    <row r="13" spans="1:17" ht="14.4" customHeight="1" x14ac:dyDescent="0.3">
      <c r="A13" s="15" t="s">
        <v>41</v>
      </c>
      <c r="B13" s="51">
        <v>21.868244685320999</v>
      </c>
      <c r="C13" s="52">
        <v>1.8223537237759999</v>
      </c>
      <c r="D13" s="52">
        <v>0.95774999999999999</v>
      </c>
      <c r="E13" s="52">
        <v>1.4386300000000001</v>
      </c>
      <c r="F13" s="52">
        <v>1.0442</v>
      </c>
      <c r="G13" s="52">
        <v>1.16232</v>
      </c>
      <c r="H13" s="52">
        <v>0.85938999999999999</v>
      </c>
      <c r="I13" s="52">
        <v>2.1097600000000001</v>
      </c>
      <c r="J13" s="52">
        <v>1.2077800000000001</v>
      </c>
      <c r="K13" s="52">
        <v>3.4515400000000001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12.23137</v>
      </c>
      <c r="Q13" s="95">
        <v>0.83898160387300003</v>
      </c>
    </row>
    <row r="14" spans="1:17" ht="14.4" customHeight="1" x14ac:dyDescent="0.3">
      <c r="A14" s="15" t="s">
        <v>42</v>
      </c>
      <c r="B14" s="51">
        <v>255.98500559919199</v>
      </c>
      <c r="C14" s="52">
        <v>21.332083799932001</v>
      </c>
      <c r="D14" s="52">
        <v>27.599</v>
      </c>
      <c r="E14" s="52">
        <v>22.687999999999999</v>
      </c>
      <c r="F14" s="52">
        <v>20.405000000000001</v>
      </c>
      <c r="G14" s="52">
        <v>19.251000000000001</v>
      </c>
      <c r="H14" s="52">
        <v>16.335999999999999</v>
      </c>
      <c r="I14" s="52">
        <v>15.241</v>
      </c>
      <c r="J14" s="52">
        <v>14.866</v>
      </c>
      <c r="K14" s="52">
        <v>13.5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149.886</v>
      </c>
      <c r="Q14" s="95">
        <v>0.87828972432800001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3.9525251667299724E-323</v>
      </c>
      <c r="Q15" s="95" t="s">
        <v>282</v>
      </c>
    </row>
    <row r="16" spans="1:17" ht="14.4" customHeight="1" x14ac:dyDescent="0.3">
      <c r="A16" s="15" t="s">
        <v>44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3.9525251667299724E-323</v>
      </c>
      <c r="Q16" s="95" t="s">
        <v>282</v>
      </c>
    </row>
    <row r="17" spans="1:17" ht="14.4" customHeight="1" x14ac:dyDescent="0.3">
      <c r="A17" s="15" t="s">
        <v>45</v>
      </c>
      <c r="B17" s="51">
        <v>679.88707680600999</v>
      </c>
      <c r="C17" s="52">
        <v>56.657256400500003</v>
      </c>
      <c r="D17" s="52">
        <v>0.30734</v>
      </c>
      <c r="E17" s="52">
        <v>5.4595200000000004</v>
      </c>
      <c r="F17" s="52">
        <v>328.25218000000001</v>
      </c>
      <c r="G17" s="52">
        <v>19.89</v>
      </c>
      <c r="H17" s="52">
        <v>7.8643599999999996</v>
      </c>
      <c r="I17" s="52">
        <v>391.80865</v>
      </c>
      <c r="J17" s="52">
        <v>86.751760000000004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840.33380999999997</v>
      </c>
      <c r="Q17" s="95">
        <v>1.853985401401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1.6459999999999999</v>
      </c>
      <c r="E18" s="52">
        <v>7.319</v>
      </c>
      <c r="F18" s="52">
        <v>0.13400000000000001</v>
      </c>
      <c r="G18" s="52">
        <v>0.19500000000000001</v>
      </c>
      <c r="H18" s="52">
        <v>7.7709999999999999</v>
      </c>
      <c r="I18" s="52">
        <v>81.781999999999996</v>
      </c>
      <c r="J18" s="52">
        <v>4.9406564584124654E-324</v>
      </c>
      <c r="K18" s="52">
        <v>32.444000000000003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131.291</v>
      </c>
      <c r="Q18" s="95" t="s">
        <v>282</v>
      </c>
    </row>
    <row r="19" spans="1:17" ht="14.4" customHeight="1" x14ac:dyDescent="0.3">
      <c r="A19" s="15" t="s">
        <v>47</v>
      </c>
      <c r="B19" s="51">
        <v>1402.6011094074199</v>
      </c>
      <c r="C19" s="52">
        <v>116.883425783951</v>
      </c>
      <c r="D19" s="52">
        <v>49.435549999999999</v>
      </c>
      <c r="E19" s="52">
        <v>30.741199999999999</v>
      </c>
      <c r="F19" s="52">
        <v>64.834370000000007</v>
      </c>
      <c r="G19" s="52">
        <v>18.455369999999998</v>
      </c>
      <c r="H19" s="52">
        <v>132.36797999999999</v>
      </c>
      <c r="I19" s="52">
        <v>82.87218</v>
      </c>
      <c r="J19" s="52">
        <v>93.337890000000002</v>
      </c>
      <c r="K19" s="52">
        <v>56.684699999999999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528.72924</v>
      </c>
      <c r="Q19" s="95">
        <v>0.56544505396400002</v>
      </c>
    </row>
    <row r="20" spans="1:17" ht="14.4" customHeight="1" x14ac:dyDescent="0.3">
      <c r="A20" s="15" t="s">
        <v>48</v>
      </c>
      <c r="B20" s="51">
        <v>15104.0746745999</v>
      </c>
      <c r="C20" s="52">
        <v>1258.67288955</v>
      </c>
      <c r="D20" s="52">
        <v>1178.65635000001</v>
      </c>
      <c r="E20" s="52">
        <v>1148.94849</v>
      </c>
      <c r="F20" s="52">
        <v>1158.2221099999999</v>
      </c>
      <c r="G20" s="52">
        <v>1150.94488</v>
      </c>
      <c r="H20" s="52">
        <v>1160.14229</v>
      </c>
      <c r="I20" s="52">
        <v>1181.43588</v>
      </c>
      <c r="J20" s="52">
        <v>1670.8704</v>
      </c>
      <c r="K20" s="52">
        <v>1029.3871200000001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9678.6075200000105</v>
      </c>
      <c r="Q20" s="95">
        <v>0.96119170440900004</v>
      </c>
    </row>
    <row r="21" spans="1:17" ht="14.4" customHeight="1" x14ac:dyDescent="0.3">
      <c r="A21" s="16" t="s">
        <v>49</v>
      </c>
      <c r="B21" s="51">
        <v>2821.9811064957298</v>
      </c>
      <c r="C21" s="52">
        <v>235.16509220797801</v>
      </c>
      <c r="D21" s="52">
        <v>235.274000000001</v>
      </c>
      <c r="E21" s="52">
        <v>235.274</v>
      </c>
      <c r="F21" s="52">
        <v>235.27099999999999</v>
      </c>
      <c r="G21" s="52">
        <v>235.27099999999999</v>
      </c>
      <c r="H21" s="52">
        <v>235.27099999999999</v>
      </c>
      <c r="I21" s="52">
        <v>235.27099999999999</v>
      </c>
      <c r="J21" s="52">
        <v>173.18199999999999</v>
      </c>
      <c r="K21" s="52">
        <v>171.208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1756.0219999999999</v>
      </c>
      <c r="Q21" s="95">
        <v>0.933398524156</v>
      </c>
    </row>
    <row r="22" spans="1:17" ht="14.4" customHeight="1" x14ac:dyDescent="0.3">
      <c r="A22" s="15" t="s">
        <v>50</v>
      </c>
      <c r="B22" s="51">
        <v>50</v>
      </c>
      <c r="C22" s="52">
        <v>4.1666666666659999</v>
      </c>
      <c r="D22" s="52">
        <v>4.9406564584124654E-324</v>
      </c>
      <c r="E22" s="52">
        <v>5.89</v>
      </c>
      <c r="F22" s="52">
        <v>13.119</v>
      </c>
      <c r="G22" s="52">
        <v>4.9406564584124654E-324</v>
      </c>
      <c r="H22" s="52">
        <v>4.9406564584124654E-324</v>
      </c>
      <c r="I22" s="52">
        <v>4.9406564584124654E-324</v>
      </c>
      <c r="J22" s="52">
        <v>14.03593</v>
      </c>
      <c r="K22" s="52">
        <v>23.058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56.102930000000001</v>
      </c>
      <c r="Q22" s="95">
        <v>1.6830879000000001</v>
      </c>
    </row>
    <row r="23" spans="1:17" ht="14.4" customHeight="1" x14ac:dyDescent="0.3">
      <c r="A23" s="16" t="s">
        <v>51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1.5810100666919889E-322</v>
      </c>
      <c r="Q23" s="95" t="s">
        <v>282</v>
      </c>
    </row>
    <row r="24" spans="1:17" ht="14.4" customHeight="1" x14ac:dyDescent="0.3">
      <c r="A24" s="16" t="s">
        <v>52</v>
      </c>
      <c r="B24" s="51">
        <v>-3.6379788070917101E-12</v>
      </c>
      <c r="C24" s="52">
        <v>-4.5474735088646402E-13</v>
      </c>
      <c r="D24" s="52">
        <v>7.11761</v>
      </c>
      <c r="E24" s="52">
        <v>16.431039999999999</v>
      </c>
      <c r="F24" s="52">
        <v>26.946300000000001</v>
      </c>
      <c r="G24" s="52">
        <v>2.9991500000000002</v>
      </c>
      <c r="H24" s="52">
        <v>6.6178199999989999</v>
      </c>
      <c r="I24" s="52">
        <v>16.035119999999001</v>
      </c>
      <c r="J24" s="52">
        <v>0.382689999999</v>
      </c>
      <c r="K24" s="52">
        <v>22.764959999999999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99.294689999998994</v>
      </c>
      <c r="Q24" s="95"/>
    </row>
    <row r="25" spans="1:17" ht="14.4" customHeight="1" x14ac:dyDescent="0.3">
      <c r="A25" s="17" t="s">
        <v>53</v>
      </c>
      <c r="B25" s="54">
        <v>24973.923178545301</v>
      </c>
      <c r="C25" s="55">
        <v>2081.1602648787698</v>
      </c>
      <c r="D25" s="55">
        <v>1685.67813000001</v>
      </c>
      <c r="E25" s="55">
        <v>1651.2189000000001</v>
      </c>
      <c r="F25" s="55">
        <v>2087.6469299999999</v>
      </c>
      <c r="G25" s="55">
        <v>1561.3021900000001</v>
      </c>
      <c r="H25" s="55">
        <v>1675.5519200000001</v>
      </c>
      <c r="I25" s="55">
        <v>2466.02108</v>
      </c>
      <c r="J25" s="55">
        <v>2263.1930900000002</v>
      </c>
      <c r="K25" s="55">
        <v>1835.3326099999999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15225.94485</v>
      </c>
      <c r="Q25" s="96">
        <v>0.91451059217700004</v>
      </c>
    </row>
    <row r="26" spans="1:17" ht="14.4" customHeight="1" x14ac:dyDescent="0.3">
      <c r="A26" s="15" t="s">
        <v>54</v>
      </c>
      <c r="B26" s="51">
        <v>2267.0007088176899</v>
      </c>
      <c r="C26" s="52">
        <v>188.91672573480801</v>
      </c>
      <c r="D26" s="52">
        <v>176.15778</v>
      </c>
      <c r="E26" s="52">
        <v>162.64164</v>
      </c>
      <c r="F26" s="52">
        <v>173.26581999999999</v>
      </c>
      <c r="G26" s="52">
        <v>163.28993</v>
      </c>
      <c r="H26" s="52">
        <v>170.88991999999999</v>
      </c>
      <c r="I26" s="52">
        <v>150.76580000000001</v>
      </c>
      <c r="J26" s="52">
        <v>273.33467000000002</v>
      </c>
      <c r="K26" s="52">
        <v>136.70443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1407.04999</v>
      </c>
      <c r="Q26" s="95">
        <v>0.93099882006599999</v>
      </c>
    </row>
    <row r="27" spans="1:17" ht="14.4" customHeight="1" x14ac:dyDescent="0.3">
      <c r="A27" s="18" t="s">
        <v>55</v>
      </c>
      <c r="B27" s="54">
        <v>27240.923887362998</v>
      </c>
      <c r="C27" s="55">
        <v>2270.0769906135802</v>
      </c>
      <c r="D27" s="55">
        <v>1861.83591000001</v>
      </c>
      <c r="E27" s="55">
        <v>1813.8605399999999</v>
      </c>
      <c r="F27" s="55">
        <v>2260.91275</v>
      </c>
      <c r="G27" s="55">
        <v>1724.59212</v>
      </c>
      <c r="H27" s="55">
        <v>1846.44184</v>
      </c>
      <c r="I27" s="55">
        <v>2616.7868800000001</v>
      </c>
      <c r="J27" s="55">
        <v>2536.5277599999999</v>
      </c>
      <c r="K27" s="55">
        <v>1972.0370399999999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16632.994839999999</v>
      </c>
      <c r="Q27" s="96">
        <v>0.91588274917400003</v>
      </c>
    </row>
    <row r="28" spans="1:17" ht="14.4" customHeight="1" x14ac:dyDescent="0.3">
      <c r="A28" s="16" t="s">
        <v>56</v>
      </c>
      <c r="B28" s="51">
        <v>523.84315454924194</v>
      </c>
      <c r="C28" s="52">
        <v>43.653596212436</v>
      </c>
      <c r="D28" s="52">
        <v>50.317900000000002</v>
      </c>
      <c r="E28" s="52">
        <v>50.73592</v>
      </c>
      <c r="F28" s="52">
        <v>74.876450000000006</v>
      </c>
      <c r="G28" s="52">
        <v>37.687730000000002</v>
      </c>
      <c r="H28" s="52">
        <v>84.457599999999999</v>
      </c>
      <c r="I28" s="52">
        <v>48.728870000000001</v>
      </c>
      <c r="J28" s="52">
        <v>20.721409999999999</v>
      </c>
      <c r="K28" s="52">
        <v>2.4923000000000002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370.01817999999997</v>
      </c>
      <c r="Q28" s="95">
        <v>1.059529489275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7.9050503334599447E-323</v>
      </c>
      <c r="Q29" s="95" t="s">
        <v>282</v>
      </c>
    </row>
    <row r="30" spans="1:17" ht="14.4" customHeight="1" x14ac:dyDescent="0.3">
      <c r="A30" s="16" t="s">
        <v>58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3.9525251667299724E-322</v>
      </c>
      <c r="Q30" s="95">
        <v>0</v>
      </c>
    </row>
    <row r="31" spans="1:17" ht="14.4" customHeight="1" thickBot="1" x14ac:dyDescent="0.35">
      <c r="A31" s="19" t="s">
        <v>59</v>
      </c>
      <c r="B31" s="57">
        <v>1.9762625833649862E-323</v>
      </c>
      <c r="C31" s="58">
        <v>0</v>
      </c>
      <c r="D31" s="58">
        <v>2.4703282292062327E-323</v>
      </c>
      <c r="E31" s="58">
        <v>5.89</v>
      </c>
      <c r="F31" s="58">
        <v>13.119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-13.119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5.89</v>
      </c>
      <c r="Q31" s="97" t="s">
        <v>282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281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184</v>
      </c>
      <c r="G4" s="346" t="s">
        <v>64</v>
      </c>
      <c r="H4" s="141" t="s">
        <v>143</v>
      </c>
      <c r="I4" s="344" t="s">
        <v>65</v>
      </c>
      <c r="J4" s="346" t="s">
        <v>186</v>
      </c>
      <c r="K4" s="347" t="s">
        <v>187</v>
      </c>
    </row>
    <row r="5" spans="1:11" ht="42" thickBot="1" x14ac:dyDescent="0.35">
      <c r="A5" s="78"/>
      <c r="B5" s="24" t="s">
        <v>180</v>
      </c>
      <c r="C5" s="25" t="s">
        <v>181</v>
      </c>
      <c r="D5" s="26" t="s">
        <v>182</v>
      </c>
      <c r="E5" s="26" t="s">
        <v>183</v>
      </c>
      <c r="F5" s="345"/>
      <c r="G5" s="345"/>
      <c r="H5" s="25" t="s">
        <v>185</v>
      </c>
      <c r="I5" s="345"/>
      <c r="J5" s="345"/>
      <c r="K5" s="348"/>
    </row>
    <row r="6" spans="1:11" ht="14.4" customHeight="1" thickBot="1" x14ac:dyDescent="0.35">
      <c r="A6" s="435" t="s">
        <v>284</v>
      </c>
      <c r="B6" s="417">
        <v>20218.195616092202</v>
      </c>
      <c r="C6" s="417">
        <v>23207.29825</v>
      </c>
      <c r="D6" s="418">
        <v>2989.1026339078298</v>
      </c>
      <c r="E6" s="419">
        <v>1.147842205638</v>
      </c>
      <c r="F6" s="417">
        <v>24973.923178545301</v>
      </c>
      <c r="G6" s="418">
        <v>16649.282119030198</v>
      </c>
      <c r="H6" s="420">
        <v>1835.3326099999999</v>
      </c>
      <c r="I6" s="417">
        <v>15225.94485</v>
      </c>
      <c r="J6" s="418">
        <v>-1423.3372690301701</v>
      </c>
      <c r="K6" s="421">
        <v>0.60967372811800002</v>
      </c>
    </row>
    <row r="7" spans="1:11" ht="14.4" customHeight="1" thickBot="1" x14ac:dyDescent="0.35">
      <c r="A7" s="436" t="s">
        <v>285</v>
      </c>
      <c r="B7" s="417">
        <v>2729.5379946778899</v>
      </c>
      <c r="C7" s="417">
        <v>2908.36589</v>
      </c>
      <c r="D7" s="418">
        <v>178.82789532211299</v>
      </c>
      <c r="E7" s="419">
        <v>1.06551581098</v>
      </c>
      <c r="F7" s="417">
        <v>4915.3792112361598</v>
      </c>
      <c r="G7" s="418">
        <v>3276.9194741574402</v>
      </c>
      <c r="H7" s="420">
        <v>499.78563000000003</v>
      </c>
      <c r="I7" s="417">
        <v>2135.5618300000001</v>
      </c>
      <c r="J7" s="418">
        <v>-1141.3576441574401</v>
      </c>
      <c r="K7" s="421">
        <v>0.43446532571000002</v>
      </c>
    </row>
    <row r="8" spans="1:11" ht="14.4" customHeight="1" thickBot="1" x14ac:dyDescent="0.35">
      <c r="A8" s="437" t="s">
        <v>286</v>
      </c>
      <c r="B8" s="417">
        <v>2469.9816061598499</v>
      </c>
      <c r="C8" s="417">
        <v>2654.9018900000001</v>
      </c>
      <c r="D8" s="418">
        <v>184.92028384014901</v>
      </c>
      <c r="E8" s="419">
        <v>1.074867069203</v>
      </c>
      <c r="F8" s="417">
        <v>4659.3942056369697</v>
      </c>
      <c r="G8" s="418">
        <v>3106.2628037579798</v>
      </c>
      <c r="H8" s="420">
        <v>486.28563000000003</v>
      </c>
      <c r="I8" s="417">
        <v>1985.6758299999999</v>
      </c>
      <c r="J8" s="418">
        <v>-1120.5869737579801</v>
      </c>
      <c r="K8" s="421">
        <v>0.42616609420899998</v>
      </c>
    </row>
    <row r="9" spans="1:11" ht="14.4" customHeight="1" thickBot="1" x14ac:dyDescent="0.35">
      <c r="A9" s="438" t="s">
        <v>287</v>
      </c>
      <c r="B9" s="422">
        <v>4.9406564584124654E-324</v>
      </c>
      <c r="C9" s="422">
        <v>2.8600000000000001E-3</v>
      </c>
      <c r="D9" s="423">
        <v>2.8600000000000001E-3</v>
      </c>
      <c r="E9" s="424" t="s">
        <v>288</v>
      </c>
      <c r="F9" s="422">
        <v>0</v>
      </c>
      <c r="G9" s="423">
        <v>0</v>
      </c>
      <c r="H9" s="425">
        <v>-2.0000000000000001E-4</v>
      </c>
      <c r="I9" s="422">
        <v>-1.83E-3</v>
      </c>
      <c r="J9" s="423">
        <v>-1.83E-3</v>
      </c>
      <c r="K9" s="426" t="s">
        <v>282</v>
      </c>
    </row>
    <row r="10" spans="1:11" ht="14.4" customHeight="1" thickBot="1" x14ac:dyDescent="0.35">
      <c r="A10" s="439" t="s">
        <v>289</v>
      </c>
      <c r="B10" s="417">
        <v>4.9406564584124654E-324</v>
      </c>
      <c r="C10" s="417">
        <v>2.8600000000000001E-3</v>
      </c>
      <c r="D10" s="418">
        <v>2.8600000000000001E-3</v>
      </c>
      <c r="E10" s="427" t="s">
        <v>288</v>
      </c>
      <c r="F10" s="417">
        <v>0</v>
      </c>
      <c r="G10" s="418">
        <v>0</v>
      </c>
      <c r="H10" s="420">
        <v>-2.0000000000000001E-4</v>
      </c>
      <c r="I10" s="417">
        <v>-1.83E-3</v>
      </c>
      <c r="J10" s="418">
        <v>-1.83E-3</v>
      </c>
      <c r="K10" s="428" t="s">
        <v>282</v>
      </c>
    </row>
    <row r="11" spans="1:11" ht="14.4" customHeight="1" thickBot="1" x14ac:dyDescent="0.35">
      <c r="A11" s="438" t="s">
        <v>290</v>
      </c>
      <c r="B11" s="422">
        <v>88.444601140076998</v>
      </c>
      <c r="C11" s="422">
        <v>94.999160000000003</v>
      </c>
      <c r="D11" s="423">
        <v>6.5545588599220004</v>
      </c>
      <c r="E11" s="429">
        <v>1.0741092025450001</v>
      </c>
      <c r="F11" s="422">
        <v>93.808699516833002</v>
      </c>
      <c r="G11" s="423">
        <v>62.539133011221999</v>
      </c>
      <c r="H11" s="425">
        <v>3.70953</v>
      </c>
      <c r="I11" s="422">
        <v>49.021500000000003</v>
      </c>
      <c r="J11" s="423">
        <v>-13.517633011221999</v>
      </c>
      <c r="K11" s="430">
        <v>0.52256880494500002</v>
      </c>
    </row>
    <row r="12" spans="1:11" ht="14.4" customHeight="1" thickBot="1" x14ac:dyDescent="0.35">
      <c r="A12" s="439" t="s">
        <v>291</v>
      </c>
      <c r="B12" s="417">
        <v>85.999838105546999</v>
      </c>
      <c r="C12" s="417">
        <v>88.754490000000004</v>
      </c>
      <c r="D12" s="418">
        <v>2.754651894452</v>
      </c>
      <c r="E12" s="419">
        <v>1.0320308962789999</v>
      </c>
      <c r="F12" s="417">
        <v>87.821719923201996</v>
      </c>
      <c r="G12" s="418">
        <v>58.547813282135003</v>
      </c>
      <c r="H12" s="420">
        <v>3.70953</v>
      </c>
      <c r="I12" s="417">
        <v>48.135779999999997</v>
      </c>
      <c r="J12" s="418">
        <v>-10.412033282135001</v>
      </c>
      <c r="K12" s="421">
        <v>0.54810791728999997</v>
      </c>
    </row>
    <row r="13" spans="1:11" ht="14.4" customHeight="1" thickBot="1" x14ac:dyDescent="0.35">
      <c r="A13" s="439" t="s">
        <v>292</v>
      </c>
      <c r="B13" s="417">
        <v>0.39764808784900002</v>
      </c>
      <c r="C13" s="417">
        <v>0.22677</v>
      </c>
      <c r="D13" s="418">
        <v>-0.17087808784899999</v>
      </c>
      <c r="E13" s="419">
        <v>0.57027811003999995</v>
      </c>
      <c r="F13" s="417">
        <v>0.22952717267</v>
      </c>
      <c r="G13" s="418">
        <v>0.15301811511300001</v>
      </c>
      <c r="H13" s="420">
        <v>4.9406564584124654E-324</v>
      </c>
      <c r="I13" s="417">
        <v>3.9525251667299724E-323</v>
      </c>
      <c r="J13" s="418">
        <v>-0.15301811511300001</v>
      </c>
      <c r="K13" s="421">
        <v>1.7292297604443629E-322</v>
      </c>
    </row>
    <row r="14" spans="1:11" ht="14.4" customHeight="1" thickBot="1" x14ac:dyDescent="0.35">
      <c r="A14" s="439" t="s">
        <v>293</v>
      </c>
      <c r="B14" s="417">
        <v>2.0471149466790002</v>
      </c>
      <c r="C14" s="417">
        <v>6.0179</v>
      </c>
      <c r="D14" s="418">
        <v>3.9707850533200002</v>
      </c>
      <c r="E14" s="419">
        <v>2.9396981394520001</v>
      </c>
      <c r="F14" s="417">
        <v>5.7574524209589999</v>
      </c>
      <c r="G14" s="418">
        <v>3.838301613973</v>
      </c>
      <c r="H14" s="420">
        <v>4.9406564584124654E-324</v>
      </c>
      <c r="I14" s="417">
        <v>0.88571999999999995</v>
      </c>
      <c r="J14" s="418">
        <v>-2.9525816139729999</v>
      </c>
      <c r="K14" s="421">
        <v>0.15383887442499999</v>
      </c>
    </row>
    <row r="15" spans="1:11" ht="14.4" customHeight="1" thickBot="1" x14ac:dyDescent="0.35">
      <c r="A15" s="438" t="s">
        <v>294</v>
      </c>
      <c r="B15" s="422">
        <v>2223.07814333942</v>
      </c>
      <c r="C15" s="422">
        <v>2401.4325800000001</v>
      </c>
      <c r="D15" s="423">
        <v>178.354436660587</v>
      </c>
      <c r="E15" s="429">
        <v>1.0802285952899999</v>
      </c>
      <c r="F15" s="422">
        <v>4403.4489457165801</v>
      </c>
      <c r="G15" s="423">
        <v>2935.6326304777199</v>
      </c>
      <c r="H15" s="425">
        <v>476.06770999999998</v>
      </c>
      <c r="I15" s="422">
        <v>1836.5858800000001</v>
      </c>
      <c r="J15" s="423">
        <v>-1099.04675047772</v>
      </c>
      <c r="K15" s="430">
        <v>0.41707895393799999</v>
      </c>
    </row>
    <row r="16" spans="1:11" ht="14.4" customHeight="1" thickBot="1" x14ac:dyDescent="0.35">
      <c r="A16" s="439" t="s">
        <v>295</v>
      </c>
      <c r="B16" s="417">
        <v>1881.58167284659</v>
      </c>
      <c r="C16" s="417">
        <v>2117.59485</v>
      </c>
      <c r="D16" s="418">
        <v>236.01317715341</v>
      </c>
      <c r="E16" s="419">
        <v>1.1254333949769999</v>
      </c>
      <c r="F16" s="417">
        <v>3917.8563265389198</v>
      </c>
      <c r="G16" s="418">
        <v>2611.90421769261</v>
      </c>
      <c r="H16" s="420">
        <v>448.45510000000002</v>
      </c>
      <c r="I16" s="417">
        <v>1597.7995699999999</v>
      </c>
      <c r="J16" s="418">
        <v>-1014.10464769261</v>
      </c>
      <c r="K16" s="421">
        <v>0.40782495243</v>
      </c>
    </row>
    <row r="17" spans="1:11" ht="14.4" customHeight="1" thickBot="1" x14ac:dyDescent="0.35">
      <c r="A17" s="439" t="s">
        <v>296</v>
      </c>
      <c r="B17" s="417">
        <v>101.80173990303101</v>
      </c>
      <c r="C17" s="417">
        <v>94.560779999999994</v>
      </c>
      <c r="D17" s="418">
        <v>-7.2409599030310003</v>
      </c>
      <c r="E17" s="419">
        <v>0.92887194354500002</v>
      </c>
      <c r="F17" s="417">
        <v>122.889438850548</v>
      </c>
      <c r="G17" s="418">
        <v>81.926292567031993</v>
      </c>
      <c r="H17" s="420">
        <v>20.24785</v>
      </c>
      <c r="I17" s="417">
        <v>116.17661</v>
      </c>
      <c r="J17" s="418">
        <v>34.250317432967002</v>
      </c>
      <c r="K17" s="421">
        <v>0.94537505489999996</v>
      </c>
    </row>
    <row r="18" spans="1:11" ht="14.4" customHeight="1" thickBot="1" x14ac:dyDescent="0.35">
      <c r="A18" s="439" t="s">
        <v>297</v>
      </c>
      <c r="B18" s="417">
        <v>47.244154737792002</v>
      </c>
      <c r="C18" s="417">
        <v>23.70346</v>
      </c>
      <c r="D18" s="418">
        <v>-23.540694737791998</v>
      </c>
      <c r="E18" s="419">
        <v>0.50172259682800002</v>
      </c>
      <c r="F18" s="417">
        <v>29.757362349459999</v>
      </c>
      <c r="G18" s="418">
        <v>19.838241566305999</v>
      </c>
      <c r="H18" s="420">
        <v>0.45457999999999998</v>
      </c>
      <c r="I18" s="417">
        <v>8.7186199999999996</v>
      </c>
      <c r="J18" s="418">
        <v>-11.119621566306</v>
      </c>
      <c r="K18" s="421">
        <v>0.29299034966900001</v>
      </c>
    </row>
    <row r="19" spans="1:11" ht="14.4" customHeight="1" thickBot="1" x14ac:dyDescent="0.35">
      <c r="A19" s="439" t="s">
        <v>298</v>
      </c>
      <c r="B19" s="417">
        <v>159.42202992537099</v>
      </c>
      <c r="C19" s="417">
        <v>135.62766999999999</v>
      </c>
      <c r="D19" s="418">
        <v>-23.794359925369999</v>
      </c>
      <c r="E19" s="419">
        <v>0.85074609866299999</v>
      </c>
      <c r="F19" s="417">
        <v>285.41284547706698</v>
      </c>
      <c r="G19" s="418">
        <v>190.275230318045</v>
      </c>
      <c r="H19" s="420">
        <v>6.0741800000000001</v>
      </c>
      <c r="I19" s="417">
        <v>101.05562</v>
      </c>
      <c r="J19" s="418">
        <v>-89.219610318044005</v>
      </c>
      <c r="K19" s="421">
        <v>0.35406822643500002</v>
      </c>
    </row>
    <row r="20" spans="1:11" ht="14.4" customHeight="1" thickBot="1" x14ac:dyDescent="0.35">
      <c r="A20" s="439" t="s">
        <v>299</v>
      </c>
      <c r="B20" s="417">
        <v>0</v>
      </c>
      <c r="C20" s="417">
        <v>4.9406564584124654E-324</v>
      </c>
      <c r="D20" s="418">
        <v>4.9406564584124654E-324</v>
      </c>
      <c r="E20" s="427" t="s">
        <v>282</v>
      </c>
      <c r="F20" s="417">
        <v>4.9406564584124654E-324</v>
      </c>
      <c r="G20" s="418">
        <v>0</v>
      </c>
      <c r="H20" s="420">
        <v>4.9406564584124654E-324</v>
      </c>
      <c r="I20" s="417">
        <v>8.1699999999999995E-2</v>
      </c>
      <c r="J20" s="418">
        <v>8.1699999999999995E-2</v>
      </c>
      <c r="K20" s="428" t="s">
        <v>288</v>
      </c>
    </row>
    <row r="21" spans="1:11" ht="14.4" customHeight="1" thickBot="1" x14ac:dyDescent="0.35">
      <c r="A21" s="439" t="s">
        <v>300</v>
      </c>
      <c r="B21" s="417">
        <v>21.802429111466999</v>
      </c>
      <c r="C21" s="417">
        <v>14.00778</v>
      </c>
      <c r="D21" s="418">
        <v>-7.7946491114669998</v>
      </c>
      <c r="E21" s="419">
        <v>0.64248712509799999</v>
      </c>
      <c r="F21" s="417">
        <v>16.369401562176002</v>
      </c>
      <c r="G21" s="418">
        <v>10.912934374783999</v>
      </c>
      <c r="H21" s="420">
        <v>0.41</v>
      </c>
      <c r="I21" s="417">
        <v>4.5273199999999996</v>
      </c>
      <c r="J21" s="418">
        <v>-6.3856143747839997</v>
      </c>
      <c r="K21" s="421">
        <v>0.27657211430700002</v>
      </c>
    </row>
    <row r="22" spans="1:11" ht="14.4" customHeight="1" thickBot="1" x14ac:dyDescent="0.35">
      <c r="A22" s="439" t="s">
        <v>301</v>
      </c>
      <c r="B22" s="417">
        <v>11.226116815159999</v>
      </c>
      <c r="C22" s="417">
        <v>15.938040000000001</v>
      </c>
      <c r="D22" s="418">
        <v>4.7119231848389997</v>
      </c>
      <c r="E22" s="419">
        <v>1.4197286793299999</v>
      </c>
      <c r="F22" s="417">
        <v>31.163570938414001</v>
      </c>
      <c r="G22" s="418">
        <v>20.775713958943001</v>
      </c>
      <c r="H22" s="420">
        <v>0.42599999999999999</v>
      </c>
      <c r="I22" s="417">
        <v>8.2264400000000002</v>
      </c>
      <c r="J22" s="418">
        <v>-12.549273958942999</v>
      </c>
      <c r="K22" s="421">
        <v>0.263976166796</v>
      </c>
    </row>
    <row r="23" spans="1:11" ht="14.4" customHeight="1" thickBot="1" x14ac:dyDescent="0.35">
      <c r="A23" s="438" t="s">
        <v>302</v>
      </c>
      <c r="B23" s="422">
        <v>121.43684975246001</v>
      </c>
      <c r="C23" s="422">
        <v>124.56731000000001</v>
      </c>
      <c r="D23" s="423">
        <v>3.1304602475399999</v>
      </c>
      <c r="E23" s="429">
        <v>1.0257785034269999</v>
      </c>
      <c r="F23" s="422">
        <v>129.733234849436</v>
      </c>
      <c r="G23" s="423">
        <v>86.488823232957003</v>
      </c>
      <c r="H23" s="425">
        <v>2.9847199999999998</v>
      </c>
      <c r="I23" s="422">
        <v>79.821579999999997</v>
      </c>
      <c r="J23" s="423">
        <v>-6.6672432329560003</v>
      </c>
      <c r="K23" s="430">
        <v>0.61527472195199995</v>
      </c>
    </row>
    <row r="24" spans="1:11" ht="14.4" customHeight="1" thickBot="1" x14ac:dyDescent="0.35">
      <c r="A24" s="439" t="s">
        <v>303</v>
      </c>
      <c r="B24" s="417">
        <v>42.001901266691</v>
      </c>
      <c r="C24" s="417">
        <v>2.0089999999999999</v>
      </c>
      <c r="D24" s="418">
        <v>-39.992901266691</v>
      </c>
      <c r="E24" s="419">
        <v>4.7831168099000003E-2</v>
      </c>
      <c r="F24" s="417">
        <v>2.318597316405</v>
      </c>
      <c r="G24" s="418">
        <v>1.5457315442699999</v>
      </c>
      <c r="H24" s="420">
        <v>0</v>
      </c>
      <c r="I24" s="417">
        <v>1.46007</v>
      </c>
      <c r="J24" s="418">
        <v>-8.5661544270000001E-2</v>
      </c>
      <c r="K24" s="421">
        <v>0.62972124985599998</v>
      </c>
    </row>
    <row r="25" spans="1:11" ht="14.4" customHeight="1" thickBot="1" x14ac:dyDescent="0.35">
      <c r="A25" s="439" t="s">
        <v>304</v>
      </c>
      <c r="B25" s="417">
        <v>2.2382350860289999</v>
      </c>
      <c r="C25" s="417">
        <v>3.22601</v>
      </c>
      <c r="D25" s="418">
        <v>0.98777491396999995</v>
      </c>
      <c r="E25" s="419">
        <v>1.4413186622509999</v>
      </c>
      <c r="F25" s="417">
        <v>3.247166154326</v>
      </c>
      <c r="G25" s="418">
        <v>2.1647774362169998</v>
      </c>
      <c r="H25" s="420">
        <v>0.17788000000000001</v>
      </c>
      <c r="I25" s="417">
        <v>1.8802000000000001</v>
      </c>
      <c r="J25" s="418">
        <v>-0.28457743621699999</v>
      </c>
      <c r="K25" s="421">
        <v>0.57902796181000005</v>
      </c>
    </row>
    <row r="26" spans="1:11" ht="14.4" customHeight="1" thickBot="1" x14ac:dyDescent="0.35">
      <c r="A26" s="439" t="s">
        <v>305</v>
      </c>
      <c r="B26" s="417">
        <v>8.0559604235559998</v>
      </c>
      <c r="C26" s="417">
        <v>7.29026</v>
      </c>
      <c r="D26" s="418">
        <v>-0.76570042355599999</v>
      </c>
      <c r="E26" s="419">
        <v>0.90495231067399995</v>
      </c>
      <c r="F26" s="417">
        <v>7.4991124676799998</v>
      </c>
      <c r="G26" s="418">
        <v>4.9994083117860004</v>
      </c>
      <c r="H26" s="420">
        <v>4.9406564584124654E-324</v>
      </c>
      <c r="I26" s="417">
        <v>7.0414899999999996</v>
      </c>
      <c r="J26" s="418">
        <v>2.042081688213</v>
      </c>
      <c r="K26" s="421">
        <v>0.938976449592</v>
      </c>
    </row>
    <row r="27" spans="1:11" ht="14.4" customHeight="1" thickBot="1" x14ac:dyDescent="0.35">
      <c r="A27" s="439" t="s">
        <v>306</v>
      </c>
      <c r="B27" s="417">
        <v>40.663497180324001</v>
      </c>
      <c r="C27" s="417">
        <v>35.465949999999999</v>
      </c>
      <c r="D27" s="418">
        <v>-5.1975471803240003</v>
      </c>
      <c r="E27" s="419">
        <v>0.87218150083599999</v>
      </c>
      <c r="F27" s="417">
        <v>38.923525075736002</v>
      </c>
      <c r="G27" s="418">
        <v>25.949016717157001</v>
      </c>
      <c r="H27" s="420">
        <v>1.48102</v>
      </c>
      <c r="I27" s="417">
        <v>18.220490000000002</v>
      </c>
      <c r="J27" s="418">
        <v>-7.728526717157</v>
      </c>
      <c r="K27" s="421">
        <v>0.46810996600499999</v>
      </c>
    </row>
    <row r="28" spans="1:11" ht="14.4" customHeight="1" thickBot="1" x14ac:dyDescent="0.35">
      <c r="A28" s="439" t="s">
        <v>307</v>
      </c>
      <c r="B28" s="417">
        <v>5.611225015024</v>
      </c>
      <c r="C28" s="417">
        <v>1.34114</v>
      </c>
      <c r="D28" s="418">
        <v>-4.2700850150239997</v>
      </c>
      <c r="E28" s="419">
        <v>0.23901019766699999</v>
      </c>
      <c r="F28" s="417">
        <v>2.9997569216720001</v>
      </c>
      <c r="G28" s="418">
        <v>1.999837947781</v>
      </c>
      <c r="H28" s="420">
        <v>4.9406564584124654E-324</v>
      </c>
      <c r="I28" s="417">
        <v>0.58140000000000003</v>
      </c>
      <c r="J28" s="418">
        <v>-1.4184379477810001</v>
      </c>
      <c r="K28" s="421">
        <v>0.193815704132</v>
      </c>
    </row>
    <row r="29" spans="1:11" ht="14.4" customHeight="1" thickBot="1" x14ac:dyDescent="0.35">
      <c r="A29" s="439" t="s">
        <v>308</v>
      </c>
      <c r="B29" s="417">
        <v>4.9406564584124654E-324</v>
      </c>
      <c r="C29" s="417">
        <v>1.95E-2</v>
      </c>
      <c r="D29" s="418">
        <v>1.95E-2</v>
      </c>
      <c r="E29" s="427" t="s">
        <v>288</v>
      </c>
      <c r="F29" s="417">
        <v>3.3862470025999999E-2</v>
      </c>
      <c r="G29" s="418">
        <v>2.2574980017E-2</v>
      </c>
      <c r="H29" s="420">
        <v>4.9406564584124654E-324</v>
      </c>
      <c r="I29" s="417">
        <v>3.9525251667299724E-323</v>
      </c>
      <c r="J29" s="418">
        <v>-2.2574980017E-2</v>
      </c>
      <c r="K29" s="421">
        <v>1.1659949241853418E-321</v>
      </c>
    </row>
    <row r="30" spans="1:11" ht="14.4" customHeight="1" thickBot="1" x14ac:dyDescent="0.35">
      <c r="A30" s="439" t="s">
        <v>309</v>
      </c>
      <c r="B30" s="417">
        <v>3.9539959664E-2</v>
      </c>
      <c r="C30" s="417">
        <v>0.13339000000000001</v>
      </c>
      <c r="D30" s="418">
        <v>9.3850040334999996E-2</v>
      </c>
      <c r="E30" s="419">
        <v>3.3735492178580002</v>
      </c>
      <c r="F30" s="417">
        <v>7.4461075476000005E-2</v>
      </c>
      <c r="G30" s="418">
        <v>4.9640716984000001E-2</v>
      </c>
      <c r="H30" s="420">
        <v>4.9406564584124654E-324</v>
      </c>
      <c r="I30" s="417">
        <v>3.9525251667299724E-323</v>
      </c>
      <c r="J30" s="418">
        <v>-4.9640716984000001E-2</v>
      </c>
      <c r="K30" s="421">
        <v>5.286502410501338E-322</v>
      </c>
    </row>
    <row r="31" spans="1:11" ht="14.4" customHeight="1" thickBot="1" x14ac:dyDescent="0.35">
      <c r="A31" s="439" t="s">
        <v>310</v>
      </c>
      <c r="B31" s="417">
        <v>1.3603005507629999</v>
      </c>
      <c r="C31" s="417">
        <v>0.87119999999999997</v>
      </c>
      <c r="D31" s="418">
        <v>-0.48910055076300002</v>
      </c>
      <c r="E31" s="419">
        <v>0.64044670092199996</v>
      </c>
      <c r="F31" s="417">
        <v>0.89250420355500004</v>
      </c>
      <c r="G31" s="418">
        <v>0.59500280237000003</v>
      </c>
      <c r="H31" s="420">
        <v>4.9406564584124654E-324</v>
      </c>
      <c r="I31" s="417">
        <v>3.9525251667299724E-323</v>
      </c>
      <c r="J31" s="418">
        <v>-0.59500280237000003</v>
      </c>
      <c r="K31" s="421">
        <v>4.4465908125712189E-323</v>
      </c>
    </row>
    <row r="32" spans="1:11" ht="14.4" customHeight="1" thickBot="1" x14ac:dyDescent="0.35">
      <c r="A32" s="439" t="s">
        <v>311</v>
      </c>
      <c r="B32" s="417">
        <v>21.466190270405001</v>
      </c>
      <c r="C32" s="417">
        <v>38.219630000000002</v>
      </c>
      <c r="D32" s="418">
        <v>16.753439729594</v>
      </c>
      <c r="E32" s="419">
        <v>1.78045705915</v>
      </c>
      <c r="F32" s="417">
        <v>42.733019277259999</v>
      </c>
      <c r="G32" s="418">
        <v>28.488679518173001</v>
      </c>
      <c r="H32" s="420">
        <v>0.42954999999999999</v>
      </c>
      <c r="I32" s="417">
        <v>26.90249</v>
      </c>
      <c r="J32" s="418">
        <v>-1.5861895181729999</v>
      </c>
      <c r="K32" s="421">
        <v>0.62954807441600003</v>
      </c>
    </row>
    <row r="33" spans="1:11" ht="14.4" customHeight="1" thickBot="1" x14ac:dyDescent="0.35">
      <c r="A33" s="439" t="s">
        <v>312</v>
      </c>
      <c r="B33" s="417">
        <v>4.9406564584124654E-324</v>
      </c>
      <c r="C33" s="417">
        <v>33.334069999999997</v>
      </c>
      <c r="D33" s="418">
        <v>33.334069999999997</v>
      </c>
      <c r="E33" s="427" t="s">
        <v>288</v>
      </c>
      <c r="F33" s="417">
        <v>28.124744832874999</v>
      </c>
      <c r="G33" s="418">
        <v>18.749829888583001</v>
      </c>
      <c r="H33" s="420">
        <v>0.89627000000000001</v>
      </c>
      <c r="I33" s="417">
        <v>17.505400000000002</v>
      </c>
      <c r="J33" s="418">
        <v>-1.2444298885830001</v>
      </c>
      <c r="K33" s="421">
        <v>0.62241986919400005</v>
      </c>
    </row>
    <row r="34" spans="1:11" ht="14.4" customHeight="1" thickBot="1" x14ac:dyDescent="0.35">
      <c r="A34" s="439" t="s">
        <v>313</v>
      </c>
      <c r="B34" s="417">
        <v>4.9406564584124654E-324</v>
      </c>
      <c r="C34" s="417">
        <v>4.9406564584124654E-324</v>
      </c>
      <c r="D34" s="418">
        <v>0</v>
      </c>
      <c r="E34" s="419">
        <v>1</v>
      </c>
      <c r="F34" s="417">
        <v>4.9406564584124654E-324</v>
      </c>
      <c r="G34" s="418">
        <v>0</v>
      </c>
      <c r="H34" s="420">
        <v>4.9406564584124654E-324</v>
      </c>
      <c r="I34" s="417">
        <v>0.03</v>
      </c>
      <c r="J34" s="418">
        <v>0.03</v>
      </c>
      <c r="K34" s="428" t="s">
        <v>288</v>
      </c>
    </row>
    <row r="35" spans="1:11" ht="14.4" customHeight="1" thickBot="1" x14ac:dyDescent="0.35">
      <c r="A35" s="439" t="s">
        <v>314</v>
      </c>
      <c r="B35" s="417">
        <v>0</v>
      </c>
      <c r="C35" s="417">
        <v>2.6571600000000002</v>
      </c>
      <c r="D35" s="418">
        <v>2.6571600000000002</v>
      </c>
      <c r="E35" s="427" t="s">
        <v>282</v>
      </c>
      <c r="F35" s="417">
        <v>2.8864850544179999</v>
      </c>
      <c r="G35" s="418">
        <v>1.9243233696119999</v>
      </c>
      <c r="H35" s="420">
        <v>4.9406564584124654E-324</v>
      </c>
      <c r="I35" s="417">
        <v>6.2000400000000004</v>
      </c>
      <c r="J35" s="418">
        <v>4.2757166303869996</v>
      </c>
      <c r="K35" s="421">
        <v>2.1479549982449999</v>
      </c>
    </row>
    <row r="36" spans="1:11" ht="14.4" customHeight="1" thickBot="1" x14ac:dyDescent="0.35">
      <c r="A36" s="438" t="s">
        <v>315</v>
      </c>
      <c r="B36" s="422">
        <v>14.499916119238</v>
      </c>
      <c r="C36" s="422">
        <v>10.94514</v>
      </c>
      <c r="D36" s="423">
        <v>-3.5547761192379999</v>
      </c>
      <c r="E36" s="429">
        <v>0.75484160804699996</v>
      </c>
      <c r="F36" s="422">
        <v>10.535080868799</v>
      </c>
      <c r="G36" s="423">
        <v>7.0233872458660001</v>
      </c>
      <c r="H36" s="425">
        <v>7.2330000000000005E-2</v>
      </c>
      <c r="I36" s="422">
        <v>8.0173299999999994</v>
      </c>
      <c r="J36" s="423">
        <v>0.99394275413300004</v>
      </c>
      <c r="K36" s="430">
        <v>0.76101266804099998</v>
      </c>
    </row>
    <row r="37" spans="1:11" ht="14.4" customHeight="1" thickBot="1" x14ac:dyDescent="0.35">
      <c r="A37" s="439" t="s">
        <v>316</v>
      </c>
      <c r="B37" s="417">
        <v>11.866344165272</v>
      </c>
      <c r="C37" s="417">
        <v>10.536</v>
      </c>
      <c r="D37" s="418">
        <v>-1.3303441652720001</v>
      </c>
      <c r="E37" s="419">
        <v>0.88788929878099998</v>
      </c>
      <c r="F37" s="417">
        <v>8.5347078727689993</v>
      </c>
      <c r="G37" s="418">
        <v>5.6898052485130002</v>
      </c>
      <c r="H37" s="420">
        <v>4.9406564584124654E-324</v>
      </c>
      <c r="I37" s="417">
        <v>3.9525251667299724E-323</v>
      </c>
      <c r="J37" s="418">
        <v>-5.6898052485130002</v>
      </c>
      <c r="K37" s="421">
        <v>4.9406564584124654E-324</v>
      </c>
    </row>
    <row r="38" spans="1:11" ht="14.4" customHeight="1" thickBot="1" x14ac:dyDescent="0.35">
      <c r="A38" s="439" t="s">
        <v>317</v>
      </c>
      <c r="B38" s="417">
        <v>4.9406564584124654E-324</v>
      </c>
      <c r="C38" s="417">
        <v>4.9406564584124654E-324</v>
      </c>
      <c r="D38" s="418">
        <v>0</v>
      </c>
      <c r="E38" s="419">
        <v>1</v>
      </c>
      <c r="F38" s="417">
        <v>4.9406564584124654E-324</v>
      </c>
      <c r="G38" s="418">
        <v>0</v>
      </c>
      <c r="H38" s="420">
        <v>4.9406564584124654E-324</v>
      </c>
      <c r="I38" s="417">
        <v>7.7</v>
      </c>
      <c r="J38" s="418">
        <v>7.7</v>
      </c>
      <c r="K38" s="428" t="s">
        <v>288</v>
      </c>
    </row>
    <row r="39" spans="1:11" ht="14.4" customHeight="1" thickBot="1" x14ac:dyDescent="0.35">
      <c r="A39" s="439" t="s">
        <v>318</v>
      </c>
      <c r="B39" s="417">
        <v>2.398164938206</v>
      </c>
      <c r="C39" s="417">
        <v>0.40914</v>
      </c>
      <c r="D39" s="418">
        <v>-1.9890249382059999</v>
      </c>
      <c r="E39" s="419">
        <v>0.17060544647299999</v>
      </c>
      <c r="F39" s="417">
        <v>2.0003729960299999</v>
      </c>
      <c r="G39" s="418">
        <v>1.3335819973530001</v>
      </c>
      <c r="H39" s="420">
        <v>7.2330000000000005E-2</v>
      </c>
      <c r="I39" s="417">
        <v>0.31733</v>
      </c>
      <c r="J39" s="418">
        <v>-1.016251997353</v>
      </c>
      <c r="K39" s="421">
        <v>0.15863541480999999</v>
      </c>
    </row>
    <row r="40" spans="1:11" ht="14.4" customHeight="1" thickBot="1" x14ac:dyDescent="0.35">
      <c r="A40" s="438" t="s">
        <v>319</v>
      </c>
      <c r="B40" s="422">
        <v>22.522095808663</v>
      </c>
      <c r="C40" s="422">
        <v>22.954840000000001</v>
      </c>
      <c r="D40" s="423">
        <v>0.43274419133600001</v>
      </c>
      <c r="E40" s="429">
        <v>1.0192142061289999</v>
      </c>
      <c r="F40" s="422">
        <v>21.868244685320999</v>
      </c>
      <c r="G40" s="423">
        <v>14.578829790214</v>
      </c>
      <c r="H40" s="425">
        <v>3.4515400000000001</v>
      </c>
      <c r="I40" s="422">
        <v>12.23137</v>
      </c>
      <c r="J40" s="423">
        <v>-2.3474597902140002</v>
      </c>
      <c r="K40" s="430">
        <v>0.55932106924900005</v>
      </c>
    </row>
    <row r="41" spans="1:11" ht="14.4" customHeight="1" thickBot="1" x14ac:dyDescent="0.35">
      <c r="A41" s="439" t="s">
        <v>320</v>
      </c>
      <c r="B41" s="417">
        <v>7.7591193320120002</v>
      </c>
      <c r="C41" s="417">
        <v>9.9156999999999993</v>
      </c>
      <c r="D41" s="418">
        <v>2.1565806679869999</v>
      </c>
      <c r="E41" s="419">
        <v>1.277941422951</v>
      </c>
      <c r="F41" s="417">
        <v>8.8698950268579999</v>
      </c>
      <c r="G41" s="418">
        <v>5.9132633512380002</v>
      </c>
      <c r="H41" s="420">
        <v>3.2201900000000001</v>
      </c>
      <c r="I41" s="417">
        <v>6.3748300000000002</v>
      </c>
      <c r="J41" s="418">
        <v>0.46156664876100001</v>
      </c>
      <c r="K41" s="421">
        <v>0.71870410875099999</v>
      </c>
    </row>
    <row r="42" spans="1:11" ht="14.4" customHeight="1" thickBot="1" x14ac:dyDescent="0.35">
      <c r="A42" s="439" t="s">
        <v>321</v>
      </c>
      <c r="B42" s="417">
        <v>14.762976476651</v>
      </c>
      <c r="C42" s="417">
        <v>13.03914</v>
      </c>
      <c r="D42" s="418">
        <v>-1.7238364766509999</v>
      </c>
      <c r="E42" s="419">
        <v>0.88323245794100003</v>
      </c>
      <c r="F42" s="417">
        <v>0</v>
      </c>
      <c r="G42" s="418">
        <v>0</v>
      </c>
      <c r="H42" s="420">
        <v>4.9406564584124654E-324</v>
      </c>
      <c r="I42" s="417">
        <v>3.9525251667299724E-323</v>
      </c>
      <c r="J42" s="418">
        <v>3.9525251667299724E-323</v>
      </c>
      <c r="K42" s="428" t="s">
        <v>282</v>
      </c>
    </row>
    <row r="43" spans="1:11" ht="14.4" customHeight="1" thickBot="1" x14ac:dyDescent="0.35">
      <c r="A43" s="439" t="s">
        <v>322</v>
      </c>
      <c r="B43" s="417">
        <v>4.9406564584124654E-324</v>
      </c>
      <c r="C43" s="417">
        <v>4.9406564584124654E-324</v>
      </c>
      <c r="D43" s="418">
        <v>0</v>
      </c>
      <c r="E43" s="419">
        <v>1</v>
      </c>
      <c r="F43" s="417">
        <v>0.99998058253599997</v>
      </c>
      <c r="G43" s="418">
        <v>0.66665372169100001</v>
      </c>
      <c r="H43" s="420">
        <v>4.9406564584124654E-324</v>
      </c>
      <c r="I43" s="417">
        <v>0.38419999999999999</v>
      </c>
      <c r="J43" s="418">
        <v>-0.28245372169100003</v>
      </c>
      <c r="K43" s="421">
        <v>0.38420746033399999</v>
      </c>
    </row>
    <row r="44" spans="1:11" ht="14.4" customHeight="1" thickBot="1" x14ac:dyDescent="0.35">
      <c r="A44" s="439" t="s">
        <v>323</v>
      </c>
      <c r="B44" s="417">
        <v>4.9406564584124654E-324</v>
      </c>
      <c r="C44" s="417">
        <v>4.9406564584124654E-324</v>
      </c>
      <c r="D44" s="418">
        <v>0</v>
      </c>
      <c r="E44" s="419">
        <v>1</v>
      </c>
      <c r="F44" s="417">
        <v>11.998369075926</v>
      </c>
      <c r="G44" s="418">
        <v>7.998912717284</v>
      </c>
      <c r="H44" s="420">
        <v>0.23135</v>
      </c>
      <c r="I44" s="417">
        <v>5.47234</v>
      </c>
      <c r="J44" s="418">
        <v>-2.526572717284</v>
      </c>
      <c r="K44" s="421">
        <v>0.45609032072299999</v>
      </c>
    </row>
    <row r="45" spans="1:11" ht="14.4" customHeight="1" thickBot="1" x14ac:dyDescent="0.35">
      <c r="A45" s="437" t="s">
        <v>42</v>
      </c>
      <c r="B45" s="417">
        <v>259.55638851803701</v>
      </c>
      <c r="C45" s="417">
        <v>253.464</v>
      </c>
      <c r="D45" s="418">
        <v>-6.0923885180359996</v>
      </c>
      <c r="E45" s="419">
        <v>0.97652768805699997</v>
      </c>
      <c r="F45" s="417">
        <v>255.98500559919199</v>
      </c>
      <c r="G45" s="418">
        <v>170.656670399462</v>
      </c>
      <c r="H45" s="420">
        <v>13.5</v>
      </c>
      <c r="I45" s="417">
        <v>149.886</v>
      </c>
      <c r="J45" s="418">
        <v>-20.770670399461</v>
      </c>
      <c r="K45" s="421">
        <v>0.58552648288499998</v>
      </c>
    </row>
    <row r="46" spans="1:11" ht="14.4" customHeight="1" thickBot="1" x14ac:dyDescent="0.35">
      <c r="A46" s="438" t="s">
        <v>324</v>
      </c>
      <c r="B46" s="422">
        <v>259.55638851803701</v>
      </c>
      <c r="C46" s="422">
        <v>253.464</v>
      </c>
      <c r="D46" s="423">
        <v>-6.0923885180359996</v>
      </c>
      <c r="E46" s="429">
        <v>0.97652768805699997</v>
      </c>
      <c r="F46" s="422">
        <v>255.98500559919199</v>
      </c>
      <c r="G46" s="423">
        <v>170.656670399462</v>
      </c>
      <c r="H46" s="425">
        <v>13.5</v>
      </c>
      <c r="I46" s="422">
        <v>149.886</v>
      </c>
      <c r="J46" s="423">
        <v>-20.770670399461</v>
      </c>
      <c r="K46" s="430">
        <v>0.58552648288499998</v>
      </c>
    </row>
    <row r="47" spans="1:11" ht="14.4" customHeight="1" thickBot="1" x14ac:dyDescent="0.35">
      <c r="A47" s="439" t="s">
        <v>325</v>
      </c>
      <c r="B47" s="417">
        <v>73.544772511204002</v>
      </c>
      <c r="C47" s="417">
        <v>74.358999999999995</v>
      </c>
      <c r="D47" s="418">
        <v>0.81422748879499995</v>
      </c>
      <c r="E47" s="419">
        <v>1.0110711810090001</v>
      </c>
      <c r="F47" s="417">
        <v>73.803256557899999</v>
      </c>
      <c r="G47" s="418">
        <v>49.2021710386</v>
      </c>
      <c r="H47" s="420">
        <v>5.16</v>
      </c>
      <c r="I47" s="417">
        <v>41.387</v>
      </c>
      <c r="J47" s="418">
        <v>-7.8151710386</v>
      </c>
      <c r="K47" s="421">
        <v>0.56077471280000002</v>
      </c>
    </row>
    <row r="48" spans="1:11" ht="14.4" customHeight="1" thickBot="1" x14ac:dyDescent="0.35">
      <c r="A48" s="439" t="s">
        <v>326</v>
      </c>
      <c r="B48" s="417">
        <v>78.003352435707995</v>
      </c>
      <c r="C48" s="417">
        <v>76.366</v>
      </c>
      <c r="D48" s="418">
        <v>-1.637352435708</v>
      </c>
      <c r="E48" s="419">
        <v>0.97900920428899996</v>
      </c>
      <c r="F48" s="417">
        <v>78.006303281255001</v>
      </c>
      <c r="G48" s="418">
        <v>52.004202187502997</v>
      </c>
      <c r="H48" s="420">
        <v>4.9980000000000002</v>
      </c>
      <c r="I48" s="417">
        <v>48.564</v>
      </c>
      <c r="J48" s="418">
        <v>-3.440202187503</v>
      </c>
      <c r="K48" s="421">
        <v>0.62256507432300001</v>
      </c>
    </row>
    <row r="49" spans="1:11" ht="14.4" customHeight="1" thickBot="1" x14ac:dyDescent="0.35">
      <c r="A49" s="439" t="s">
        <v>327</v>
      </c>
      <c r="B49" s="417">
        <v>108.008263571123</v>
      </c>
      <c r="C49" s="417">
        <v>102.739</v>
      </c>
      <c r="D49" s="418">
        <v>-5.2692635711219999</v>
      </c>
      <c r="E49" s="419">
        <v>0.95121425530799997</v>
      </c>
      <c r="F49" s="417">
        <v>104.175445760036</v>
      </c>
      <c r="G49" s="418">
        <v>69.450297173357001</v>
      </c>
      <c r="H49" s="420">
        <v>3.3420000000000001</v>
      </c>
      <c r="I49" s="417">
        <v>59.935000000000002</v>
      </c>
      <c r="J49" s="418">
        <v>-9.5152971733570002</v>
      </c>
      <c r="K49" s="421">
        <v>0.57532751180200004</v>
      </c>
    </row>
    <row r="50" spans="1:11" ht="14.4" customHeight="1" thickBot="1" x14ac:dyDescent="0.35">
      <c r="A50" s="440" t="s">
        <v>328</v>
      </c>
      <c r="B50" s="422">
        <v>930.66133483214401</v>
      </c>
      <c r="C50" s="422">
        <v>2073.7488400000002</v>
      </c>
      <c r="D50" s="423">
        <v>1143.0875051678599</v>
      </c>
      <c r="E50" s="429">
        <v>2.2282529233620001</v>
      </c>
      <c r="F50" s="422">
        <v>2082.4881862134298</v>
      </c>
      <c r="G50" s="423">
        <v>1388.3254574756199</v>
      </c>
      <c r="H50" s="425">
        <v>89.128699999999995</v>
      </c>
      <c r="I50" s="422">
        <v>1500.3540499999999</v>
      </c>
      <c r="J50" s="423">
        <v>112.028592524383</v>
      </c>
      <c r="K50" s="430">
        <v>0.720462214351</v>
      </c>
    </row>
    <row r="51" spans="1:11" ht="14.4" customHeight="1" thickBot="1" x14ac:dyDescent="0.35">
      <c r="A51" s="437" t="s">
        <v>45</v>
      </c>
      <c r="B51" s="417">
        <v>107.24972122446</v>
      </c>
      <c r="C51" s="417">
        <v>687.43282999999997</v>
      </c>
      <c r="D51" s="418">
        <v>580.18310877554097</v>
      </c>
      <c r="E51" s="419">
        <v>6.409646777181</v>
      </c>
      <c r="F51" s="417">
        <v>679.88707680600999</v>
      </c>
      <c r="G51" s="418">
        <v>453.25805120400702</v>
      </c>
      <c r="H51" s="420">
        <v>4.9406564584124654E-324</v>
      </c>
      <c r="I51" s="417">
        <v>840.33380999999997</v>
      </c>
      <c r="J51" s="418">
        <v>387.07575879599301</v>
      </c>
      <c r="K51" s="421">
        <v>1.2359902676009999</v>
      </c>
    </row>
    <row r="52" spans="1:11" ht="14.4" customHeight="1" thickBot="1" x14ac:dyDescent="0.35">
      <c r="A52" s="441" t="s">
        <v>329</v>
      </c>
      <c r="B52" s="417">
        <v>107.24972122446</v>
      </c>
      <c r="C52" s="417">
        <v>687.43282999999997</v>
      </c>
      <c r="D52" s="418">
        <v>580.18310877554097</v>
      </c>
      <c r="E52" s="419">
        <v>6.409646777181</v>
      </c>
      <c r="F52" s="417">
        <v>679.88707680600999</v>
      </c>
      <c r="G52" s="418">
        <v>453.25805120400702</v>
      </c>
      <c r="H52" s="420">
        <v>4.9406564584124654E-324</v>
      </c>
      <c r="I52" s="417">
        <v>840.33380999999997</v>
      </c>
      <c r="J52" s="418">
        <v>387.07575879599301</v>
      </c>
      <c r="K52" s="421">
        <v>1.2359902676009999</v>
      </c>
    </row>
    <row r="53" spans="1:11" ht="14.4" customHeight="1" thickBot="1" x14ac:dyDescent="0.35">
      <c r="A53" s="439" t="s">
        <v>330</v>
      </c>
      <c r="B53" s="417">
        <v>32.669930261422003</v>
      </c>
      <c r="C53" s="417">
        <v>635.48226999999997</v>
      </c>
      <c r="D53" s="418">
        <v>602.81233973857798</v>
      </c>
      <c r="E53" s="419">
        <v>19.451595547187001</v>
      </c>
      <c r="F53" s="417">
        <v>586.00353261079397</v>
      </c>
      <c r="G53" s="418">
        <v>390.66902174052899</v>
      </c>
      <c r="H53" s="420">
        <v>4.9406564584124654E-324</v>
      </c>
      <c r="I53" s="417">
        <v>808.10370999999998</v>
      </c>
      <c r="J53" s="418">
        <v>417.43468825947099</v>
      </c>
      <c r="K53" s="421">
        <v>1.379008256826</v>
      </c>
    </row>
    <row r="54" spans="1:11" ht="14.4" customHeight="1" thickBot="1" x14ac:dyDescent="0.35">
      <c r="A54" s="439" t="s">
        <v>331</v>
      </c>
      <c r="B54" s="417">
        <v>0</v>
      </c>
      <c r="C54" s="417">
        <v>4.9406564584124654E-324</v>
      </c>
      <c r="D54" s="418">
        <v>4.9406564584124654E-324</v>
      </c>
      <c r="E54" s="427" t="s">
        <v>282</v>
      </c>
      <c r="F54" s="417">
        <v>4.9406564584124654E-324</v>
      </c>
      <c r="G54" s="418">
        <v>0</v>
      </c>
      <c r="H54" s="420">
        <v>4.9406564584124654E-324</v>
      </c>
      <c r="I54" s="417">
        <v>4.9249999999999998</v>
      </c>
      <c r="J54" s="418">
        <v>4.9249999999999998</v>
      </c>
      <c r="K54" s="428" t="s">
        <v>288</v>
      </c>
    </row>
    <row r="55" spans="1:11" ht="14.4" customHeight="1" thickBot="1" x14ac:dyDescent="0.35">
      <c r="A55" s="439" t="s">
        <v>332</v>
      </c>
      <c r="B55" s="417">
        <v>21.583872254721001</v>
      </c>
      <c r="C55" s="417">
        <v>4.9406564584124654E-324</v>
      </c>
      <c r="D55" s="418">
        <v>-21.583872254721001</v>
      </c>
      <c r="E55" s="419">
        <v>0</v>
      </c>
      <c r="F55" s="417">
        <v>4.9406564584124654E-324</v>
      </c>
      <c r="G55" s="418">
        <v>0</v>
      </c>
      <c r="H55" s="420">
        <v>4.9406564584124654E-324</v>
      </c>
      <c r="I55" s="417">
        <v>4.2446000000000002</v>
      </c>
      <c r="J55" s="418">
        <v>4.2446000000000002</v>
      </c>
      <c r="K55" s="428" t="s">
        <v>288</v>
      </c>
    </row>
    <row r="56" spans="1:11" ht="14.4" customHeight="1" thickBot="1" x14ac:dyDescent="0.35">
      <c r="A56" s="439" t="s">
        <v>333</v>
      </c>
      <c r="B56" s="417">
        <v>24.997983976722001</v>
      </c>
      <c r="C56" s="417">
        <v>13.61553</v>
      </c>
      <c r="D56" s="418">
        <v>-11.382453976721999</v>
      </c>
      <c r="E56" s="419">
        <v>0.54466512230200004</v>
      </c>
      <c r="F56" s="417">
        <v>54.999907143310999</v>
      </c>
      <c r="G56" s="418">
        <v>36.666604762207001</v>
      </c>
      <c r="H56" s="420">
        <v>4.9406564584124654E-324</v>
      </c>
      <c r="I56" s="417">
        <v>1.31986</v>
      </c>
      <c r="J56" s="418">
        <v>-35.346744762207003</v>
      </c>
      <c r="K56" s="421">
        <v>2.3997495059999999E-2</v>
      </c>
    </row>
    <row r="57" spans="1:11" ht="14.4" customHeight="1" thickBot="1" x14ac:dyDescent="0.35">
      <c r="A57" s="439" t="s">
        <v>334</v>
      </c>
      <c r="B57" s="417">
        <v>27.997934731592999</v>
      </c>
      <c r="C57" s="417">
        <v>38.335030000000003</v>
      </c>
      <c r="D57" s="418">
        <v>10.337095268406999</v>
      </c>
      <c r="E57" s="419">
        <v>1.369209206589</v>
      </c>
      <c r="F57" s="417">
        <v>38.883637051904003</v>
      </c>
      <c r="G57" s="418">
        <v>25.922424701269001</v>
      </c>
      <c r="H57" s="420">
        <v>4.9406564584124654E-324</v>
      </c>
      <c r="I57" s="417">
        <v>21.740639999999999</v>
      </c>
      <c r="J57" s="418">
        <v>-4.1817847012689997</v>
      </c>
      <c r="K57" s="421">
        <v>0.55912053625400004</v>
      </c>
    </row>
    <row r="58" spans="1:11" ht="14.4" customHeight="1" thickBot="1" x14ac:dyDescent="0.35">
      <c r="A58" s="442" t="s">
        <v>46</v>
      </c>
      <c r="B58" s="422">
        <v>0</v>
      </c>
      <c r="C58" s="422">
        <v>106.889</v>
      </c>
      <c r="D58" s="423">
        <v>106.889</v>
      </c>
      <c r="E58" s="424" t="s">
        <v>282</v>
      </c>
      <c r="F58" s="422">
        <v>0</v>
      </c>
      <c r="G58" s="423">
        <v>0</v>
      </c>
      <c r="H58" s="425">
        <v>32.444000000000003</v>
      </c>
      <c r="I58" s="422">
        <v>131.291</v>
      </c>
      <c r="J58" s="423">
        <v>131.291</v>
      </c>
      <c r="K58" s="426" t="s">
        <v>282</v>
      </c>
    </row>
    <row r="59" spans="1:11" ht="14.4" customHeight="1" thickBot="1" x14ac:dyDescent="0.35">
      <c r="A59" s="438" t="s">
        <v>335</v>
      </c>
      <c r="B59" s="422">
        <v>0</v>
      </c>
      <c r="C59" s="422">
        <v>56.401000000000003</v>
      </c>
      <c r="D59" s="423">
        <v>56.401000000000003</v>
      </c>
      <c r="E59" s="424" t="s">
        <v>282</v>
      </c>
      <c r="F59" s="422">
        <v>0</v>
      </c>
      <c r="G59" s="423">
        <v>0</v>
      </c>
      <c r="H59" s="425">
        <v>4.9406564584124654E-324</v>
      </c>
      <c r="I59" s="422">
        <v>11.739000000000001</v>
      </c>
      <c r="J59" s="423">
        <v>11.739000000000001</v>
      </c>
      <c r="K59" s="426" t="s">
        <v>282</v>
      </c>
    </row>
    <row r="60" spans="1:11" ht="14.4" customHeight="1" thickBot="1" x14ac:dyDescent="0.35">
      <c r="A60" s="439" t="s">
        <v>336</v>
      </c>
      <c r="B60" s="417">
        <v>0</v>
      </c>
      <c r="C60" s="417">
        <v>55.201000000000001</v>
      </c>
      <c r="D60" s="418">
        <v>55.201000000000001</v>
      </c>
      <c r="E60" s="427" t="s">
        <v>282</v>
      </c>
      <c r="F60" s="417">
        <v>0</v>
      </c>
      <c r="G60" s="418">
        <v>0</v>
      </c>
      <c r="H60" s="420">
        <v>4.9406564584124654E-324</v>
      </c>
      <c r="I60" s="417">
        <v>10.939</v>
      </c>
      <c r="J60" s="418">
        <v>10.939</v>
      </c>
      <c r="K60" s="428" t="s">
        <v>282</v>
      </c>
    </row>
    <row r="61" spans="1:11" ht="14.4" customHeight="1" thickBot="1" x14ac:dyDescent="0.35">
      <c r="A61" s="439" t="s">
        <v>337</v>
      </c>
      <c r="B61" s="417">
        <v>0</v>
      </c>
      <c r="C61" s="417">
        <v>1.2</v>
      </c>
      <c r="D61" s="418">
        <v>1.2</v>
      </c>
      <c r="E61" s="427" t="s">
        <v>282</v>
      </c>
      <c r="F61" s="417">
        <v>0</v>
      </c>
      <c r="G61" s="418">
        <v>0</v>
      </c>
      <c r="H61" s="420">
        <v>4.9406564584124654E-324</v>
      </c>
      <c r="I61" s="417">
        <v>0.8</v>
      </c>
      <c r="J61" s="418">
        <v>0.8</v>
      </c>
      <c r="K61" s="428" t="s">
        <v>282</v>
      </c>
    </row>
    <row r="62" spans="1:11" ht="14.4" customHeight="1" thickBot="1" x14ac:dyDescent="0.35">
      <c r="A62" s="438" t="s">
        <v>338</v>
      </c>
      <c r="B62" s="422">
        <v>0</v>
      </c>
      <c r="C62" s="422">
        <v>50.488</v>
      </c>
      <c r="D62" s="423">
        <v>50.488</v>
      </c>
      <c r="E62" s="424" t="s">
        <v>282</v>
      </c>
      <c r="F62" s="422">
        <v>0</v>
      </c>
      <c r="G62" s="423">
        <v>0</v>
      </c>
      <c r="H62" s="425">
        <v>32.444000000000003</v>
      </c>
      <c r="I62" s="422">
        <v>119.55200000000001</v>
      </c>
      <c r="J62" s="423">
        <v>119.55200000000001</v>
      </c>
      <c r="K62" s="426" t="s">
        <v>282</v>
      </c>
    </row>
    <row r="63" spans="1:11" ht="14.4" customHeight="1" thickBot="1" x14ac:dyDescent="0.35">
      <c r="A63" s="439" t="s">
        <v>339</v>
      </c>
      <c r="B63" s="417">
        <v>0</v>
      </c>
      <c r="C63" s="417">
        <v>50.488</v>
      </c>
      <c r="D63" s="418">
        <v>50.488</v>
      </c>
      <c r="E63" s="427" t="s">
        <v>282</v>
      </c>
      <c r="F63" s="417">
        <v>0</v>
      </c>
      <c r="G63" s="418">
        <v>0</v>
      </c>
      <c r="H63" s="420">
        <v>32.444000000000003</v>
      </c>
      <c r="I63" s="417">
        <v>119.55200000000001</v>
      </c>
      <c r="J63" s="418">
        <v>119.55200000000001</v>
      </c>
      <c r="K63" s="428" t="s">
        <v>282</v>
      </c>
    </row>
    <row r="64" spans="1:11" ht="14.4" customHeight="1" thickBot="1" x14ac:dyDescent="0.35">
      <c r="A64" s="437" t="s">
        <v>47</v>
      </c>
      <c r="B64" s="417">
        <v>823.41161360768501</v>
      </c>
      <c r="C64" s="417">
        <v>1279.4270100000001</v>
      </c>
      <c r="D64" s="418">
        <v>456.01539639231601</v>
      </c>
      <c r="E64" s="419">
        <v>1.553812198973</v>
      </c>
      <c r="F64" s="417">
        <v>1402.6011094074199</v>
      </c>
      <c r="G64" s="418">
        <v>935.06740627161003</v>
      </c>
      <c r="H64" s="420">
        <v>56.684699999999999</v>
      </c>
      <c r="I64" s="417">
        <v>528.72924</v>
      </c>
      <c r="J64" s="418">
        <v>-406.33816627161002</v>
      </c>
      <c r="K64" s="421">
        <v>0.37696336930899998</v>
      </c>
    </row>
    <row r="65" spans="1:11" ht="14.4" customHeight="1" thickBot="1" x14ac:dyDescent="0.35">
      <c r="A65" s="438" t="s">
        <v>340</v>
      </c>
      <c r="B65" s="422">
        <v>26.294098037716999</v>
      </c>
      <c r="C65" s="422">
        <v>55.501080000000002</v>
      </c>
      <c r="D65" s="423">
        <v>29.206981962282001</v>
      </c>
      <c r="E65" s="429">
        <v>2.1107809030140001</v>
      </c>
      <c r="F65" s="422">
        <v>22.183714264195</v>
      </c>
      <c r="G65" s="423">
        <v>14.789142842796</v>
      </c>
      <c r="H65" s="425">
        <v>4.9406564584124654E-324</v>
      </c>
      <c r="I65" s="422">
        <v>0.20599999999999999</v>
      </c>
      <c r="J65" s="423">
        <v>-14.583142842796001</v>
      </c>
      <c r="K65" s="430">
        <v>9.2860914780000005E-3</v>
      </c>
    </row>
    <row r="66" spans="1:11" ht="14.4" customHeight="1" thickBot="1" x14ac:dyDescent="0.35">
      <c r="A66" s="439" t="s">
        <v>341</v>
      </c>
      <c r="B66" s="417">
        <v>26.294098037716999</v>
      </c>
      <c r="C66" s="417">
        <v>55.501080000000002</v>
      </c>
      <c r="D66" s="418">
        <v>29.206981962282001</v>
      </c>
      <c r="E66" s="419">
        <v>2.1107809030140001</v>
      </c>
      <c r="F66" s="417">
        <v>22.183714264195</v>
      </c>
      <c r="G66" s="418">
        <v>14.789142842796</v>
      </c>
      <c r="H66" s="420">
        <v>4.9406564584124654E-324</v>
      </c>
      <c r="I66" s="417">
        <v>0.20599999999999999</v>
      </c>
      <c r="J66" s="418">
        <v>-14.583142842796001</v>
      </c>
      <c r="K66" s="421">
        <v>9.2860914780000005E-3</v>
      </c>
    </row>
    <row r="67" spans="1:11" ht="14.4" customHeight="1" thickBot="1" x14ac:dyDescent="0.35">
      <c r="A67" s="438" t="s">
        <v>342</v>
      </c>
      <c r="B67" s="422">
        <v>69.914047366019005</v>
      </c>
      <c r="C67" s="422">
        <v>80.575019999999995</v>
      </c>
      <c r="D67" s="423">
        <v>10.66097263398</v>
      </c>
      <c r="E67" s="429">
        <v>1.1524868468580001</v>
      </c>
      <c r="F67" s="422">
        <v>80.446835715874002</v>
      </c>
      <c r="G67" s="423">
        <v>53.631223810582</v>
      </c>
      <c r="H67" s="425">
        <v>2.4672000000000001</v>
      </c>
      <c r="I67" s="422">
        <v>42.326549999999997</v>
      </c>
      <c r="J67" s="423">
        <v>-11.304673810582001</v>
      </c>
      <c r="K67" s="430">
        <v>0.52614313071899999</v>
      </c>
    </row>
    <row r="68" spans="1:11" ht="14.4" customHeight="1" thickBot="1" x14ac:dyDescent="0.35">
      <c r="A68" s="439" t="s">
        <v>343</v>
      </c>
      <c r="B68" s="417">
        <v>53.25177214024</v>
      </c>
      <c r="C68" s="417">
        <v>56.9422</v>
      </c>
      <c r="D68" s="418">
        <v>3.6904278597590001</v>
      </c>
      <c r="E68" s="419">
        <v>1.0693015032440001</v>
      </c>
      <c r="F68" s="417">
        <v>58.251086377274</v>
      </c>
      <c r="G68" s="418">
        <v>38.834057584848999</v>
      </c>
      <c r="H68" s="420">
        <v>1.2997000000000001</v>
      </c>
      <c r="I68" s="417">
        <v>29.654800000000002</v>
      </c>
      <c r="J68" s="418">
        <v>-9.1792575848489992</v>
      </c>
      <c r="K68" s="421">
        <v>0.50908578438999996</v>
      </c>
    </row>
    <row r="69" spans="1:11" ht="14.4" customHeight="1" thickBot="1" x14ac:dyDescent="0.35">
      <c r="A69" s="439" t="s">
        <v>344</v>
      </c>
      <c r="B69" s="417">
        <v>16.662275225778998</v>
      </c>
      <c r="C69" s="417">
        <v>23.632819999999999</v>
      </c>
      <c r="D69" s="418">
        <v>6.9705447742209996</v>
      </c>
      <c r="E69" s="419">
        <v>1.418342914143</v>
      </c>
      <c r="F69" s="417">
        <v>22.195749338599999</v>
      </c>
      <c r="G69" s="418">
        <v>14.797166225732999</v>
      </c>
      <c r="H69" s="420">
        <v>1.1675</v>
      </c>
      <c r="I69" s="417">
        <v>12.671749999999999</v>
      </c>
      <c r="J69" s="418">
        <v>-2.1254162257329998</v>
      </c>
      <c r="K69" s="421">
        <v>0.57090886217400005</v>
      </c>
    </row>
    <row r="70" spans="1:11" ht="14.4" customHeight="1" thickBot="1" x14ac:dyDescent="0.35">
      <c r="A70" s="438" t="s">
        <v>345</v>
      </c>
      <c r="B70" s="422">
        <v>20.029938410267</v>
      </c>
      <c r="C70" s="422">
        <v>30.831679999999999</v>
      </c>
      <c r="D70" s="423">
        <v>10.801741589732</v>
      </c>
      <c r="E70" s="429">
        <v>1.53927982046</v>
      </c>
      <c r="F70" s="422">
        <v>29.441547892029</v>
      </c>
      <c r="G70" s="423">
        <v>19.627698594685999</v>
      </c>
      <c r="H70" s="425">
        <v>2.7103999999999999</v>
      </c>
      <c r="I70" s="422">
        <v>24.506959999999999</v>
      </c>
      <c r="J70" s="423">
        <v>4.8792614053139998</v>
      </c>
      <c r="K70" s="430">
        <v>0.83239373452300003</v>
      </c>
    </row>
    <row r="71" spans="1:11" ht="14.4" customHeight="1" thickBot="1" x14ac:dyDescent="0.35">
      <c r="A71" s="439" t="s">
        <v>346</v>
      </c>
      <c r="B71" s="417">
        <v>3.7371913255770002</v>
      </c>
      <c r="C71" s="417">
        <v>3.78</v>
      </c>
      <c r="D71" s="418">
        <v>4.2808674422000002E-2</v>
      </c>
      <c r="E71" s="419">
        <v>1.0114547719639999</v>
      </c>
      <c r="F71" s="417">
        <v>4.678425385862</v>
      </c>
      <c r="G71" s="418">
        <v>3.1189502572409999</v>
      </c>
      <c r="H71" s="420">
        <v>4.9406564584124654E-324</v>
      </c>
      <c r="I71" s="417">
        <v>3.24</v>
      </c>
      <c r="J71" s="418">
        <v>0.121049742758</v>
      </c>
      <c r="K71" s="421">
        <v>0.69254070179000005</v>
      </c>
    </row>
    <row r="72" spans="1:11" ht="14.4" customHeight="1" thickBot="1" x14ac:dyDescent="0.35">
      <c r="A72" s="439" t="s">
        <v>347</v>
      </c>
      <c r="B72" s="417">
        <v>16.292747084689999</v>
      </c>
      <c r="C72" s="417">
        <v>27.051680000000001</v>
      </c>
      <c r="D72" s="418">
        <v>10.758932915309</v>
      </c>
      <c r="E72" s="419">
        <v>1.6603510666050001</v>
      </c>
      <c r="F72" s="417">
        <v>24.763122506165999</v>
      </c>
      <c r="G72" s="418">
        <v>16.508748337444</v>
      </c>
      <c r="H72" s="420">
        <v>2.7103999999999999</v>
      </c>
      <c r="I72" s="417">
        <v>21.266960000000001</v>
      </c>
      <c r="J72" s="418">
        <v>4.7582116625550004</v>
      </c>
      <c r="K72" s="421">
        <v>0.85881576504299995</v>
      </c>
    </row>
    <row r="73" spans="1:11" ht="14.4" customHeight="1" thickBot="1" x14ac:dyDescent="0.35">
      <c r="A73" s="438" t="s">
        <v>348</v>
      </c>
      <c r="B73" s="422">
        <v>333.94389081759402</v>
      </c>
      <c r="C73" s="422">
        <v>354.00261999999998</v>
      </c>
      <c r="D73" s="423">
        <v>20.058729182404999</v>
      </c>
      <c r="E73" s="429">
        <v>1.0600661660049999</v>
      </c>
      <c r="F73" s="422">
        <v>353.36730038098898</v>
      </c>
      <c r="G73" s="423">
        <v>235.578200253993</v>
      </c>
      <c r="H73" s="425">
        <v>25.525200000000002</v>
      </c>
      <c r="I73" s="422">
        <v>217.65646000000001</v>
      </c>
      <c r="J73" s="423">
        <v>-17.921740253991999</v>
      </c>
      <c r="K73" s="430">
        <v>0.61594963587499996</v>
      </c>
    </row>
    <row r="74" spans="1:11" ht="14.4" customHeight="1" thickBot="1" x14ac:dyDescent="0.35">
      <c r="A74" s="439" t="s">
        <v>349</v>
      </c>
      <c r="B74" s="417">
        <v>297.00030157967899</v>
      </c>
      <c r="C74" s="417">
        <v>320.02782100000002</v>
      </c>
      <c r="D74" s="418">
        <v>23.027519420320999</v>
      </c>
      <c r="E74" s="419">
        <v>1.077533656692</v>
      </c>
      <c r="F74" s="417">
        <v>320.08345529921701</v>
      </c>
      <c r="G74" s="418">
        <v>213.388970199478</v>
      </c>
      <c r="H74" s="420">
        <v>22.062550000000002</v>
      </c>
      <c r="I74" s="417">
        <v>192.26155</v>
      </c>
      <c r="J74" s="418">
        <v>-21.127420199477999</v>
      </c>
      <c r="K74" s="421">
        <v>0.60066069275599998</v>
      </c>
    </row>
    <row r="75" spans="1:11" ht="14.4" customHeight="1" thickBot="1" x14ac:dyDescent="0.35">
      <c r="A75" s="439" t="s">
        <v>350</v>
      </c>
      <c r="B75" s="417">
        <v>0.17856760082299999</v>
      </c>
      <c r="C75" s="417">
        <v>0.36399999999999999</v>
      </c>
      <c r="D75" s="418">
        <v>0.18543239917599999</v>
      </c>
      <c r="E75" s="419">
        <v>2.0384436948300002</v>
      </c>
      <c r="F75" s="417">
        <v>0.31176629998099997</v>
      </c>
      <c r="G75" s="418">
        <v>0.20784419998699999</v>
      </c>
      <c r="H75" s="420">
        <v>4.9406564584124654E-324</v>
      </c>
      <c r="I75" s="417">
        <v>1.4550000000000001</v>
      </c>
      <c r="J75" s="418">
        <v>1.247155800012</v>
      </c>
      <c r="K75" s="421">
        <v>4.6669572692300001</v>
      </c>
    </row>
    <row r="76" spans="1:11" ht="14.4" customHeight="1" thickBot="1" x14ac:dyDescent="0.35">
      <c r="A76" s="439" t="s">
        <v>351</v>
      </c>
      <c r="B76" s="417">
        <v>36.765021637091003</v>
      </c>
      <c r="C76" s="417">
        <v>33.610799</v>
      </c>
      <c r="D76" s="418">
        <v>-3.1542226370909998</v>
      </c>
      <c r="E76" s="419">
        <v>0.91420588111599999</v>
      </c>
      <c r="F76" s="417">
        <v>32.972078781790003</v>
      </c>
      <c r="G76" s="418">
        <v>21.981385854527002</v>
      </c>
      <c r="H76" s="420">
        <v>3.46265</v>
      </c>
      <c r="I76" s="417">
        <v>23.939910000000001</v>
      </c>
      <c r="J76" s="418">
        <v>1.9585241454719999</v>
      </c>
      <c r="K76" s="421">
        <v>0.72606614094400002</v>
      </c>
    </row>
    <row r="77" spans="1:11" ht="14.4" customHeight="1" thickBot="1" x14ac:dyDescent="0.35">
      <c r="A77" s="438" t="s">
        <v>352</v>
      </c>
      <c r="B77" s="422">
        <v>373.15439503096701</v>
      </c>
      <c r="C77" s="422">
        <v>723.67143999999996</v>
      </c>
      <c r="D77" s="423">
        <v>350.51704496903398</v>
      </c>
      <c r="E77" s="429">
        <v>1.9393351643079999</v>
      </c>
      <c r="F77" s="422">
        <v>717.16171115433099</v>
      </c>
      <c r="G77" s="423">
        <v>478.10780743622098</v>
      </c>
      <c r="H77" s="425">
        <v>25.9819</v>
      </c>
      <c r="I77" s="422">
        <v>211.41932</v>
      </c>
      <c r="J77" s="423">
        <v>-266.68848743622101</v>
      </c>
      <c r="K77" s="430">
        <v>0.294800066305</v>
      </c>
    </row>
    <row r="78" spans="1:11" ht="14.4" customHeight="1" thickBot="1" x14ac:dyDescent="0.35">
      <c r="A78" s="439" t="s">
        <v>353</v>
      </c>
      <c r="B78" s="417">
        <v>237.58369627406501</v>
      </c>
      <c r="C78" s="417">
        <v>533.69094000000098</v>
      </c>
      <c r="D78" s="418">
        <v>296.10724372593597</v>
      </c>
      <c r="E78" s="419">
        <v>2.2463281292850001</v>
      </c>
      <c r="F78" s="417">
        <v>527.64078254500305</v>
      </c>
      <c r="G78" s="418">
        <v>351.760521696669</v>
      </c>
      <c r="H78" s="420">
        <v>25.9819</v>
      </c>
      <c r="I78" s="417">
        <v>136.63999000000001</v>
      </c>
      <c r="J78" s="418">
        <v>-215.12053169666899</v>
      </c>
      <c r="K78" s="421">
        <v>0.258964042432</v>
      </c>
    </row>
    <row r="79" spans="1:11" ht="14.4" customHeight="1" thickBot="1" x14ac:dyDescent="0.35">
      <c r="A79" s="439" t="s">
        <v>354</v>
      </c>
      <c r="B79" s="417">
        <v>29.984533709773</v>
      </c>
      <c r="C79" s="417">
        <v>20.439399999999999</v>
      </c>
      <c r="D79" s="418">
        <v>-9.5451337097729994</v>
      </c>
      <c r="E79" s="419">
        <v>0.68166476083399996</v>
      </c>
      <c r="F79" s="417">
        <v>29.010568085477001</v>
      </c>
      <c r="G79" s="418">
        <v>19.340378723651</v>
      </c>
      <c r="H79" s="420">
        <v>4.9406564584124654E-324</v>
      </c>
      <c r="I79" s="417">
        <v>29.943999999999999</v>
      </c>
      <c r="J79" s="418">
        <v>10.603621276347999</v>
      </c>
      <c r="K79" s="421">
        <v>1.0321755820759999</v>
      </c>
    </row>
    <row r="80" spans="1:11" ht="14.4" customHeight="1" thickBot="1" x14ac:dyDescent="0.35">
      <c r="A80" s="439" t="s">
        <v>355</v>
      </c>
      <c r="B80" s="417">
        <v>105.58616504712801</v>
      </c>
      <c r="C80" s="417">
        <v>168.12278000000001</v>
      </c>
      <c r="D80" s="418">
        <v>62.536614952870998</v>
      </c>
      <c r="E80" s="419">
        <v>1.592280389433</v>
      </c>
      <c r="F80" s="417">
        <v>158.837481986006</v>
      </c>
      <c r="G80" s="418">
        <v>105.89165465733799</v>
      </c>
      <c r="H80" s="420">
        <v>4.9406564584124654E-324</v>
      </c>
      <c r="I80" s="417">
        <v>44.835329999999999</v>
      </c>
      <c r="J80" s="418">
        <v>-61.056324657337001</v>
      </c>
      <c r="K80" s="421">
        <v>0.28227172478000001</v>
      </c>
    </row>
    <row r="81" spans="1:11" ht="14.4" customHeight="1" thickBot="1" x14ac:dyDescent="0.35">
      <c r="A81" s="439" t="s">
        <v>356</v>
      </c>
      <c r="B81" s="417">
        <v>4.9406564584124654E-324</v>
      </c>
      <c r="C81" s="417">
        <v>1.41832</v>
      </c>
      <c r="D81" s="418">
        <v>1.41832</v>
      </c>
      <c r="E81" s="427" t="s">
        <v>288</v>
      </c>
      <c r="F81" s="417">
        <v>1.6728785378440001</v>
      </c>
      <c r="G81" s="418">
        <v>1.115252358562</v>
      </c>
      <c r="H81" s="420">
        <v>4.9406564584124654E-324</v>
      </c>
      <c r="I81" s="417">
        <v>3.9525251667299724E-323</v>
      </c>
      <c r="J81" s="418">
        <v>-1.115252358562</v>
      </c>
      <c r="K81" s="421">
        <v>2.4703282292062327E-323</v>
      </c>
    </row>
    <row r="82" spans="1:11" ht="14.4" customHeight="1" thickBot="1" x14ac:dyDescent="0.35">
      <c r="A82" s="438" t="s">
        <v>357</v>
      </c>
      <c r="B82" s="422">
        <v>7.5243945118999997E-2</v>
      </c>
      <c r="C82" s="422">
        <v>34.845170000000003</v>
      </c>
      <c r="D82" s="423">
        <v>34.769926054880003</v>
      </c>
      <c r="E82" s="429">
        <v>463.09599988193003</v>
      </c>
      <c r="F82" s="422">
        <v>199.99999999999699</v>
      </c>
      <c r="G82" s="423">
        <v>133.33333333333101</v>
      </c>
      <c r="H82" s="425">
        <v>4.9406564584124654E-324</v>
      </c>
      <c r="I82" s="422">
        <v>32.613950000000003</v>
      </c>
      <c r="J82" s="423">
        <v>-100.719383333331</v>
      </c>
      <c r="K82" s="430">
        <v>0.16306975000000001</v>
      </c>
    </row>
    <row r="83" spans="1:11" ht="14.4" customHeight="1" thickBot="1" x14ac:dyDescent="0.35">
      <c r="A83" s="439" t="s">
        <v>358</v>
      </c>
      <c r="B83" s="417">
        <v>4.9406564584124654E-324</v>
      </c>
      <c r="C83" s="417">
        <v>34.845170000000003</v>
      </c>
      <c r="D83" s="418">
        <v>34.845170000000003</v>
      </c>
      <c r="E83" s="427" t="s">
        <v>288</v>
      </c>
      <c r="F83" s="417">
        <v>149.99999999999699</v>
      </c>
      <c r="G83" s="418">
        <v>99.999999999997996</v>
      </c>
      <c r="H83" s="420">
        <v>4.9406564584124654E-324</v>
      </c>
      <c r="I83" s="417">
        <v>32.613950000000003</v>
      </c>
      <c r="J83" s="418">
        <v>-67.386049999997994</v>
      </c>
      <c r="K83" s="421">
        <v>0.21742633333299999</v>
      </c>
    </row>
    <row r="84" spans="1:11" ht="14.4" customHeight="1" thickBot="1" x14ac:dyDescent="0.35">
      <c r="A84" s="439" t="s">
        <v>359</v>
      </c>
      <c r="B84" s="417">
        <v>0</v>
      </c>
      <c r="C84" s="417">
        <v>4.9406564584124654E-324</v>
      </c>
      <c r="D84" s="418">
        <v>4.9406564584124654E-324</v>
      </c>
      <c r="E84" s="427" t="s">
        <v>282</v>
      </c>
      <c r="F84" s="417">
        <v>49.999999999998998</v>
      </c>
      <c r="G84" s="418">
        <v>33.333333333332</v>
      </c>
      <c r="H84" s="420">
        <v>4.9406564584124654E-324</v>
      </c>
      <c r="I84" s="417">
        <v>3.9525251667299724E-323</v>
      </c>
      <c r="J84" s="418">
        <v>-33.333333333332</v>
      </c>
      <c r="K84" s="421">
        <v>0</v>
      </c>
    </row>
    <row r="85" spans="1:11" ht="14.4" customHeight="1" thickBot="1" x14ac:dyDescent="0.35">
      <c r="A85" s="436" t="s">
        <v>48</v>
      </c>
      <c r="B85" s="417">
        <v>13788.9962865823</v>
      </c>
      <c r="C85" s="417">
        <v>15172.78686</v>
      </c>
      <c r="D85" s="418">
        <v>1383.79057341772</v>
      </c>
      <c r="E85" s="419">
        <v>1.100354699113</v>
      </c>
      <c r="F85" s="417">
        <v>15104.0746745999</v>
      </c>
      <c r="G85" s="418">
        <v>10069.3831164</v>
      </c>
      <c r="H85" s="420">
        <v>1029.3871200000001</v>
      </c>
      <c r="I85" s="417">
        <v>9678.6075200000105</v>
      </c>
      <c r="J85" s="418">
        <v>-390.775596399959</v>
      </c>
      <c r="K85" s="421">
        <v>0.64079446960599995</v>
      </c>
    </row>
    <row r="86" spans="1:11" ht="14.4" customHeight="1" thickBot="1" x14ac:dyDescent="0.35">
      <c r="A86" s="442" t="s">
        <v>360</v>
      </c>
      <c r="B86" s="422">
        <v>10226.9999999994</v>
      </c>
      <c r="C86" s="422">
        <v>11244.948</v>
      </c>
      <c r="D86" s="423">
        <v>1017.94800000057</v>
      </c>
      <c r="E86" s="429">
        <v>1.099535347609</v>
      </c>
      <c r="F86" s="422">
        <v>11196.9999999998</v>
      </c>
      <c r="G86" s="423">
        <v>7464.6666666665296</v>
      </c>
      <c r="H86" s="425">
        <v>762.548</v>
      </c>
      <c r="I86" s="422">
        <v>7174.3010000000004</v>
      </c>
      <c r="J86" s="423">
        <v>-290.36566666652698</v>
      </c>
      <c r="K86" s="430">
        <v>0.64073421452099999</v>
      </c>
    </row>
    <row r="87" spans="1:11" ht="14.4" customHeight="1" thickBot="1" x14ac:dyDescent="0.35">
      <c r="A87" s="438" t="s">
        <v>361</v>
      </c>
      <c r="B87" s="422">
        <v>10226.9999999994</v>
      </c>
      <c r="C87" s="422">
        <v>11221.867</v>
      </c>
      <c r="D87" s="423">
        <v>994.86700000056805</v>
      </c>
      <c r="E87" s="429">
        <v>1.097278478537</v>
      </c>
      <c r="F87" s="422">
        <v>11160.9999999998</v>
      </c>
      <c r="G87" s="423">
        <v>7440.6666666665296</v>
      </c>
      <c r="H87" s="425">
        <v>762.39099999999996</v>
      </c>
      <c r="I87" s="422">
        <v>7151.5340000000097</v>
      </c>
      <c r="J87" s="423">
        <v>-289.13266666652697</v>
      </c>
      <c r="K87" s="430">
        <v>0.64076104291699998</v>
      </c>
    </row>
    <row r="88" spans="1:11" ht="14.4" customHeight="1" thickBot="1" x14ac:dyDescent="0.35">
      <c r="A88" s="439" t="s">
        <v>362</v>
      </c>
      <c r="B88" s="417">
        <v>10226.9999999994</v>
      </c>
      <c r="C88" s="417">
        <v>11221.867</v>
      </c>
      <c r="D88" s="418">
        <v>994.86700000056805</v>
      </c>
      <c r="E88" s="419">
        <v>1.097278478537</v>
      </c>
      <c r="F88" s="417">
        <v>11160.9999999998</v>
      </c>
      <c r="G88" s="418">
        <v>7440.6666666665296</v>
      </c>
      <c r="H88" s="420">
        <v>762.39099999999996</v>
      </c>
      <c r="I88" s="417">
        <v>7151.5340000000097</v>
      </c>
      <c r="J88" s="418">
        <v>-289.13266666652697</v>
      </c>
      <c r="K88" s="421">
        <v>0.64076104291699998</v>
      </c>
    </row>
    <row r="89" spans="1:11" ht="14.4" customHeight="1" thickBot="1" x14ac:dyDescent="0.35">
      <c r="A89" s="438" t="s">
        <v>363</v>
      </c>
      <c r="B89" s="422">
        <v>4.9406564584124654E-324</v>
      </c>
      <c r="C89" s="422">
        <v>4.9406564584124654E-324</v>
      </c>
      <c r="D89" s="423">
        <v>0</v>
      </c>
      <c r="E89" s="429">
        <v>1</v>
      </c>
      <c r="F89" s="422">
        <v>4.9406564584124654E-324</v>
      </c>
      <c r="G89" s="423">
        <v>0</v>
      </c>
      <c r="H89" s="425">
        <v>0.157</v>
      </c>
      <c r="I89" s="422">
        <v>0.157</v>
      </c>
      <c r="J89" s="423">
        <v>0.157</v>
      </c>
      <c r="K89" s="426" t="s">
        <v>288</v>
      </c>
    </row>
    <row r="90" spans="1:11" ht="14.4" customHeight="1" thickBot="1" x14ac:dyDescent="0.35">
      <c r="A90" s="439" t="s">
        <v>364</v>
      </c>
      <c r="B90" s="417">
        <v>4.9406564584124654E-324</v>
      </c>
      <c r="C90" s="417">
        <v>4.9406564584124654E-324</v>
      </c>
      <c r="D90" s="418">
        <v>0</v>
      </c>
      <c r="E90" s="419">
        <v>1</v>
      </c>
      <c r="F90" s="417">
        <v>4.9406564584124654E-324</v>
      </c>
      <c r="G90" s="418">
        <v>0</v>
      </c>
      <c r="H90" s="420">
        <v>0.157</v>
      </c>
      <c r="I90" s="417">
        <v>0.157</v>
      </c>
      <c r="J90" s="418">
        <v>0.157</v>
      </c>
      <c r="K90" s="428" t="s">
        <v>288</v>
      </c>
    </row>
    <row r="91" spans="1:11" ht="14.4" customHeight="1" thickBot="1" x14ac:dyDescent="0.35">
      <c r="A91" s="438" t="s">
        <v>365</v>
      </c>
      <c r="B91" s="422">
        <v>4.9406564584124654E-324</v>
      </c>
      <c r="C91" s="422">
        <v>1.5</v>
      </c>
      <c r="D91" s="423">
        <v>1.5</v>
      </c>
      <c r="E91" s="424" t="s">
        <v>288</v>
      </c>
      <c r="F91" s="422">
        <v>0</v>
      </c>
      <c r="G91" s="423">
        <v>0</v>
      </c>
      <c r="H91" s="425">
        <v>4.9406564584124654E-324</v>
      </c>
      <c r="I91" s="422">
        <v>12.4</v>
      </c>
      <c r="J91" s="423">
        <v>12.4</v>
      </c>
      <c r="K91" s="426" t="s">
        <v>282</v>
      </c>
    </row>
    <row r="92" spans="1:11" ht="14.4" customHeight="1" thickBot="1" x14ac:dyDescent="0.35">
      <c r="A92" s="439" t="s">
        <v>366</v>
      </c>
      <c r="B92" s="417">
        <v>4.9406564584124654E-324</v>
      </c>
      <c r="C92" s="417">
        <v>1.5</v>
      </c>
      <c r="D92" s="418">
        <v>1.5</v>
      </c>
      <c r="E92" s="427" t="s">
        <v>288</v>
      </c>
      <c r="F92" s="417">
        <v>0</v>
      </c>
      <c r="G92" s="418">
        <v>0</v>
      </c>
      <c r="H92" s="420">
        <v>4.9406564584124654E-324</v>
      </c>
      <c r="I92" s="417">
        <v>12.4</v>
      </c>
      <c r="J92" s="418">
        <v>12.4</v>
      </c>
      <c r="K92" s="428" t="s">
        <v>282</v>
      </c>
    </row>
    <row r="93" spans="1:11" ht="14.4" customHeight="1" thickBot="1" x14ac:dyDescent="0.35">
      <c r="A93" s="438" t="s">
        <v>367</v>
      </c>
      <c r="B93" s="422">
        <v>0</v>
      </c>
      <c r="C93" s="422">
        <v>21.581</v>
      </c>
      <c r="D93" s="423">
        <v>21.581</v>
      </c>
      <c r="E93" s="424" t="s">
        <v>282</v>
      </c>
      <c r="F93" s="422">
        <v>35.999999999998998</v>
      </c>
      <c r="G93" s="423">
        <v>23.999999999999002</v>
      </c>
      <c r="H93" s="425">
        <v>4.9406564584124654E-324</v>
      </c>
      <c r="I93" s="422">
        <v>10.210000000000001</v>
      </c>
      <c r="J93" s="423">
        <v>-13.789999999999001</v>
      </c>
      <c r="K93" s="430">
        <v>0.28361111111100001</v>
      </c>
    </row>
    <row r="94" spans="1:11" ht="14.4" customHeight="1" thickBot="1" x14ac:dyDescent="0.35">
      <c r="A94" s="439" t="s">
        <v>368</v>
      </c>
      <c r="B94" s="417">
        <v>0</v>
      </c>
      <c r="C94" s="417">
        <v>21.581</v>
      </c>
      <c r="D94" s="418">
        <v>21.581</v>
      </c>
      <c r="E94" s="427" t="s">
        <v>282</v>
      </c>
      <c r="F94" s="417">
        <v>35.999999999998998</v>
      </c>
      <c r="G94" s="418">
        <v>23.999999999999002</v>
      </c>
      <c r="H94" s="420">
        <v>4.9406564584124654E-324</v>
      </c>
      <c r="I94" s="417">
        <v>10.210000000000001</v>
      </c>
      <c r="J94" s="418">
        <v>-13.789999999999001</v>
      </c>
      <c r="K94" s="421">
        <v>0.28361111111100001</v>
      </c>
    </row>
    <row r="95" spans="1:11" ht="14.4" customHeight="1" thickBot="1" x14ac:dyDescent="0.35">
      <c r="A95" s="437" t="s">
        <v>369</v>
      </c>
      <c r="B95" s="417">
        <v>3459.9962865828602</v>
      </c>
      <c r="C95" s="417">
        <v>3815.3982000000001</v>
      </c>
      <c r="D95" s="418">
        <v>355.401913417142</v>
      </c>
      <c r="E95" s="419">
        <v>1.1027174262570001</v>
      </c>
      <c r="F95" s="417">
        <v>3795.07467460015</v>
      </c>
      <c r="G95" s="418">
        <v>2530.04978306677</v>
      </c>
      <c r="H95" s="420">
        <v>259.21463999999997</v>
      </c>
      <c r="I95" s="417">
        <v>2432.6407399999998</v>
      </c>
      <c r="J95" s="418">
        <v>-97.409043066764994</v>
      </c>
      <c r="K95" s="421">
        <v>0.64099943968899997</v>
      </c>
    </row>
    <row r="96" spans="1:11" ht="14.4" customHeight="1" thickBot="1" x14ac:dyDescent="0.35">
      <c r="A96" s="438" t="s">
        <v>370</v>
      </c>
      <c r="B96" s="422">
        <v>915.99999294962402</v>
      </c>
      <c r="C96" s="422">
        <v>1009.95647</v>
      </c>
      <c r="D96" s="423">
        <v>93.956477050375995</v>
      </c>
      <c r="E96" s="429">
        <v>1.1025725739879999</v>
      </c>
      <c r="F96" s="422">
        <v>1004.07467460021</v>
      </c>
      <c r="G96" s="423">
        <v>669.38311640013796</v>
      </c>
      <c r="H96" s="425">
        <v>68.616910000000004</v>
      </c>
      <c r="I96" s="422">
        <v>643.93232</v>
      </c>
      <c r="J96" s="423">
        <v>-25.450796400137001</v>
      </c>
      <c r="K96" s="430">
        <v>0.64131915313599996</v>
      </c>
    </row>
    <row r="97" spans="1:11" ht="14.4" customHeight="1" thickBot="1" x14ac:dyDescent="0.35">
      <c r="A97" s="439" t="s">
        <v>371</v>
      </c>
      <c r="B97" s="417">
        <v>915.99999294962402</v>
      </c>
      <c r="C97" s="417">
        <v>1009.95647</v>
      </c>
      <c r="D97" s="418">
        <v>93.956477050375995</v>
      </c>
      <c r="E97" s="419">
        <v>1.1025725739879999</v>
      </c>
      <c r="F97" s="417">
        <v>1004.07467460021</v>
      </c>
      <c r="G97" s="418">
        <v>669.38311640013796</v>
      </c>
      <c r="H97" s="420">
        <v>68.616910000000004</v>
      </c>
      <c r="I97" s="417">
        <v>643.93232</v>
      </c>
      <c r="J97" s="418">
        <v>-25.450796400137001</v>
      </c>
      <c r="K97" s="421">
        <v>0.64131915313599996</v>
      </c>
    </row>
    <row r="98" spans="1:11" ht="14.4" customHeight="1" thickBot="1" x14ac:dyDescent="0.35">
      <c r="A98" s="438" t="s">
        <v>372</v>
      </c>
      <c r="B98" s="422">
        <v>2543.9962936332399</v>
      </c>
      <c r="C98" s="422">
        <v>2805.44173</v>
      </c>
      <c r="D98" s="423">
        <v>261.44543636676599</v>
      </c>
      <c r="E98" s="429">
        <v>1.102769582259</v>
      </c>
      <c r="F98" s="422">
        <v>2790.99999999994</v>
      </c>
      <c r="G98" s="423">
        <v>1860.6666666666299</v>
      </c>
      <c r="H98" s="425">
        <v>190.59773000000001</v>
      </c>
      <c r="I98" s="422">
        <v>1788.7084199999999</v>
      </c>
      <c r="J98" s="423">
        <v>-71.958246666627005</v>
      </c>
      <c r="K98" s="430">
        <v>0.64088442135400003</v>
      </c>
    </row>
    <row r="99" spans="1:11" ht="14.4" customHeight="1" thickBot="1" x14ac:dyDescent="0.35">
      <c r="A99" s="439" t="s">
        <v>373</v>
      </c>
      <c r="B99" s="417">
        <v>2543.9962936332399</v>
      </c>
      <c r="C99" s="417">
        <v>2805.44173</v>
      </c>
      <c r="D99" s="418">
        <v>261.44543636676599</v>
      </c>
      <c r="E99" s="419">
        <v>1.102769582259</v>
      </c>
      <c r="F99" s="417">
        <v>2790.99999999994</v>
      </c>
      <c r="G99" s="418">
        <v>1860.6666666666299</v>
      </c>
      <c r="H99" s="420">
        <v>190.59773000000001</v>
      </c>
      <c r="I99" s="417">
        <v>1788.7084199999999</v>
      </c>
      <c r="J99" s="418">
        <v>-71.958246666627005</v>
      </c>
      <c r="K99" s="421">
        <v>0.64088442135400003</v>
      </c>
    </row>
    <row r="100" spans="1:11" ht="14.4" customHeight="1" thickBot="1" x14ac:dyDescent="0.35">
      <c r="A100" s="437" t="s">
        <v>374</v>
      </c>
      <c r="B100" s="417">
        <v>101.999999999994</v>
      </c>
      <c r="C100" s="417">
        <v>112.44065999999999</v>
      </c>
      <c r="D100" s="418">
        <v>10.440660000005</v>
      </c>
      <c r="E100" s="419">
        <v>1.1023594117640001</v>
      </c>
      <c r="F100" s="417">
        <v>111.999999999998</v>
      </c>
      <c r="G100" s="418">
        <v>74.666666666664995</v>
      </c>
      <c r="H100" s="420">
        <v>7.6244800000000001</v>
      </c>
      <c r="I100" s="417">
        <v>71.665779999999998</v>
      </c>
      <c r="J100" s="418">
        <v>-3.000886666665</v>
      </c>
      <c r="K100" s="421">
        <v>0.639873035714</v>
      </c>
    </row>
    <row r="101" spans="1:11" ht="14.4" customHeight="1" thickBot="1" x14ac:dyDescent="0.35">
      <c r="A101" s="438" t="s">
        <v>375</v>
      </c>
      <c r="B101" s="422">
        <v>101.999999999994</v>
      </c>
      <c r="C101" s="422">
        <v>112.44065999999999</v>
      </c>
      <c r="D101" s="423">
        <v>10.440660000005</v>
      </c>
      <c r="E101" s="429">
        <v>1.1023594117640001</v>
      </c>
      <c r="F101" s="422">
        <v>111.999999999998</v>
      </c>
      <c r="G101" s="423">
        <v>74.666666666664995</v>
      </c>
      <c r="H101" s="425">
        <v>7.6244800000000001</v>
      </c>
      <c r="I101" s="422">
        <v>71.665779999999998</v>
      </c>
      <c r="J101" s="423">
        <v>-3.000886666665</v>
      </c>
      <c r="K101" s="430">
        <v>0.639873035714</v>
      </c>
    </row>
    <row r="102" spans="1:11" ht="14.4" customHeight="1" thickBot="1" x14ac:dyDescent="0.35">
      <c r="A102" s="439" t="s">
        <v>376</v>
      </c>
      <c r="B102" s="417">
        <v>101.999999999994</v>
      </c>
      <c r="C102" s="417">
        <v>112.44065999999999</v>
      </c>
      <c r="D102" s="418">
        <v>10.440660000005</v>
      </c>
      <c r="E102" s="419">
        <v>1.1023594117640001</v>
      </c>
      <c r="F102" s="417">
        <v>111.999999999998</v>
      </c>
      <c r="G102" s="418">
        <v>74.666666666664995</v>
      </c>
      <c r="H102" s="420">
        <v>7.6244800000000001</v>
      </c>
      <c r="I102" s="417">
        <v>71.665779999999998</v>
      </c>
      <c r="J102" s="418">
        <v>-3.000886666665</v>
      </c>
      <c r="K102" s="421">
        <v>0.639873035714</v>
      </c>
    </row>
    <row r="103" spans="1:11" ht="14.4" customHeight="1" thickBot="1" x14ac:dyDescent="0.35">
      <c r="A103" s="436" t="s">
        <v>377</v>
      </c>
      <c r="B103" s="417">
        <v>0</v>
      </c>
      <c r="C103" s="417">
        <v>79.657390000000007</v>
      </c>
      <c r="D103" s="418">
        <v>79.657390000000007</v>
      </c>
      <c r="E103" s="427" t="s">
        <v>282</v>
      </c>
      <c r="F103" s="417">
        <v>0</v>
      </c>
      <c r="G103" s="418">
        <v>0</v>
      </c>
      <c r="H103" s="420">
        <v>21.968</v>
      </c>
      <c r="I103" s="417">
        <v>97.86054</v>
      </c>
      <c r="J103" s="418">
        <v>97.86054</v>
      </c>
      <c r="K103" s="428" t="s">
        <v>282</v>
      </c>
    </row>
    <row r="104" spans="1:11" ht="14.4" customHeight="1" thickBot="1" x14ac:dyDescent="0.35">
      <c r="A104" s="437" t="s">
        <v>378</v>
      </c>
      <c r="B104" s="417">
        <v>4.9406564584124654E-324</v>
      </c>
      <c r="C104" s="417">
        <v>2.3916400000000002</v>
      </c>
      <c r="D104" s="418">
        <v>2.3916400000000002</v>
      </c>
      <c r="E104" s="427" t="s">
        <v>288</v>
      </c>
      <c r="F104" s="417">
        <v>0</v>
      </c>
      <c r="G104" s="418">
        <v>0</v>
      </c>
      <c r="H104" s="420">
        <v>4.9406564584124654E-324</v>
      </c>
      <c r="I104" s="417">
        <v>3.9525251667299724E-323</v>
      </c>
      <c r="J104" s="418">
        <v>3.9525251667299724E-323</v>
      </c>
      <c r="K104" s="428" t="s">
        <v>282</v>
      </c>
    </row>
    <row r="105" spans="1:11" ht="14.4" customHeight="1" thickBot="1" x14ac:dyDescent="0.35">
      <c r="A105" s="438" t="s">
        <v>379</v>
      </c>
      <c r="B105" s="422">
        <v>4.9406564584124654E-324</v>
      </c>
      <c r="C105" s="422">
        <v>2.3916400000000002</v>
      </c>
      <c r="D105" s="423">
        <v>2.3916400000000002</v>
      </c>
      <c r="E105" s="424" t="s">
        <v>288</v>
      </c>
      <c r="F105" s="422">
        <v>0</v>
      </c>
      <c r="G105" s="423">
        <v>0</v>
      </c>
      <c r="H105" s="425">
        <v>4.9406564584124654E-324</v>
      </c>
      <c r="I105" s="422">
        <v>3.9525251667299724E-323</v>
      </c>
      <c r="J105" s="423">
        <v>3.9525251667299724E-323</v>
      </c>
      <c r="K105" s="426" t="s">
        <v>282</v>
      </c>
    </row>
    <row r="106" spans="1:11" ht="14.4" customHeight="1" thickBot="1" x14ac:dyDescent="0.35">
      <c r="A106" s="439" t="s">
        <v>380</v>
      </c>
      <c r="B106" s="417">
        <v>4.9406564584124654E-324</v>
      </c>
      <c r="C106" s="417">
        <v>2.3916400000000002</v>
      </c>
      <c r="D106" s="418">
        <v>2.3916400000000002</v>
      </c>
      <c r="E106" s="427" t="s">
        <v>288</v>
      </c>
      <c r="F106" s="417">
        <v>0</v>
      </c>
      <c r="G106" s="418">
        <v>0</v>
      </c>
      <c r="H106" s="420">
        <v>4.9406564584124654E-324</v>
      </c>
      <c r="I106" s="417">
        <v>3.9525251667299724E-323</v>
      </c>
      <c r="J106" s="418">
        <v>3.9525251667299724E-323</v>
      </c>
      <c r="K106" s="428" t="s">
        <v>282</v>
      </c>
    </row>
    <row r="107" spans="1:11" ht="14.4" customHeight="1" thickBot="1" x14ac:dyDescent="0.35">
      <c r="A107" s="437" t="s">
        <v>381</v>
      </c>
      <c r="B107" s="417">
        <v>0</v>
      </c>
      <c r="C107" s="417">
        <v>77.265749999999997</v>
      </c>
      <c r="D107" s="418">
        <v>77.265749999999997</v>
      </c>
      <c r="E107" s="427" t="s">
        <v>282</v>
      </c>
      <c r="F107" s="417">
        <v>0</v>
      </c>
      <c r="G107" s="418">
        <v>0</v>
      </c>
      <c r="H107" s="420">
        <v>21.968</v>
      </c>
      <c r="I107" s="417">
        <v>97.86054</v>
      </c>
      <c r="J107" s="418">
        <v>97.86054</v>
      </c>
      <c r="K107" s="428" t="s">
        <v>282</v>
      </c>
    </row>
    <row r="108" spans="1:11" ht="14.4" customHeight="1" thickBot="1" x14ac:dyDescent="0.35">
      <c r="A108" s="438" t="s">
        <v>382</v>
      </c>
      <c r="B108" s="422">
        <v>0</v>
      </c>
      <c r="C108" s="422">
        <v>36.530749999999998</v>
      </c>
      <c r="D108" s="423">
        <v>36.530749999999998</v>
      </c>
      <c r="E108" s="424" t="s">
        <v>282</v>
      </c>
      <c r="F108" s="422">
        <v>0</v>
      </c>
      <c r="G108" s="423">
        <v>0</v>
      </c>
      <c r="H108" s="425">
        <v>4.9406564584124654E-324</v>
      </c>
      <c r="I108" s="422">
        <v>51.192419999999998</v>
      </c>
      <c r="J108" s="423">
        <v>51.192419999999998</v>
      </c>
      <c r="K108" s="426" t="s">
        <v>282</v>
      </c>
    </row>
    <row r="109" spans="1:11" ht="14.4" customHeight="1" thickBot="1" x14ac:dyDescent="0.35">
      <c r="A109" s="439" t="s">
        <v>383</v>
      </c>
      <c r="B109" s="417">
        <v>0</v>
      </c>
      <c r="C109" s="417">
        <v>1.7669999999999999</v>
      </c>
      <c r="D109" s="418">
        <v>1.7669999999999999</v>
      </c>
      <c r="E109" s="427" t="s">
        <v>282</v>
      </c>
      <c r="F109" s="417">
        <v>0</v>
      </c>
      <c r="G109" s="418">
        <v>0</v>
      </c>
      <c r="H109" s="420">
        <v>4.9406564584124654E-324</v>
      </c>
      <c r="I109" s="417">
        <v>0.38335000000000002</v>
      </c>
      <c r="J109" s="418">
        <v>0.38335000000000002</v>
      </c>
      <c r="K109" s="428" t="s">
        <v>282</v>
      </c>
    </row>
    <row r="110" spans="1:11" ht="14.4" customHeight="1" thickBot="1" x14ac:dyDescent="0.35">
      <c r="A110" s="439" t="s">
        <v>384</v>
      </c>
      <c r="B110" s="417">
        <v>0</v>
      </c>
      <c r="C110" s="417">
        <v>7.829999999999</v>
      </c>
      <c r="D110" s="418">
        <v>7.829999999999</v>
      </c>
      <c r="E110" s="427" t="s">
        <v>282</v>
      </c>
      <c r="F110" s="417">
        <v>0</v>
      </c>
      <c r="G110" s="418">
        <v>0</v>
      </c>
      <c r="H110" s="420">
        <v>4.9406564584124654E-324</v>
      </c>
      <c r="I110" s="417">
        <v>8.2349999999999994</v>
      </c>
      <c r="J110" s="418">
        <v>8.2349999999999994</v>
      </c>
      <c r="K110" s="428" t="s">
        <v>282</v>
      </c>
    </row>
    <row r="111" spans="1:11" ht="14.4" customHeight="1" thickBot="1" x14ac:dyDescent="0.35">
      <c r="A111" s="439" t="s">
        <v>385</v>
      </c>
      <c r="B111" s="417">
        <v>0</v>
      </c>
      <c r="C111" s="417">
        <v>26.93375</v>
      </c>
      <c r="D111" s="418">
        <v>26.93375</v>
      </c>
      <c r="E111" s="427" t="s">
        <v>282</v>
      </c>
      <c r="F111" s="417">
        <v>0</v>
      </c>
      <c r="G111" s="418">
        <v>0</v>
      </c>
      <c r="H111" s="420">
        <v>4.9406564584124654E-324</v>
      </c>
      <c r="I111" s="417">
        <v>36.532980000000002</v>
      </c>
      <c r="J111" s="418">
        <v>36.532980000000002</v>
      </c>
      <c r="K111" s="428" t="s">
        <v>282</v>
      </c>
    </row>
    <row r="112" spans="1:11" ht="14.4" customHeight="1" thickBot="1" x14ac:dyDescent="0.35">
      <c r="A112" s="439" t="s">
        <v>386</v>
      </c>
      <c r="B112" s="417">
        <v>0</v>
      </c>
      <c r="C112" s="417">
        <v>4.9406564584124654E-324</v>
      </c>
      <c r="D112" s="418">
        <v>4.9406564584124654E-324</v>
      </c>
      <c r="E112" s="427" t="s">
        <v>282</v>
      </c>
      <c r="F112" s="417">
        <v>4.9406564584124654E-324</v>
      </c>
      <c r="G112" s="418">
        <v>0</v>
      </c>
      <c r="H112" s="420">
        <v>4.9406564584124654E-324</v>
      </c>
      <c r="I112" s="417">
        <v>0.60499999999999998</v>
      </c>
      <c r="J112" s="418">
        <v>0.60499999999999998</v>
      </c>
      <c r="K112" s="428" t="s">
        <v>288</v>
      </c>
    </row>
    <row r="113" spans="1:11" ht="14.4" customHeight="1" thickBot="1" x14ac:dyDescent="0.35">
      <c r="A113" s="439" t="s">
        <v>387</v>
      </c>
      <c r="B113" s="417">
        <v>4.9406564584124654E-324</v>
      </c>
      <c r="C113" s="417">
        <v>4.9406564584124654E-324</v>
      </c>
      <c r="D113" s="418">
        <v>0</v>
      </c>
      <c r="E113" s="419">
        <v>1</v>
      </c>
      <c r="F113" s="417">
        <v>4.9406564584124654E-324</v>
      </c>
      <c r="G113" s="418">
        <v>0</v>
      </c>
      <c r="H113" s="420">
        <v>4.9406564584124654E-324</v>
      </c>
      <c r="I113" s="417">
        <v>5.4360900000000001</v>
      </c>
      <c r="J113" s="418">
        <v>5.4360900000000001</v>
      </c>
      <c r="K113" s="428" t="s">
        <v>288</v>
      </c>
    </row>
    <row r="114" spans="1:11" ht="14.4" customHeight="1" thickBot="1" x14ac:dyDescent="0.35">
      <c r="A114" s="438" t="s">
        <v>388</v>
      </c>
      <c r="B114" s="422">
        <v>4.9406564584124654E-324</v>
      </c>
      <c r="C114" s="422">
        <v>4.9406564584124654E-324</v>
      </c>
      <c r="D114" s="423">
        <v>0</v>
      </c>
      <c r="E114" s="429">
        <v>1</v>
      </c>
      <c r="F114" s="422">
        <v>4.9406564584124654E-324</v>
      </c>
      <c r="G114" s="423">
        <v>0</v>
      </c>
      <c r="H114" s="425">
        <v>4.9406564584124654E-324</v>
      </c>
      <c r="I114" s="422">
        <v>2.3001200000000002</v>
      </c>
      <c r="J114" s="423">
        <v>2.3001200000000002</v>
      </c>
      <c r="K114" s="426" t="s">
        <v>288</v>
      </c>
    </row>
    <row r="115" spans="1:11" ht="14.4" customHeight="1" thickBot="1" x14ac:dyDescent="0.35">
      <c r="A115" s="439" t="s">
        <v>389</v>
      </c>
      <c r="B115" s="417">
        <v>4.9406564584124654E-324</v>
      </c>
      <c r="C115" s="417">
        <v>4.9406564584124654E-324</v>
      </c>
      <c r="D115" s="418">
        <v>0</v>
      </c>
      <c r="E115" s="419">
        <v>1</v>
      </c>
      <c r="F115" s="417">
        <v>4.9406564584124654E-324</v>
      </c>
      <c r="G115" s="418">
        <v>0</v>
      </c>
      <c r="H115" s="420">
        <v>4.9406564584124654E-324</v>
      </c>
      <c r="I115" s="417">
        <v>2.3001200000000002</v>
      </c>
      <c r="J115" s="418">
        <v>2.3001200000000002</v>
      </c>
      <c r="K115" s="428" t="s">
        <v>288</v>
      </c>
    </row>
    <row r="116" spans="1:11" ht="14.4" customHeight="1" thickBot="1" x14ac:dyDescent="0.35">
      <c r="A116" s="441" t="s">
        <v>390</v>
      </c>
      <c r="B116" s="417">
        <v>0</v>
      </c>
      <c r="C116" s="417">
        <v>22.85</v>
      </c>
      <c r="D116" s="418">
        <v>22.85</v>
      </c>
      <c r="E116" s="427" t="s">
        <v>282</v>
      </c>
      <c r="F116" s="417">
        <v>0</v>
      </c>
      <c r="G116" s="418">
        <v>0</v>
      </c>
      <c r="H116" s="420">
        <v>4.9406564584124654E-324</v>
      </c>
      <c r="I116" s="417">
        <v>3.3</v>
      </c>
      <c r="J116" s="418">
        <v>3.3</v>
      </c>
      <c r="K116" s="428" t="s">
        <v>282</v>
      </c>
    </row>
    <row r="117" spans="1:11" ht="14.4" customHeight="1" thickBot="1" x14ac:dyDescent="0.35">
      <c r="A117" s="439" t="s">
        <v>391</v>
      </c>
      <c r="B117" s="417">
        <v>0</v>
      </c>
      <c r="C117" s="417">
        <v>22.85</v>
      </c>
      <c r="D117" s="418">
        <v>22.85</v>
      </c>
      <c r="E117" s="427" t="s">
        <v>282</v>
      </c>
      <c r="F117" s="417">
        <v>0</v>
      </c>
      <c r="G117" s="418">
        <v>0</v>
      </c>
      <c r="H117" s="420">
        <v>4.9406564584124654E-324</v>
      </c>
      <c r="I117" s="417">
        <v>3.3</v>
      </c>
      <c r="J117" s="418">
        <v>3.3</v>
      </c>
      <c r="K117" s="428" t="s">
        <v>282</v>
      </c>
    </row>
    <row r="118" spans="1:11" ht="14.4" customHeight="1" thickBot="1" x14ac:dyDescent="0.35">
      <c r="A118" s="441" t="s">
        <v>392</v>
      </c>
      <c r="B118" s="417">
        <v>4.9406564584124654E-324</v>
      </c>
      <c r="C118" s="417">
        <v>13.859</v>
      </c>
      <c r="D118" s="418">
        <v>13.859</v>
      </c>
      <c r="E118" s="427" t="s">
        <v>288</v>
      </c>
      <c r="F118" s="417">
        <v>0</v>
      </c>
      <c r="G118" s="418">
        <v>0</v>
      </c>
      <c r="H118" s="420">
        <v>4.9406564584124654E-324</v>
      </c>
      <c r="I118" s="417">
        <v>5.3650000000000002</v>
      </c>
      <c r="J118" s="418">
        <v>5.3650000000000002</v>
      </c>
      <c r="K118" s="428" t="s">
        <v>282</v>
      </c>
    </row>
    <row r="119" spans="1:11" ht="14.4" customHeight="1" thickBot="1" x14ac:dyDescent="0.35">
      <c r="A119" s="439" t="s">
        <v>393</v>
      </c>
      <c r="B119" s="417">
        <v>4.9406564584124654E-324</v>
      </c>
      <c r="C119" s="417">
        <v>13.859</v>
      </c>
      <c r="D119" s="418">
        <v>13.859</v>
      </c>
      <c r="E119" s="427" t="s">
        <v>288</v>
      </c>
      <c r="F119" s="417">
        <v>0</v>
      </c>
      <c r="G119" s="418">
        <v>0</v>
      </c>
      <c r="H119" s="420">
        <v>4.9406564584124654E-324</v>
      </c>
      <c r="I119" s="417">
        <v>5.3650000000000002</v>
      </c>
      <c r="J119" s="418">
        <v>5.3650000000000002</v>
      </c>
      <c r="K119" s="428" t="s">
        <v>282</v>
      </c>
    </row>
    <row r="120" spans="1:11" ht="14.4" customHeight="1" thickBot="1" x14ac:dyDescent="0.35">
      <c r="A120" s="441" t="s">
        <v>394</v>
      </c>
      <c r="B120" s="417">
        <v>4.9406564584124654E-324</v>
      </c>
      <c r="C120" s="417">
        <v>4.9406564584124654E-324</v>
      </c>
      <c r="D120" s="418">
        <v>0</v>
      </c>
      <c r="E120" s="419">
        <v>1</v>
      </c>
      <c r="F120" s="417">
        <v>4.9406564584124654E-324</v>
      </c>
      <c r="G120" s="418">
        <v>0</v>
      </c>
      <c r="H120" s="420">
        <v>21.968</v>
      </c>
      <c r="I120" s="417">
        <v>35.703000000000003</v>
      </c>
      <c r="J120" s="418">
        <v>35.703000000000003</v>
      </c>
      <c r="K120" s="428" t="s">
        <v>288</v>
      </c>
    </row>
    <row r="121" spans="1:11" ht="14.4" customHeight="1" thickBot="1" x14ac:dyDescent="0.35">
      <c r="A121" s="439" t="s">
        <v>395</v>
      </c>
      <c r="B121" s="417">
        <v>4.9406564584124654E-324</v>
      </c>
      <c r="C121" s="417">
        <v>4.9406564584124654E-324</v>
      </c>
      <c r="D121" s="418">
        <v>0</v>
      </c>
      <c r="E121" s="419">
        <v>1</v>
      </c>
      <c r="F121" s="417">
        <v>4.9406564584124654E-324</v>
      </c>
      <c r="G121" s="418">
        <v>0</v>
      </c>
      <c r="H121" s="420">
        <v>21.968</v>
      </c>
      <c r="I121" s="417">
        <v>35.703000000000003</v>
      </c>
      <c r="J121" s="418">
        <v>35.703000000000003</v>
      </c>
      <c r="K121" s="428" t="s">
        <v>288</v>
      </c>
    </row>
    <row r="122" spans="1:11" ht="14.4" customHeight="1" thickBot="1" x14ac:dyDescent="0.35">
      <c r="A122" s="438" t="s">
        <v>396</v>
      </c>
      <c r="B122" s="422">
        <v>0</v>
      </c>
      <c r="C122" s="422">
        <v>4.0259999999999998</v>
      </c>
      <c r="D122" s="423">
        <v>4.0259999999999998</v>
      </c>
      <c r="E122" s="424" t="s">
        <v>282</v>
      </c>
      <c r="F122" s="422">
        <v>0</v>
      </c>
      <c r="G122" s="423">
        <v>0</v>
      </c>
      <c r="H122" s="425">
        <v>4.9406564584124654E-324</v>
      </c>
      <c r="I122" s="422">
        <v>3.9525251667299724E-323</v>
      </c>
      <c r="J122" s="423">
        <v>3.9525251667299724E-323</v>
      </c>
      <c r="K122" s="426" t="s">
        <v>282</v>
      </c>
    </row>
    <row r="123" spans="1:11" ht="14.4" customHeight="1" thickBot="1" x14ac:dyDescent="0.35">
      <c r="A123" s="439" t="s">
        <v>397</v>
      </c>
      <c r="B123" s="417">
        <v>4.9406564584124654E-324</v>
      </c>
      <c r="C123" s="417">
        <v>4.0259999999999998</v>
      </c>
      <c r="D123" s="418">
        <v>4.0259999999999998</v>
      </c>
      <c r="E123" s="427" t="s">
        <v>288</v>
      </c>
      <c r="F123" s="417">
        <v>0</v>
      </c>
      <c r="G123" s="418">
        <v>0</v>
      </c>
      <c r="H123" s="420">
        <v>4.9406564584124654E-324</v>
      </c>
      <c r="I123" s="417">
        <v>3.9525251667299724E-323</v>
      </c>
      <c r="J123" s="418">
        <v>3.9525251667299724E-323</v>
      </c>
      <c r="K123" s="428" t="s">
        <v>282</v>
      </c>
    </row>
    <row r="124" spans="1:11" ht="14.4" customHeight="1" thickBot="1" x14ac:dyDescent="0.35">
      <c r="A124" s="436" t="s">
        <v>398</v>
      </c>
      <c r="B124" s="417">
        <v>2768.9999999998499</v>
      </c>
      <c r="C124" s="417">
        <v>2971.6813000000002</v>
      </c>
      <c r="D124" s="418">
        <v>202.68130000015299</v>
      </c>
      <c r="E124" s="419">
        <v>1.0731965691580001</v>
      </c>
      <c r="F124" s="417">
        <v>2871.9811064957298</v>
      </c>
      <c r="G124" s="418">
        <v>1914.65407099716</v>
      </c>
      <c r="H124" s="420">
        <v>194.26599999999999</v>
      </c>
      <c r="I124" s="417">
        <v>1812.1249299999999</v>
      </c>
      <c r="J124" s="418">
        <v>-102.529140997154</v>
      </c>
      <c r="K124" s="421">
        <v>0.63096687018599995</v>
      </c>
    </row>
    <row r="125" spans="1:11" ht="14.4" customHeight="1" thickBot="1" x14ac:dyDescent="0.35">
      <c r="A125" s="437" t="s">
        <v>399</v>
      </c>
      <c r="B125" s="417">
        <v>2768.9999999998499</v>
      </c>
      <c r="C125" s="417">
        <v>2813.3939999999998</v>
      </c>
      <c r="D125" s="418">
        <v>44.394000000153</v>
      </c>
      <c r="E125" s="419">
        <v>1.0160325027079999</v>
      </c>
      <c r="F125" s="417">
        <v>2821.9811064957298</v>
      </c>
      <c r="G125" s="418">
        <v>1881.32073766382</v>
      </c>
      <c r="H125" s="420">
        <v>171.208</v>
      </c>
      <c r="I125" s="417">
        <v>1756.0219999999999</v>
      </c>
      <c r="J125" s="418">
        <v>-125.298737663821</v>
      </c>
      <c r="K125" s="421">
        <v>0.62226568277000005</v>
      </c>
    </row>
    <row r="126" spans="1:11" ht="14.4" customHeight="1" thickBot="1" x14ac:dyDescent="0.35">
      <c r="A126" s="438" t="s">
        <v>400</v>
      </c>
      <c r="B126" s="422">
        <v>2768.9999999998499</v>
      </c>
      <c r="C126" s="422">
        <v>2813.3939999999998</v>
      </c>
      <c r="D126" s="423">
        <v>44.394000000153</v>
      </c>
      <c r="E126" s="429">
        <v>1.0160325027079999</v>
      </c>
      <c r="F126" s="422">
        <v>2821.9811064957298</v>
      </c>
      <c r="G126" s="423">
        <v>1881.32073766382</v>
      </c>
      <c r="H126" s="425">
        <v>171.208</v>
      </c>
      <c r="I126" s="422">
        <v>1756.0219999999999</v>
      </c>
      <c r="J126" s="423">
        <v>-125.298737663821</v>
      </c>
      <c r="K126" s="430">
        <v>0.62226568277000005</v>
      </c>
    </row>
    <row r="127" spans="1:11" ht="14.4" customHeight="1" thickBot="1" x14ac:dyDescent="0.35">
      <c r="A127" s="439" t="s">
        <v>401</v>
      </c>
      <c r="B127" s="417">
        <v>48.999999999997002</v>
      </c>
      <c r="C127" s="417">
        <v>49.436</v>
      </c>
      <c r="D127" s="418">
        <v>0.43600000000200001</v>
      </c>
      <c r="E127" s="419">
        <v>1.0088979591830001</v>
      </c>
      <c r="F127" s="417">
        <v>41.999999999998998</v>
      </c>
      <c r="G127" s="418">
        <v>27.999999999999002</v>
      </c>
      <c r="H127" s="420">
        <v>3.528</v>
      </c>
      <c r="I127" s="417">
        <v>28.224</v>
      </c>
      <c r="J127" s="418">
        <v>0.224</v>
      </c>
      <c r="K127" s="421">
        <v>0.67200000000000004</v>
      </c>
    </row>
    <row r="128" spans="1:11" ht="14.4" customHeight="1" thickBot="1" x14ac:dyDescent="0.35">
      <c r="A128" s="439" t="s">
        <v>402</v>
      </c>
      <c r="B128" s="417">
        <v>414.99999999997698</v>
      </c>
      <c r="C128" s="417">
        <v>464.714</v>
      </c>
      <c r="D128" s="418">
        <v>49.714000000022999</v>
      </c>
      <c r="E128" s="419">
        <v>1.1197927710840001</v>
      </c>
      <c r="F128" s="417">
        <v>473.98116808502499</v>
      </c>
      <c r="G128" s="418">
        <v>315.987445390017</v>
      </c>
      <c r="H128" s="420">
        <v>35.131999999999998</v>
      </c>
      <c r="I128" s="417">
        <v>311.76499999999999</v>
      </c>
      <c r="J128" s="418">
        <v>-4.2224453900160004</v>
      </c>
      <c r="K128" s="421">
        <v>0.65775820009800001</v>
      </c>
    </row>
    <row r="129" spans="1:11" ht="14.4" customHeight="1" thickBot="1" x14ac:dyDescent="0.35">
      <c r="A129" s="439" t="s">
        <v>403</v>
      </c>
      <c r="B129" s="417">
        <v>2299.9999999998699</v>
      </c>
      <c r="C129" s="417">
        <v>2294.0770000000002</v>
      </c>
      <c r="D129" s="418">
        <v>-5.9229999998730003</v>
      </c>
      <c r="E129" s="419">
        <v>0.99742478260800005</v>
      </c>
      <c r="F129" s="417">
        <v>2300.99999999996</v>
      </c>
      <c r="G129" s="418">
        <v>1533.99999999997</v>
      </c>
      <c r="H129" s="420">
        <v>132.15700000000001</v>
      </c>
      <c r="I129" s="417">
        <v>1412.5619999999999</v>
      </c>
      <c r="J129" s="418">
        <v>-121.437999999971</v>
      </c>
      <c r="K129" s="421">
        <v>0.61389048239800004</v>
      </c>
    </row>
    <row r="130" spans="1:11" ht="14.4" customHeight="1" thickBot="1" x14ac:dyDescent="0.35">
      <c r="A130" s="439" t="s">
        <v>404</v>
      </c>
      <c r="B130" s="417">
        <v>4.9999999999989999</v>
      </c>
      <c r="C130" s="417">
        <v>5.1669999999999998</v>
      </c>
      <c r="D130" s="418">
        <v>0.16700000000000001</v>
      </c>
      <c r="E130" s="419">
        <v>1.0334000000000001</v>
      </c>
      <c r="F130" s="417">
        <v>4.9999384107499996</v>
      </c>
      <c r="G130" s="418">
        <v>3.333292273833</v>
      </c>
      <c r="H130" s="420">
        <v>0.39100000000000001</v>
      </c>
      <c r="I130" s="417">
        <v>3.4710000000000001</v>
      </c>
      <c r="J130" s="418">
        <v>0.13770772616599999</v>
      </c>
      <c r="K130" s="421">
        <v>0.694208551156</v>
      </c>
    </row>
    <row r="131" spans="1:11" ht="14.4" customHeight="1" thickBot="1" x14ac:dyDescent="0.35">
      <c r="A131" s="437" t="s">
        <v>405</v>
      </c>
      <c r="B131" s="417">
        <v>0</v>
      </c>
      <c r="C131" s="417">
        <v>158.28730000000101</v>
      </c>
      <c r="D131" s="418">
        <v>158.28730000000101</v>
      </c>
      <c r="E131" s="427" t="s">
        <v>282</v>
      </c>
      <c r="F131" s="417">
        <v>50</v>
      </c>
      <c r="G131" s="418">
        <v>33.333333333333002</v>
      </c>
      <c r="H131" s="420">
        <v>23.058</v>
      </c>
      <c r="I131" s="417">
        <v>56.102930000000001</v>
      </c>
      <c r="J131" s="418">
        <v>22.769596666666001</v>
      </c>
      <c r="K131" s="421">
        <v>1.1220585999999999</v>
      </c>
    </row>
    <row r="132" spans="1:11" ht="14.4" customHeight="1" thickBot="1" x14ac:dyDescent="0.35">
      <c r="A132" s="438" t="s">
        <v>406</v>
      </c>
      <c r="B132" s="422">
        <v>0</v>
      </c>
      <c r="C132" s="422">
        <v>141.040300000001</v>
      </c>
      <c r="D132" s="423">
        <v>141.040300000001</v>
      </c>
      <c r="E132" s="424" t="s">
        <v>282</v>
      </c>
      <c r="F132" s="422">
        <v>50</v>
      </c>
      <c r="G132" s="423">
        <v>33.333333333333002</v>
      </c>
      <c r="H132" s="425">
        <v>36.177</v>
      </c>
      <c r="I132" s="422">
        <v>50.21293</v>
      </c>
      <c r="J132" s="423">
        <v>16.879596666666</v>
      </c>
      <c r="K132" s="430">
        <v>1.0042586</v>
      </c>
    </row>
    <row r="133" spans="1:11" ht="14.4" customHeight="1" thickBot="1" x14ac:dyDescent="0.35">
      <c r="A133" s="439" t="s">
        <v>407</v>
      </c>
      <c r="B133" s="417">
        <v>0</v>
      </c>
      <c r="C133" s="417">
        <v>141.040300000001</v>
      </c>
      <c r="D133" s="418">
        <v>141.040300000001</v>
      </c>
      <c r="E133" s="427" t="s">
        <v>282</v>
      </c>
      <c r="F133" s="417">
        <v>50</v>
      </c>
      <c r="G133" s="418">
        <v>33.333333333333002</v>
      </c>
      <c r="H133" s="420">
        <v>36.177</v>
      </c>
      <c r="I133" s="417">
        <v>50.21293</v>
      </c>
      <c r="J133" s="418">
        <v>16.879596666666</v>
      </c>
      <c r="K133" s="421">
        <v>1.0042586</v>
      </c>
    </row>
    <row r="134" spans="1:11" ht="14.4" customHeight="1" thickBot="1" x14ac:dyDescent="0.35">
      <c r="A134" s="438" t="s">
        <v>408</v>
      </c>
      <c r="B134" s="422">
        <v>0</v>
      </c>
      <c r="C134" s="422">
        <v>17.247</v>
      </c>
      <c r="D134" s="423">
        <v>17.247</v>
      </c>
      <c r="E134" s="424" t="s">
        <v>282</v>
      </c>
      <c r="F134" s="422">
        <v>0</v>
      </c>
      <c r="G134" s="423">
        <v>0</v>
      </c>
      <c r="H134" s="425">
        <v>-13.119</v>
      </c>
      <c r="I134" s="422">
        <v>5.89</v>
      </c>
      <c r="J134" s="423">
        <v>5.89</v>
      </c>
      <c r="K134" s="426" t="s">
        <v>282</v>
      </c>
    </row>
    <row r="135" spans="1:11" ht="14.4" customHeight="1" thickBot="1" x14ac:dyDescent="0.35">
      <c r="A135" s="439" t="s">
        <v>409</v>
      </c>
      <c r="B135" s="417">
        <v>0</v>
      </c>
      <c r="C135" s="417">
        <v>17.247</v>
      </c>
      <c r="D135" s="418">
        <v>17.247</v>
      </c>
      <c r="E135" s="427" t="s">
        <v>282</v>
      </c>
      <c r="F135" s="417">
        <v>0</v>
      </c>
      <c r="G135" s="418">
        <v>0</v>
      </c>
      <c r="H135" s="420">
        <v>-13.119</v>
      </c>
      <c r="I135" s="417">
        <v>5.89</v>
      </c>
      <c r="J135" s="418">
        <v>5.89</v>
      </c>
      <c r="K135" s="428" t="s">
        <v>282</v>
      </c>
    </row>
    <row r="136" spans="1:11" ht="14.4" customHeight="1" thickBot="1" x14ac:dyDescent="0.35">
      <c r="A136" s="436" t="s">
        <v>410</v>
      </c>
      <c r="B136" s="417">
        <v>0</v>
      </c>
      <c r="C136" s="417">
        <v>1.0579700000000001</v>
      </c>
      <c r="D136" s="418">
        <v>1.0579700000000001</v>
      </c>
      <c r="E136" s="427" t="s">
        <v>282</v>
      </c>
      <c r="F136" s="417">
        <v>0</v>
      </c>
      <c r="G136" s="418">
        <v>0</v>
      </c>
      <c r="H136" s="420">
        <v>0.79715999999999998</v>
      </c>
      <c r="I136" s="417">
        <v>1.43598</v>
      </c>
      <c r="J136" s="418">
        <v>1.43598</v>
      </c>
      <c r="K136" s="428" t="s">
        <v>282</v>
      </c>
    </row>
    <row r="137" spans="1:11" ht="14.4" customHeight="1" thickBot="1" x14ac:dyDescent="0.35">
      <c r="A137" s="437" t="s">
        <v>411</v>
      </c>
      <c r="B137" s="417">
        <v>0</v>
      </c>
      <c r="C137" s="417">
        <v>1.0579700000000001</v>
      </c>
      <c r="D137" s="418">
        <v>1.0579700000000001</v>
      </c>
      <c r="E137" s="427" t="s">
        <v>282</v>
      </c>
      <c r="F137" s="417">
        <v>0</v>
      </c>
      <c r="G137" s="418">
        <v>0</v>
      </c>
      <c r="H137" s="420">
        <v>0.79715999999999998</v>
      </c>
      <c r="I137" s="417">
        <v>1.43598</v>
      </c>
      <c r="J137" s="418">
        <v>1.43598</v>
      </c>
      <c r="K137" s="428" t="s">
        <v>282</v>
      </c>
    </row>
    <row r="138" spans="1:11" ht="14.4" customHeight="1" thickBot="1" x14ac:dyDescent="0.35">
      <c r="A138" s="438" t="s">
        <v>412</v>
      </c>
      <c r="B138" s="422">
        <v>0</v>
      </c>
      <c r="C138" s="422">
        <v>1.0579700000000001</v>
      </c>
      <c r="D138" s="423">
        <v>1.0579700000000001</v>
      </c>
      <c r="E138" s="424" t="s">
        <v>282</v>
      </c>
      <c r="F138" s="422">
        <v>0</v>
      </c>
      <c r="G138" s="423">
        <v>0</v>
      </c>
      <c r="H138" s="425">
        <v>0.79715999999999998</v>
      </c>
      <c r="I138" s="422">
        <v>1.43598</v>
      </c>
      <c r="J138" s="423">
        <v>1.43598</v>
      </c>
      <c r="K138" s="426" t="s">
        <v>282</v>
      </c>
    </row>
    <row r="139" spans="1:11" ht="14.4" customHeight="1" thickBot="1" x14ac:dyDescent="0.35">
      <c r="A139" s="439" t="s">
        <v>413</v>
      </c>
      <c r="B139" s="417">
        <v>0</v>
      </c>
      <c r="C139" s="417">
        <v>1.0579700000000001</v>
      </c>
      <c r="D139" s="418">
        <v>1.0579700000000001</v>
      </c>
      <c r="E139" s="427" t="s">
        <v>282</v>
      </c>
      <c r="F139" s="417">
        <v>0</v>
      </c>
      <c r="G139" s="418">
        <v>0</v>
      </c>
      <c r="H139" s="420">
        <v>0.79715999999999998</v>
      </c>
      <c r="I139" s="417">
        <v>1.43598</v>
      </c>
      <c r="J139" s="418">
        <v>1.43598</v>
      </c>
      <c r="K139" s="428" t="s">
        <v>282</v>
      </c>
    </row>
    <row r="140" spans="1:11" ht="14.4" customHeight="1" thickBot="1" x14ac:dyDescent="0.35">
      <c r="A140" s="435" t="s">
        <v>414</v>
      </c>
      <c r="B140" s="417">
        <v>49583.175138640603</v>
      </c>
      <c r="C140" s="417">
        <v>51664.219680000002</v>
      </c>
      <c r="D140" s="418">
        <v>2081.0445413594298</v>
      </c>
      <c r="E140" s="419">
        <v>1.0419707801189999</v>
      </c>
      <c r="F140" s="417">
        <v>52299.513625355699</v>
      </c>
      <c r="G140" s="418">
        <v>34866.342416903797</v>
      </c>
      <c r="H140" s="420">
        <v>4896.2276400000001</v>
      </c>
      <c r="I140" s="417">
        <v>42962.139329999998</v>
      </c>
      <c r="J140" s="418">
        <v>8095.7969130962101</v>
      </c>
      <c r="K140" s="421">
        <v>0.82146345829800005</v>
      </c>
    </row>
    <row r="141" spans="1:11" ht="14.4" customHeight="1" thickBot="1" x14ac:dyDescent="0.35">
      <c r="A141" s="436" t="s">
        <v>415</v>
      </c>
      <c r="B141" s="417">
        <v>49416.8747250948</v>
      </c>
      <c r="C141" s="417">
        <v>51005.718200000003</v>
      </c>
      <c r="D141" s="418">
        <v>1588.8434749052401</v>
      </c>
      <c r="E141" s="419">
        <v>1.032151840514</v>
      </c>
      <c r="F141" s="417">
        <v>52281.843154549199</v>
      </c>
      <c r="G141" s="418">
        <v>34854.562103032797</v>
      </c>
      <c r="H141" s="420">
        <v>4909.34728</v>
      </c>
      <c r="I141" s="417">
        <v>42912.538780000003</v>
      </c>
      <c r="J141" s="418">
        <v>8057.9766769671696</v>
      </c>
      <c r="K141" s="421">
        <v>0.82079238586000003</v>
      </c>
    </row>
    <row r="142" spans="1:11" ht="14.4" customHeight="1" thickBot="1" x14ac:dyDescent="0.35">
      <c r="A142" s="437" t="s">
        <v>416</v>
      </c>
      <c r="B142" s="417">
        <v>49416.8747250948</v>
      </c>
      <c r="C142" s="417">
        <v>51005.718200000003</v>
      </c>
      <c r="D142" s="418">
        <v>1588.8434749052401</v>
      </c>
      <c r="E142" s="419">
        <v>1.032151840514</v>
      </c>
      <c r="F142" s="417">
        <v>52281.843154549199</v>
      </c>
      <c r="G142" s="418">
        <v>34854.562103032797</v>
      </c>
      <c r="H142" s="420">
        <v>4909.34728</v>
      </c>
      <c r="I142" s="417">
        <v>42912.538780000003</v>
      </c>
      <c r="J142" s="418">
        <v>8057.9766769671696</v>
      </c>
      <c r="K142" s="421">
        <v>0.82079238586000003</v>
      </c>
    </row>
    <row r="143" spans="1:11" ht="14.4" customHeight="1" thickBot="1" x14ac:dyDescent="0.35">
      <c r="A143" s="438" t="s">
        <v>417</v>
      </c>
      <c r="B143" s="422">
        <v>175.87510833331399</v>
      </c>
      <c r="C143" s="422">
        <v>678.56201999999996</v>
      </c>
      <c r="D143" s="423">
        <v>502.686911666686</v>
      </c>
      <c r="E143" s="429">
        <v>3.858203849483</v>
      </c>
      <c r="F143" s="422">
        <v>523.84315454924194</v>
      </c>
      <c r="G143" s="423">
        <v>349.22876969949499</v>
      </c>
      <c r="H143" s="425">
        <v>2.4923000000000002</v>
      </c>
      <c r="I143" s="422">
        <v>370.01817999999997</v>
      </c>
      <c r="J143" s="423">
        <v>20.789410300505001</v>
      </c>
      <c r="K143" s="430">
        <v>0.70635299284999997</v>
      </c>
    </row>
    <row r="144" spans="1:11" ht="14.4" customHeight="1" thickBot="1" x14ac:dyDescent="0.35">
      <c r="A144" s="439" t="s">
        <v>418</v>
      </c>
      <c r="B144" s="417">
        <v>32.230134261220996</v>
      </c>
      <c r="C144" s="417">
        <v>382.94152000000003</v>
      </c>
      <c r="D144" s="418">
        <v>350.71138573877801</v>
      </c>
      <c r="E144" s="419">
        <v>11.881474550999</v>
      </c>
      <c r="F144" s="417">
        <v>286.764656544758</v>
      </c>
      <c r="G144" s="418">
        <v>191.17643769650499</v>
      </c>
      <c r="H144" s="420">
        <v>3.5999999999999997E-2</v>
      </c>
      <c r="I144" s="417">
        <v>177.17084</v>
      </c>
      <c r="J144" s="418">
        <v>-14.005597696504999</v>
      </c>
      <c r="K144" s="421">
        <v>0.61782662526999998</v>
      </c>
    </row>
    <row r="145" spans="1:11" ht="14.4" customHeight="1" thickBot="1" x14ac:dyDescent="0.35">
      <c r="A145" s="439" t="s">
        <v>419</v>
      </c>
      <c r="B145" s="417">
        <v>4.0272381247729996</v>
      </c>
      <c r="C145" s="417">
        <v>4.1294399999999998</v>
      </c>
      <c r="D145" s="418">
        <v>0.10220187522599999</v>
      </c>
      <c r="E145" s="419">
        <v>1.0253776588470001</v>
      </c>
      <c r="F145" s="417">
        <v>4.8157673596199997</v>
      </c>
      <c r="G145" s="418">
        <v>3.2105115730799998</v>
      </c>
      <c r="H145" s="420">
        <v>4.9406564584124654E-324</v>
      </c>
      <c r="I145" s="417">
        <v>3.9525251667299724E-323</v>
      </c>
      <c r="J145" s="418">
        <v>-3.2105115730799998</v>
      </c>
      <c r="K145" s="421">
        <v>9.8813129168249309E-324</v>
      </c>
    </row>
    <row r="146" spans="1:11" ht="14.4" customHeight="1" thickBot="1" x14ac:dyDescent="0.35">
      <c r="A146" s="439" t="s">
        <v>420</v>
      </c>
      <c r="B146" s="417">
        <v>139.61773594731901</v>
      </c>
      <c r="C146" s="417">
        <v>291.49106</v>
      </c>
      <c r="D146" s="418">
        <v>151.873324052681</v>
      </c>
      <c r="E146" s="419">
        <v>2.087779593489</v>
      </c>
      <c r="F146" s="417">
        <v>232.26273064486401</v>
      </c>
      <c r="G146" s="418">
        <v>154.84182042990901</v>
      </c>
      <c r="H146" s="420">
        <v>2.4563000000000001</v>
      </c>
      <c r="I146" s="417">
        <v>192.84734</v>
      </c>
      <c r="J146" s="418">
        <v>38.005519570090001</v>
      </c>
      <c r="K146" s="421">
        <v>0.83029825518900002</v>
      </c>
    </row>
    <row r="147" spans="1:11" ht="14.4" customHeight="1" thickBot="1" x14ac:dyDescent="0.35">
      <c r="A147" s="438" t="s">
        <v>421</v>
      </c>
      <c r="B147" s="422">
        <v>6.0000267389689999</v>
      </c>
      <c r="C147" s="422">
        <v>60.861170000000001</v>
      </c>
      <c r="D147" s="423">
        <v>54.861143261030001</v>
      </c>
      <c r="E147" s="429">
        <v>10.143483128951001</v>
      </c>
      <c r="F147" s="422">
        <v>0</v>
      </c>
      <c r="G147" s="423">
        <v>0</v>
      </c>
      <c r="H147" s="425">
        <v>4.9406564584124654E-324</v>
      </c>
      <c r="I147" s="422">
        <v>4.9501799999999996</v>
      </c>
      <c r="J147" s="423">
        <v>4.9501799999999996</v>
      </c>
      <c r="K147" s="426" t="s">
        <v>282</v>
      </c>
    </row>
    <row r="148" spans="1:11" ht="14.4" customHeight="1" thickBot="1" x14ac:dyDescent="0.35">
      <c r="A148" s="439" t="s">
        <v>422</v>
      </c>
      <c r="B148" s="417">
        <v>2.000027896173</v>
      </c>
      <c r="C148" s="417">
        <v>59.094569999999997</v>
      </c>
      <c r="D148" s="418">
        <v>57.094542103826001</v>
      </c>
      <c r="E148" s="419">
        <v>29.546872877651001</v>
      </c>
      <c r="F148" s="417">
        <v>0</v>
      </c>
      <c r="G148" s="418">
        <v>0</v>
      </c>
      <c r="H148" s="420">
        <v>4.9406564584124654E-324</v>
      </c>
      <c r="I148" s="417">
        <v>4.9501799999999996</v>
      </c>
      <c r="J148" s="418">
        <v>4.9501799999999996</v>
      </c>
      <c r="K148" s="428" t="s">
        <v>282</v>
      </c>
    </row>
    <row r="149" spans="1:11" ht="14.4" customHeight="1" thickBot="1" x14ac:dyDescent="0.35">
      <c r="A149" s="439" t="s">
        <v>423</v>
      </c>
      <c r="B149" s="417">
        <v>3.9999988427959998</v>
      </c>
      <c r="C149" s="417">
        <v>1.7665999999999999</v>
      </c>
      <c r="D149" s="418">
        <v>-2.2333988427959999</v>
      </c>
      <c r="E149" s="419">
        <v>0.44165012776899998</v>
      </c>
      <c r="F149" s="417">
        <v>0</v>
      </c>
      <c r="G149" s="418">
        <v>0</v>
      </c>
      <c r="H149" s="420">
        <v>4.9406564584124654E-324</v>
      </c>
      <c r="I149" s="417">
        <v>3.9525251667299724E-323</v>
      </c>
      <c r="J149" s="418">
        <v>3.9525251667299724E-323</v>
      </c>
      <c r="K149" s="428" t="s">
        <v>282</v>
      </c>
    </row>
    <row r="150" spans="1:11" ht="14.4" customHeight="1" thickBot="1" x14ac:dyDescent="0.35">
      <c r="A150" s="438" t="s">
        <v>424</v>
      </c>
      <c r="B150" s="422">
        <v>13.999758106966</v>
      </c>
      <c r="C150" s="422">
        <v>90.196690000000004</v>
      </c>
      <c r="D150" s="423">
        <v>76.196931893032996</v>
      </c>
      <c r="E150" s="429">
        <v>6.4427320322849999</v>
      </c>
      <c r="F150" s="422">
        <v>0</v>
      </c>
      <c r="G150" s="423">
        <v>0</v>
      </c>
      <c r="H150" s="425">
        <v>-17.267479999999999</v>
      </c>
      <c r="I150" s="422">
        <v>48.662660000000002</v>
      </c>
      <c r="J150" s="423">
        <v>48.662660000000002</v>
      </c>
      <c r="K150" s="426" t="s">
        <v>282</v>
      </c>
    </row>
    <row r="151" spans="1:11" ht="14.4" customHeight="1" thickBot="1" x14ac:dyDescent="0.35">
      <c r="A151" s="439" t="s">
        <v>425</v>
      </c>
      <c r="B151" s="417">
        <v>12.999560239277001</v>
      </c>
      <c r="C151" s="417">
        <v>26.203769999999999</v>
      </c>
      <c r="D151" s="418">
        <v>13.204209760722</v>
      </c>
      <c r="E151" s="419">
        <v>2.0157428034240001</v>
      </c>
      <c r="F151" s="417">
        <v>0</v>
      </c>
      <c r="G151" s="418">
        <v>0</v>
      </c>
      <c r="H151" s="420">
        <v>4.9406564584124654E-324</v>
      </c>
      <c r="I151" s="417">
        <v>4.25549</v>
      </c>
      <c r="J151" s="418">
        <v>4.25549</v>
      </c>
      <c r="K151" s="428" t="s">
        <v>282</v>
      </c>
    </row>
    <row r="152" spans="1:11" ht="14.4" customHeight="1" thickBot="1" x14ac:dyDescent="0.35">
      <c r="A152" s="439" t="s">
        <v>426</v>
      </c>
      <c r="B152" s="417">
        <v>1.000197867689</v>
      </c>
      <c r="C152" s="417">
        <v>63.992919999999998</v>
      </c>
      <c r="D152" s="418">
        <v>62.99272213231</v>
      </c>
      <c r="E152" s="419">
        <v>63.980260373729998</v>
      </c>
      <c r="F152" s="417">
        <v>0</v>
      </c>
      <c r="G152" s="418">
        <v>0</v>
      </c>
      <c r="H152" s="420">
        <v>-17.267479999999999</v>
      </c>
      <c r="I152" s="417">
        <v>44.407170000000001</v>
      </c>
      <c r="J152" s="418">
        <v>44.407170000000001</v>
      </c>
      <c r="K152" s="428" t="s">
        <v>282</v>
      </c>
    </row>
    <row r="153" spans="1:11" ht="14.4" customHeight="1" thickBot="1" x14ac:dyDescent="0.35">
      <c r="A153" s="438" t="s">
        <v>427</v>
      </c>
      <c r="B153" s="422">
        <v>4.9406564584124654E-324</v>
      </c>
      <c r="C153" s="422">
        <v>-1.06456</v>
      </c>
      <c r="D153" s="423">
        <v>-1.06456</v>
      </c>
      <c r="E153" s="424" t="s">
        <v>288</v>
      </c>
      <c r="F153" s="422">
        <v>0</v>
      </c>
      <c r="G153" s="423">
        <v>0</v>
      </c>
      <c r="H153" s="425">
        <v>4.9406564584124654E-324</v>
      </c>
      <c r="I153" s="422">
        <v>3.9525251667299724E-323</v>
      </c>
      <c r="J153" s="423">
        <v>3.9525251667299724E-323</v>
      </c>
      <c r="K153" s="426" t="s">
        <v>282</v>
      </c>
    </row>
    <row r="154" spans="1:11" ht="14.4" customHeight="1" thickBot="1" x14ac:dyDescent="0.35">
      <c r="A154" s="439" t="s">
        <v>428</v>
      </c>
      <c r="B154" s="417">
        <v>4.9406564584124654E-324</v>
      </c>
      <c r="C154" s="417">
        <v>-1.06456</v>
      </c>
      <c r="D154" s="418">
        <v>-1.06456</v>
      </c>
      <c r="E154" s="427" t="s">
        <v>288</v>
      </c>
      <c r="F154" s="417">
        <v>0</v>
      </c>
      <c r="G154" s="418">
        <v>0</v>
      </c>
      <c r="H154" s="420">
        <v>4.9406564584124654E-324</v>
      </c>
      <c r="I154" s="417">
        <v>3.9525251667299724E-323</v>
      </c>
      <c r="J154" s="418">
        <v>3.9525251667299724E-323</v>
      </c>
      <c r="K154" s="428" t="s">
        <v>282</v>
      </c>
    </row>
    <row r="155" spans="1:11" ht="14.4" customHeight="1" thickBot="1" x14ac:dyDescent="0.35">
      <c r="A155" s="438" t="s">
        <v>429</v>
      </c>
      <c r="B155" s="422">
        <v>49220.999831915498</v>
      </c>
      <c r="C155" s="422">
        <v>47636.517059999998</v>
      </c>
      <c r="D155" s="423">
        <v>-1584.4827719155101</v>
      </c>
      <c r="E155" s="429">
        <v>0.96780880564500005</v>
      </c>
      <c r="F155" s="422">
        <v>51758</v>
      </c>
      <c r="G155" s="423">
        <v>34505.333333333299</v>
      </c>
      <c r="H155" s="425">
        <v>4924.1224599999996</v>
      </c>
      <c r="I155" s="422">
        <v>41094.463949999998</v>
      </c>
      <c r="J155" s="423">
        <v>6589.13061666666</v>
      </c>
      <c r="K155" s="430">
        <v>0.79397318192300004</v>
      </c>
    </row>
    <row r="156" spans="1:11" ht="14.4" customHeight="1" thickBot="1" x14ac:dyDescent="0.35">
      <c r="A156" s="439" t="s">
        <v>430</v>
      </c>
      <c r="B156" s="417">
        <v>16832.999949252699</v>
      </c>
      <c r="C156" s="417">
        <v>17519.613160000001</v>
      </c>
      <c r="D156" s="418">
        <v>686.61321074733098</v>
      </c>
      <c r="E156" s="419">
        <v>1.040789711448</v>
      </c>
      <c r="F156" s="417">
        <v>18476</v>
      </c>
      <c r="G156" s="418">
        <v>12317.333333333299</v>
      </c>
      <c r="H156" s="420">
        <v>1638.7926</v>
      </c>
      <c r="I156" s="417">
        <v>14505.138419999999</v>
      </c>
      <c r="J156" s="418">
        <v>2187.8050866666599</v>
      </c>
      <c r="K156" s="421">
        <v>0.78508001840200003</v>
      </c>
    </row>
    <row r="157" spans="1:11" ht="14.4" customHeight="1" thickBot="1" x14ac:dyDescent="0.35">
      <c r="A157" s="439" t="s">
        <v>431</v>
      </c>
      <c r="B157" s="417">
        <v>32387.9998826628</v>
      </c>
      <c r="C157" s="417">
        <v>30116.903900000001</v>
      </c>
      <c r="D157" s="418">
        <v>-2271.09598266285</v>
      </c>
      <c r="E157" s="419">
        <v>0.92987847378900002</v>
      </c>
      <c r="F157" s="417">
        <v>33282</v>
      </c>
      <c r="G157" s="418">
        <v>22188</v>
      </c>
      <c r="H157" s="420">
        <v>3285.3298599999998</v>
      </c>
      <c r="I157" s="417">
        <v>26589.325529999998</v>
      </c>
      <c r="J157" s="418">
        <v>4401.3255299999901</v>
      </c>
      <c r="K157" s="421">
        <v>0.79891008743400005</v>
      </c>
    </row>
    <row r="158" spans="1:11" ht="14.4" customHeight="1" thickBot="1" x14ac:dyDescent="0.35">
      <c r="A158" s="438" t="s">
        <v>432</v>
      </c>
      <c r="B158" s="422">
        <v>0</v>
      </c>
      <c r="C158" s="422">
        <v>2540.6458200000002</v>
      </c>
      <c r="D158" s="423">
        <v>2540.6458200000002</v>
      </c>
      <c r="E158" s="424" t="s">
        <v>282</v>
      </c>
      <c r="F158" s="422">
        <v>0</v>
      </c>
      <c r="G158" s="423">
        <v>0</v>
      </c>
      <c r="H158" s="425">
        <v>4.9406564584124654E-324</v>
      </c>
      <c r="I158" s="422">
        <v>1394.44381</v>
      </c>
      <c r="J158" s="423">
        <v>1394.44381</v>
      </c>
      <c r="K158" s="426" t="s">
        <v>282</v>
      </c>
    </row>
    <row r="159" spans="1:11" ht="14.4" customHeight="1" thickBot="1" x14ac:dyDescent="0.35">
      <c r="A159" s="439" t="s">
        <v>433</v>
      </c>
      <c r="B159" s="417">
        <v>4.9406564584124654E-324</v>
      </c>
      <c r="C159" s="417">
        <v>1387.2119700000001</v>
      </c>
      <c r="D159" s="418">
        <v>1387.2119700000001</v>
      </c>
      <c r="E159" s="427" t="s">
        <v>288</v>
      </c>
      <c r="F159" s="417">
        <v>0</v>
      </c>
      <c r="G159" s="418">
        <v>0</v>
      </c>
      <c r="H159" s="420">
        <v>4.9406564584124654E-324</v>
      </c>
      <c r="I159" s="417">
        <v>-528.42632000000003</v>
      </c>
      <c r="J159" s="418">
        <v>-528.42632000000003</v>
      </c>
      <c r="K159" s="428" t="s">
        <v>282</v>
      </c>
    </row>
    <row r="160" spans="1:11" ht="14.4" customHeight="1" thickBot="1" x14ac:dyDescent="0.35">
      <c r="A160" s="439" t="s">
        <v>434</v>
      </c>
      <c r="B160" s="417">
        <v>0</v>
      </c>
      <c r="C160" s="417">
        <v>1153.4338499999999</v>
      </c>
      <c r="D160" s="418">
        <v>1153.4338499999999</v>
      </c>
      <c r="E160" s="427" t="s">
        <v>282</v>
      </c>
      <c r="F160" s="417">
        <v>0</v>
      </c>
      <c r="G160" s="418">
        <v>0</v>
      </c>
      <c r="H160" s="420">
        <v>4.9406564584124654E-324</v>
      </c>
      <c r="I160" s="417">
        <v>1922.87013</v>
      </c>
      <c r="J160" s="418">
        <v>1922.87013</v>
      </c>
      <c r="K160" s="428" t="s">
        <v>282</v>
      </c>
    </row>
    <row r="161" spans="1:11" ht="14.4" customHeight="1" thickBot="1" x14ac:dyDescent="0.35">
      <c r="A161" s="436" t="s">
        <v>435</v>
      </c>
      <c r="B161" s="417">
        <v>123.30041354581</v>
      </c>
      <c r="C161" s="417">
        <v>658.50148000000002</v>
      </c>
      <c r="D161" s="418">
        <v>535.20106645419003</v>
      </c>
      <c r="E161" s="419">
        <v>5.3406266942920002</v>
      </c>
      <c r="F161" s="417">
        <v>17.670470806421999</v>
      </c>
      <c r="G161" s="418">
        <v>11.780313870948</v>
      </c>
      <c r="H161" s="420">
        <v>-13.11964</v>
      </c>
      <c r="I161" s="417">
        <v>49.577129999999997</v>
      </c>
      <c r="J161" s="418">
        <v>37.796816129051003</v>
      </c>
      <c r="K161" s="421">
        <v>2.8056485049609998</v>
      </c>
    </row>
    <row r="162" spans="1:11" ht="14.4" customHeight="1" thickBot="1" x14ac:dyDescent="0.35">
      <c r="A162" s="437" t="s">
        <v>436</v>
      </c>
      <c r="B162" s="417">
        <v>107.582339403258</v>
      </c>
      <c r="C162" s="417">
        <v>624.51260000000002</v>
      </c>
      <c r="D162" s="418">
        <v>516.93026059674196</v>
      </c>
      <c r="E162" s="419">
        <v>5.804973227614</v>
      </c>
      <c r="F162" s="417">
        <v>0</v>
      </c>
      <c r="G162" s="418">
        <v>0</v>
      </c>
      <c r="H162" s="420">
        <v>4.9406564584124654E-324</v>
      </c>
      <c r="I162" s="417">
        <v>3.9525251667299724E-323</v>
      </c>
      <c r="J162" s="418">
        <v>3.9525251667299724E-323</v>
      </c>
      <c r="K162" s="428" t="s">
        <v>282</v>
      </c>
    </row>
    <row r="163" spans="1:11" ht="14.4" customHeight="1" thickBot="1" x14ac:dyDescent="0.35">
      <c r="A163" s="438" t="s">
        <v>437</v>
      </c>
      <c r="B163" s="422">
        <v>107.582339403258</v>
      </c>
      <c r="C163" s="422">
        <v>624.51260000000002</v>
      </c>
      <c r="D163" s="423">
        <v>516.93026059674196</v>
      </c>
      <c r="E163" s="429">
        <v>5.804973227614</v>
      </c>
      <c r="F163" s="422">
        <v>0</v>
      </c>
      <c r="G163" s="423">
        <v>0</v>
      </c>
      <c r="H163" s="425">
        <v>4.9406564584124654E-324</v>
      </c>
      <c r="I163" s="422">
        <v>3.9525251667299724E-323</v>
      </c>
      <c r="J163" s="423">
        <v>3.9525251667299724E-323</v>
      </c>
      <c r="K163" s="426" t="s">
        <v>282</v>
      </c>
    </row>
    <row r="164" spans="1:11" ht="14.4" customHeight="1" thickBot="1" x14ac:dyDescent="0.35">
      <c r="A164" s="439" t="s">
        <v>438</v>
      </c>
      <c r="B164" s="417">
        <v>0</v>
      </c>
      <c r="C164" s="417">
        <v>575.29179999999997</v>
      </c>
      <c r="D164" s="418">
        <v>575.29179999999997</v>
      </c>
      <c r="E164" s="427" t="s">
        <v>282</v>
      </c>
      <c r="F164" s="417">
        <v>0</v>
      </c>
      <c r="G164" s="418">
        <v>0</v>
      </c>
      <c r="H164" s="420">
        <v>4.9406564584124654E-324</v>
      </c>
      <c r="I164" s="417">
        <v>3.9525251667299724E-323</v>
      </c>
      <c r="J164" s="418">
        <v>3.9525251667299724E-323</v>
      </c>
      <c r="K164" s="428" t="s">
        <v>282</v>
      </c>
    </row>
    <row r="165" spans="1:11" ht="14.4" customHeight="1" thickBot="1" x14ac:dyDescent="0.35">
      <c r="A165" s="439" t="s">
        <v>439</v>
      </c>
      <c r="B165" s="417">
        <v>0</v>
      </c>
      <c r="C165" s="417">
        <v>13.61553</v>
      </c>
      <c r="D165" s="418">
        <v>13.61553</v>
      </c>
      <c r="E165" s="427" t="s">
        <v>282</v>
      </c>
      <c r="F165" s="417">
        <v>0</v>
      </c>
      <c r="G165" s="418">
        <v>0</v>
      </c>
      <c r="H165" s="420">
        <v>4.9406564584124654E-324</v>
      </c>
      <c r="I165" s="417">
        <v>3.9525251667299724E-323</v>
      </c>
      <c r="J165" s="418">
        <v>3.9525251667299724E-323</v>
      </c>
      <c r="K165" s="428" t="s">
        <v>282</v>
      </c>
    </row>
    <row r="166" spans="1:11" ht="14.4" customHeight="1" thickBot="1" x14ac:dyDescent="0.35">
      <c r="A166" s="439" t="s">
        <v>440</v>
      </c>
      <c r="B166" s="417">
        <v>0</v>
      </c>
      <c r="C166" s="417">
        <v>35.605269999999997</v>
      </c>
      <c r="D166" s="418">
        <v>35.605269999999997</v>
      </c>
      <c r="E166" s="427" t="s">
        <v>282</v>
      </c>
      <c r="F166" s="417">
        <v>0</v>
      </c>
      <c r="G166" s="418">
        <v>0</v>
      </c>
      <c r="H166" s="420">
        <v>4.9406564584124654E-324</v>
      </c>
      <c r="I166" s="417">
        <v>3.9525251667299724E-323</v>
      </c>
      <c r="J166" s="418">
        <v>3.9525251667299724E-323</v>
      </c>
      <c r="K166" s="428" t="s">
        <v>282</v>
      </c>
    </row>
    <row r="167" spans="1:11" ht="14.4" customHeight="1" thickBot="1" x14ac:dyDescent="0.35">
      <c r="A167" s="442" t="s">
        <v>441</v>
      </c>
      <c r="B167" s="422">
        <v>15.718074142552</v>
      </c>
      <c r="C167" s="422">
        <v>33.988880000000002</v>
      </c>
      <c r="D167" s="423">
        <v>18.270805857447002</v>
      </c>
      <c r="E167" s="429">
        <v>2.1624074102040001</v>
      </c>
      <c r="F167" s="422">
        <v>17.670470806421999</v>
      </c>
      <c r="G167" s="423">
        <v>11.780313870948</v>
      </c>
      <c r="H167" s="425">
        <v>-13.11964</v>
      </c>
      <c r="I167" s="422">
        <v>49.577129999999997</v>
      </c>
      <c r="J167" s="423">
        <v>37.796816129051003</v>
      </c>
      <c r="K167" s="430">
        <v>2.8056485049609998</v>
      </c>
    </row>
    <row r="168" spans="1:11" ht="14.4" customHeight="1" thickBot="1" x14ac:dyDescent="0.35">
      <c r="A168" s="438" t="s">
        <v>442</v>
      </c>
      <c r="B168" s="422">
        <v>0</v>
      </c>
      <c r="C168" s="422">
        <v>-2.5999999999999998E-4</v>
      </c>
      <c r="D168" s="423">
        <v>-2.5999999999999998E-4</v>
      </c>
      <c r="E168" s="424" t="s">
        <v>282</v>
      </c>
      <c r="F168" s="422">
        <v>0</v>
      </c>
      <c r="G168" s="423">
        <v>0</v>
      </c>
      <c r="H168" s="425">
        <v>-6.4000000000000005E-4</v>
      </c>
      <c r="I168" s="422">
        <v>1.2700000000000001E-3</v>
      </c>
      <c r="J168" s="423">
        <v>1.2700000000000001E-3</v>
      </c>
      <c r="K168" s="426" t="s">
        <v>282</v>
      </c>
    </row>
    <row r="169" spans="1:11" ht="14.4" customHeight="1" thickBot="1" x14ac:dyDescent="0.35">
      <c r="A169" s="439" t="s">
        <v>443</v>
      </c>
      <c r="B169" s="417">
        <v>0</v>
      </c>
      <c r="C169" s="417">
        <v>-2.5999999999999998E-4</v>
      </c>
      <c r="D169" s="418">
        <v>-2.5999999999999998E-4</v>
      </c>
      <c r="E169" s="427" t="s">
        <v>282</v>
      </c>
      <c r="F169" s="417">
        <v>0</v>
      </c>
      <c r="G169" s="418">
        <v>0</v>
      </c>
      <c r="H169" s="420">
        <v>-6.4000000000000005E-4</v>
      </c>
      <c r="I169" s="417">
        <v>1.2700000000000001E-3</v>
      </c>
      <c r="J169" s="418">
        <v>1.2700000000000001E-3</v>
      </c>
      <c r="K169" s="428" t="s">
        <v>282</v>
      </c>
    </row>
    <row r="170" spans="1:11" ht="14.4" customHeight="1" thickBot="1" x14ac:dyDescent="0.35">
      <c r="A170" s="438" t="s">
        <v>444</v>
      </c>
      <c r="B170" s="422">
        <v>15.718074142552</v>
      </c>
      <c r="C170" s="422">
        <v>16.742139999999999</v>
      </c>
      <c r="D170" s="423">
        <v>1.0240658574470001</v>
      </c>
      <c r="E170" s="429">
        <v>1.0651521203009999</v>
      </c>
      <c r="F170" s="422">
        <v>17.670470806421999</v>
      </c>
      <c r="G170" s="423">
        <v>11.780313870948</v>
      </c>
      <c r="H170" s="425">
        <v>4.9406564584124654E-324</v>
      </c>
      <c r="I170" s="422">
        <v>43.685859999999998</v>
      </c>
      <c r="J170" s="423">
        <v>31.905546129051</v>
      </c>
      <c r="K170" s="430">
        <v>2.4722521815389999</v>
      </c>
    </row>
    <row r="171" spans="1:11" ht="14.4" customHeight="1" thickBot="1" x14ac:dyDescent="0.35">
      <c r="A171" s="439" t="s">
        <v>445</v>
      </c>
      <c r="B171" s="417">
        <v>0</v>
      </c>
      <c r="C171" s="417">
        <v>0.98199999999999998</v>
      </c>
      <c r="D171" s="418">
        <v>0.98199999999999998</v>
      </c>
      <c r="E171" s="427" t="s">
        <v>282</v>
      </c>
      <c r="F171" s="417">
        <v>0</v>
      </c>
      <c r="G171" s="418">
        <v>0</v>
      </c>
      <c r="H171" s="420">
        <v>4.9406564584124654E-324</v>
      </c>
      <c r="I171" s="417">
        <v>0.154</v>
      </c>
      <c r="J171" s="418">
        <v>0.154</v>
      </c>
      <c r="K171" s="428" t="s">
        <v>282</v>
      </c>
    </row>
    <row r="172" spans="1:11" ht="14.4" customHeight="1" thickBot="1" x14ac:dyDescent="0.35">
      <c r="A172" s="439" t="s">
        <v>446</v>
      </c>
      <c r="B172" s="417">
        <v>9.7619833193519998</v>
      </c>
      <c r="C172" s="417">
        <v>4.9406564584124654E-324</v>
      </c>
      <c r="D172" s="418">
        <v>-9.7619833193519998</v>
      </c>
      <c r="E172" s="419">
        <v>0</v>
      </c>
      <c r="F172" s="417">
        <v>11.714379983222999</v>
      </c>
      <c r="G172" s="418">
        <v>7.8095866554819997</v>
      </c>
      <c r="H172" s="420">
        <v>4.9406564584124654E-324</v>
      </c>
      <c r="I172" s="417">
        <v>3.9525251667299724E-323</v>
      </c>
      <c r="J172" s="418">
        <v>-7.8095866554819997</v>
      </c>
      <c r="K172" s="421">
        <v>4.9406564584124654E-324</v>
      </c>
    </row>
    <row r="173" spans="1:11" ht="14.4" customHeight="1" thickBot="1" x14ac:dyDescent="0.35">
      <c r="A173" s="439" t="s">
        <v>447</v>
      </c>
      <c r="B173" s="417">
        <v>5.9560908231990002</v>
      </c>
      <c r="C173" s="417">
        <v>11.15706</v>
      </c>
      <c r="D173" s="418">
        <v>5.2009691768000001</v>
      </c>
      <c r="E173" s="419">
        <v>1.873218580976</v>
      </c>
      <c r="F173" s="417">
        <v>5.9560908231990002</v>
      </c>
      <c r="G173" s="418">
        <v>3.9707272154659998</v>
      </c>
      <c r="H173" s="420">
        <v>4.9406564584124654E-324</v>
      </c>
      <c r="I173" s="417">
        <v>24.45448</v>
      </c>
      <c r="J173" s="418">
        <v>20.483752784532999</v>
      </c>
      <c r="K173" s="421">
        <v>4.1057936700270004</v>
      </c>
    </row>
    <row r="174" spans="1:11" ht="14.4" customHeight="1" thickBot="1" x14ac:dyDescent="0.35">
      <c r="A174" s="439" t="s">
        <v>448</v>
      </c>
      <c r="B174" s="417">
        <v>4.9406564584124654E-324</v>
      </c>
      <c r="C174" s="417">
        <v>4.6030800000000003</v>
      </c>
      <c r="D174" s="418">
        <v>4.6030800000000003</v>
      </c>
      <c r="E174" s="427" t="s">
        <v>288</v>
      </c>
      <c r="F174" s="417">
        <v>0</v>
      </c>
      <c r="G174" s="418">
        <v>0</v>
      </c>
      <c r="H174" s="420">
        <v>4.9406564584124654E-324</v>
      </c>
      <c r="I174" s="417">
        <v>19.077380000000002</v>
      </c>
      <c r="J174" s="418">
        <v>19.077380000000002</v>
      </c>
      <c r="K174" s="428" t="s">
        <v>282</v>
      </c>
    </row>
    <row r="175" spans="1:11" ht="14.4" customHeight="1" thickBot="1" x14ac:dyDescent="0.35">
      <c r="A175" s="438" t="s">
        <v>449</v>
      </c>
      <c r="B175" s="422">
        <v>0</v>
      </c>
      <c r="C175" s="422">
        <v>17.247</v>
      </c>
      <c r="D175" s="423">
        <v>17.247</v>
      </c>
      <c r="E175" s="424" t="s">
        <v>282</v>
      </c>
      <c r="F175" s="422">
        <v>0</v>
      </c>
      <c r="G175" s="423">
        <v>0</v>
      </c>
      <c r="H175" s="425">
        <v>-13.119</v>
      </c>
      <c r="I175" s="422">
        <v>5.89</v>
      </c>
      <c r="J175" s="423">
        <v>5.89</v>
      </c>
      <c r="K175" s="426" t="s">
        <v>282</v>
      </c>
    </row>
    <row r="176" spans="1:11" ht="14.4" customHeight="1" thickBot="1" x14ac:dyDescent="0.35">
      <c r="A176" s="439" t="s">
        <v>450</v>
      </c>
      <c r="B176" s="417">
        <v>0</v>
      </c>
      <c r="C176" s="417">
        <v>17.247</v>
      </c>
      <c r="D176" s="418">
        <v>17.247</v>
      </c>
      <c r="E176" s="427" t="s">
        <v>282</v>
      </c>
      <c r="F176" s="417">
        <v>0</v>
      </c>
      <c r="G176" s="418">
        <v>0</v>
      </c>
      <c r="H176" s="420">
        <v>-13.119</v>
      </c>
      <c r="I176" s="417">
        <v>5.89</v>
      </c>
      <c r="J176" s="418">
        <v>5.89</v>
      </c>
      <c r="K176" s="428" t="s">
        <v>282</v>
      </c>
    </row>
    <row r="177" spans="1:11" ht="14.4" customHeight="1" thickBot="1" x14ac:dyDescent="0.35">
      <c r="A177" s="436" t="s">
        <v>451</v>
      </c>
      <c r="B177" s="417">
        <v>4.9406564584124654E-324</v>
      </c>
      <c r="C177" s="417">
        <v>4.9406564584124654E-324</v>
      </c>
      <c r="D177" s="418">
        <v>0</v>
      </c>
      <c r="E177" s="419">
        <v>1</v>
      </c>
      <c r="F177" s="417">
        <v>4.9406564584124654E-324</v>
      </c>
      <c r="G177" s="418">
        <v>0</v>
      </c>
      <c r="H177" s="420">
        <v>4.9406564584124654E-324</v>
      </c>
      <c r="I177" s="417">
        <v>2.342E-2</v>
      </c>
      <c r="J177" s="418">
        <v>2.342E-2</v>
      </c>
      <c r="K177" s="428" t="s">
        <v>288</v>
      </c>
    </row>
    <row r="178" spans="1:11" ht="14.4" customHeight="1" thickBot="1" x14ac:dyDescent="0.35">
      <c r="A178" s="442" t="s">
        <v>452</v>
      </c>
      <c r="B178" s="422">
        <v>4.9406564584124654E-324</v>
      </c>
      <c r="C178" s="422">
        <v>4.9406564584124654E-324</v>
      </c>
      <c r="D178" s="423">
        <v>0</v>
      </c>
      <c r="E178" s="429">
        <v>1</v>
      </c>
      <c r="F178" s="422">
        <v>4.9406564584124654E-324</v>
      </c>
      <c r="G178" s="423">
        <v>0</v>
      </c>
      <c r="H178" s="425">
        <v>4.9406564584124654E-324</v>
      </c>
      <c r="I178" s="422">
        <v>2.342E-2</v>
      </c>
      <c r="J178" s="423">
        <v>2.342E-2</v>
      </c>
      <c r="K178" s="426" t="s">
        <v>288</v>
      </c>
    </row>
    <row r="179" spans="1:11" ht="14.4" customHeight="1" thickBot="1" x14ac:dyDescent="0.35">
      <c r="A179" s="438" t="s">
        <v>453</v>
      </c>
      <c r="B179" s="422">
        <v>4.9406564584124654E-324</v>
      </c>
      <c r="C179" s="422">
        <v>4.9406564584124654E-324</v>
      </c>
      <c r="D179" s="423">
        <v>0</v>
      </c>
      <c r="E179" s="429">
        <v>1</v>
      </c>
      <c r="F179" s="422">
        <v>4.9406564584124654E-324</v>
      </c>
      <c r="G179" s="423">
        <v>0</v>
      </c>
      <c r="H179" s="425">
        <v>4.9406564584124654E-324</v>
      </c>
      <c r="I179" s="422">
        <v>2.342E-2</v>
      </c>
      <c r="J179" s="423">
        <v>2.342E-2</v>
      </c>
      <c r="K179" s="426" t="s">
        <v>288</v>
      </c>
    </row>
    <row r="180" spans="1:11" ht="14.4" customHeight="1" thickBot="1" x14ac:dyDescent="0.35">
      <c r="A180" s="439" t="s">
        <v>454</v>
      </c>
      <c r="B180" s="417">
        <v>4.9406564584124654E-324</v>
      </c>
      <c r="C180" s="417">
        <v>4.9406564584124654E-324</v>
      </c>
      <c r="D180" s="418">
        <v>0</v>
      </c>
      <c r="E180" s="419">
        <v>1</v>
      </c>
      <c r="F180" s="417">
        <v>4.9406564584124654E-324</v>
      </c>
      <c r="G180" s="418">
        <v>0</v>
      </c>
      <c r="H180" s="420">
        <v>4.9406564584124654E-324</v>
      </c>
      <c r="I180" s="417">
        <v>2.342E-2</v>
      </c>
      <c r="J180" s="418">
        <v>2.342E-2</v>
      </c>
      <c r="K180" s="428" t="s">
        <v>288</v>
      </c>
    </row>
    <row r="181" spans="1:11" ht="14.4" customHeight="1" thickBot="1" x14ac:dyDescent="0.35">
      <c r="A181" s="435" t="s">
        <v>455</v>
      </c>
      <c r="B181" s="417">
        <v>2362.0921578286202</v>
      </c>
      <c r="C181" s="417">
        <v>2160.8901900000001</v>
      </c>
      <c r="D181" s="418">
        <v>-201.20196782862101</v>
      </c>
      <c r="E181" s="419">
        <v>0.91482044120799999</v>
      </c>
      <c r="F181" s="417">
        <v>2267.0007088176899</v>
      </c>
      <c r="G181" s="418">
        <v>1511.33380587846</v>
      </c>
      <c r="H181" s="420">
        <v>136.70443</v>
      </c>
      <c r="I181" s="417">
        <v>1407.04999</v>
      </c>
      <c r="J181" s="418">
        <v>-104.283815878461</v>
      </c>
      <c r="K181" s="421">
        <v>0.62066588004400003</v>
      </c>
    </row>
    <row r="182" spans="1:11" ht="14.4" customHeight="1" thickBot="1" x14ac:dyDescent="0.35">
      <c r="A182" s="440" t="s">
        <v>456</v>
      </c>
      <c r="B182" s="422">
        <v>2362.0921578286202</v>
      </c>
      <c r="C182" s="422">
        <v>2160.8901900000001</v>
      </c>
      <c r="D182" s="423">
        <v>-201.20196782862101</v>
      </c>
      <c r="E182" s="429">
        <v>0.91482044120799999</v>
      </c>
      <c r="F182" s="422">
        <v>2267.0007088176899</v>
      </c>
      <c r="G182" s="423">
        <v>1511.33380587846</v>
      </c>
      <c r="H182" s="425">
        <v>136.70443</v>
      </c>
      <c r="I182" s="422">
        <v>1407.04999</v>
      </c>
      <c r="J182" s="423">
        <v>-104.283815878461</v>
      </c>
      <c r="K182" s="430">
        <v>0.62066588004400003</v>
      </c>
    </row>
    <row r="183" spans="1:11" ht="14.4" customHeight="1" thickBot="1" x14ac:dyDescent="0.35">
      <c r="A183" s="442" t="s">
        <v>54</v>
      </c>
      <c r="B183" s="422">
        <v>2362.0921578286202</v>
      </c>
      <c r="C183" s="422">
        <v>2160.8901900000001</v>
      </c>
      <c r="D183" s="423">
        <v>-201.20196782862101</v>
      </c>
      <c r="E183" s="429">
        <v>0.91482044120799999</v>
      </c>
      <c r="F183" s="422">
        <v>2267.0007088176899</v>
      </c>
      <c r="G183" s="423">
        <v>1511.33380587846</v>
      </c>
      <c r="H183" s="425">
        <v>136.70443</v>
      </c>
      <c r="I183" s="422">
        <v>1407.04999</v>
      </c>
      <c r="J183" s="423">
        <v>-104.283815878461</v>
      </c>
      <c r="K183" s="430">
        <v>0.62066588004400003</v>
      </c>
    </row>
    <row r="184" spans="1:11" ht="14.4" customHeight="1" thickBot="1" x14ac:dyDescent="0.35">
      <c r="A184" s="438" t="s">
        <v>457</v>
      </c>
      <c r="B184" s="422">
        <v>29.999999999999002</v>
      </c>
      <c r="C184" s="422">
        <v>40.326000000000001</v>
      </c>
      <c r="D184" s="423">
        <v>10.326000000000001</v>
      </c>
      <c r="E184" s="429">
        <v>1.3442000000000001</v>
      </c>
      <c r="F184" s="422">
        <v>18</v>
      </c>
      <c r="G184" s="423">
        <v>12</v>
      </c>
      <c r="H184" s="425">
        <v>3.3605</v>
      </c>
      <c r="I184" s="422">
        <v>26.884</v>
      </c>
      <c r="J184" s="423">
        <v>14.884</v>
      </c>
      <c r="K184" s="430">
        <v>1.493555555555</v>
      </c>
    </row>
    <row r="185" spans="1:11" ht="14.4" customHeight="1" thickBot="1" x14ac:dyDescent="0.35">
      <c r="A185" s="439" t="s">
        <v>458</v>
      </c>
      <c r="B185" s="417">
        <v>29.999999999999002</v>
      </c>
      <c r="C185" s="417">
        <v>40.326000000000001</v>
      </c>
      <c r="D185" s="418">
        <v>10.326000000000001</v>
      </c>
      <c r="E185" s="419">
        <v>1.3442000000000001</v>
      </c>
      <c r="F185" s="417">
        <v>18</v>
      </c>
      <c r="G185" s="418">
        <v>12</v>
      </c>
      <c r="H185" s="420">
        <v>3.3605</v>
      </c>
      <c r="I185" s="417">
        <v>26.884</v>
      </c>
      <c r="J185" s="418">
        <v>14.884</v>
      </c>
      <c r="K185" s="421">
        <v>1.493555555555</v>
      </c>
    </row>
    <row r="186" spans="1:11" ht="14.4" customHeight="1" thickBot="1" x14ac:dyDescent="0.35">
      <c r="A186" s="438" t="s">
        <v>459</v>
      </c>
      <c r="B186" s="422">
        <v>28.827012321971001</v>
      </c>
      <c r="C186" s="422">
        <v>3.2149999999999999</v>
      </c>
      <c r="D186" s="423">
        <v>-25.612012321971001</v>
      </c>
      <c r="E186" s="429">
        <v>0.111527339846</v>
      </c>
      <c r="F186" s="422">
        <v>5.0007088176919998</v>
      </c>
      <c r="G186" s="423">
        <v>3.3338058784609998</v>
      </c>
      <c r="H186" s="425">
        <v>0.37009999999999998</v>
      </c>
      <c r="I186" s="422">
        <v>2.3891200000000001</v>
      </c>
      <c r="J186" s="423">
        <v>-0.94468587846100005</v>
      </c>
      <c r="K186" s="430">
        <v>0.47775627158</v>
      </c>
    </row>
    <row r="187" spans="1:11" ht="14.4" customHeight="1" thickBot="1" x14ac:dyDescent="0.35">
      <c r="A187" s="439" t="s">
        <v>460</v>
      </c>
      <c r="B187" s="417">
        <v>28.827012321971001</v>
      </c>
      <c r="C187" s="417">
        <v>3.2149999999999999</v>
      </c>
      <c r="D187" s="418">
        <v>-25.612012321971001</v>
      </c>
      <c r="E187" s="419">
        <v>0.111527339846</v>
      </c>
      <c r="F187" s="417">
        <v>5.0007088176919998</v>
      </c>
      <c r="G187" s="418">
        <v>3.3338058784609998</v>
      </c>
      <c r="H187" s="420">
        <v>0.37009999999999998</v>
      </c>
      <c r="I187" s="417">
        <v>2.3891200000000001</v>
      </c>
      <c r="J187" s="418">
        <v>-0.94468587846100005</v>
      </c>
      <c r="K187" s="421">
        <v>0.47775627158</v>
      </c>
    </row>
    <row r="188" spans="1:11" ht="14.4" customHeight="1" thickBot="1" x14ac:dyDescent="0.35">
      <c r="A188" s="438" t="s">
        <v>461</v>
      </c>
      <c r="B188" s="422">
        <v>44.265145506678998</v>
      </c>
      <c r="C188" s="422">
        <v>41.896900000000002</v>
      </c>
      <c r="D188" s="423">
        <v>-2.368245506679</v>
      </c>
      <c r="E188" s="429">
        <v>0.94649863951400004</v>
      </c>
      <c r="F188" s="422">
        <v>46</v>
      </c>
      <c r="G188" s="423">
        <v>30.666666666666</v>
      </c>
      <c r="H188" s="425">
        <v>1.9100999999999999</v>
      </c>
      <c r="I188" s="422">
        <v>21.049299999999999</v>
      </c>
      <c r="J188" s="423">
        <v>-9.6173666666659994</v>
      </c>
      <c r="K188" s="430">
        <v>0.45759347826000002</v>
      </c>
    </row>
    <row r="189" spans="1:11" ht="14.4" customHeight="1" thickBot="1" x14ac:dyDescent="0.35">
      <c r="A189" s="439" t="s">
        <v>462</v>
      </c>
      <c r="B189" s="417">
        <v>44.265145506678998</v>
      </c>
      <c r="C189" s="417">
        <v>41.896900000000002</v>
      </c>
      <c r="D189" s="418">
        <v>-2.368245506679</v>
      </c>
      <c r="E189" s="419">
        <v>0.94649863951400004</v>
      </c>
      <c r="F189" s="417">
        <v>46</v>
      </c>
      <c r="G189" s="418">
        <v>30.666666666666</v>
      </c>
      <c r="H189" s="420">
        <v>1.9100999999999999</v>
      </c>
      <c r="I189" s="417">
        <v>21.049299999999999</v>
      </c>
      <c r="J189" s="418">
        <v>-9.6173666666659994</v>
      </c>
      <c r="K189" s="421">
        <v>0.45759347826000002</v>
      </c>
    </row>
    <row r="190" spans="1:11" ht="14.4" customHeight="1" thickBot="1" x14ac:dyDescent="0.35">
      <c r="A190" s="438" t="s">
        <v>463</v>
      </c>
      <c r="B190" s="422">
        <v>391.999999999995</v>
      </c>
      <c r="C190" s="422">
        <v>348.14353</v>
      </c>
      <c r="D190" s="423">
        <v>-43.856469999994999</v>
      </c>
      <c r="E190" s="429">
        <v>0.88812124999999997</v>
      </c>
      <c r="F190" s="422">
        <v>490</v>
      </c>
      <c r="G190" s="423">
        <v>326.66666666666703</v>
      </c>
      <c r="H190" s="425">
        <v>32.259639999999997</v>
      </c>
      <c r="I190" s="422">
        <v>278.79730999999998</v>
      </c>
      <c r="J190" s="423">
        <v>-47.869356666666</v>
      </c>
      <c r="K190" s="430">
        <v>0.56897410203999998</v>
      </c>
    </row>
    <row r="191" spans="1:11" ht="14.4" customHeight="1" thickBot="1" x14ac:dyDescent="0.35">
      <c r="A191" s="439" t="s">
        <v>464</v>
      </c>
      <c r="B191" s="417">
        <v>391.999999999995</v>
      </c>
      <c r="C191" s="417">
        <v>348.03757000000002</v>
      </c>
      <c r="D191" s="418">
        <v>-43.962429999995003</v>
      </c>
      <c r="E191" s="419">
        <v>0.88785094387700003</v>
      </c>
      <c r="F191" s="417">
        <v>484</v>
      </c>
      <c r="G191" s="418">
        <v>322.66666666666703</v>
      </c>
      <c r="H191" s="420">
        <v>31.77636</v>
      </c>
      <c r="I191" s="417">
        <v>274.93104</v>
      </c>
      <c r="J191" s="418">
        <v>-47.735626666666001</v>
      </c>
      <c r="K191" s="421">
        <v>0.56803933884199997</v>
      </c>
    </row>
    <row r="192" spans="1:11" ht="14.4" customHeight="1" thickBot="1" x14ac:dyDescent="0.35">
      <c r="A192" s="439" t="s">
        <v>465</v>
      </c>
      <c r="B192" s="417">
        <v>0</v>
      </c>
      <c r="C192" s="417">
        <v>0.10596</v>
      </c>
      <c r="D192" s="418">
        <v>0.10596</v>
      </c>
      <c r="E192" s="427" t="s">
        <v>282</v>
      </c>
      <c r="F192" s="417">
        <v>6</v>
      </c>
      <c r="G192" s="418">
        <v>4</v>
      </c>
      <c r="H192" s="420">
        <v>0.48327999999999999</v>
      </c>
      <c r="I192" s="417">
        <v>3.8662700000000001</v>
      </c>
      <c r="J192" s="418">
        <v>-0.13372999999900001</v>
      </c>
      <c r="K192" s="421">
        <v>0.64437833333299999</v>
      </c>
    </row>
    <row r="193" spans="1:11" ht="14.4" customHeight="1" thickBot="1" x14ac:dyDescent="0.35">
      <c r="A193" s="438" t="s">
        <v>466</v>
      </c>
      <c r="B193" s="422">
        <v>0</v>
      </c>
      <c r="C193" s="422">
        <v>122.50700000000001</v>
      </c>
      <c r="D193" s="423">
        <v>122.50700000000001</v>
      </c>
      <c r="E193" s="424" t="s">
        <v>282</v>
      </c>
      <c r="F193" s="422">
        <v>4.9406564584124654E-324</v>
      </c>
      <c r="G193" s="423">
        <v>0</v>
      </c>
      <c r="H193" s="425">
        <v>4.9406564584124654E-324</v>
      </c>
      <c r="I193" s="422">
        <v>3.9525251667299724E-323</v>
      </c>
      <c r="J193" s="423">
        <v>3.9525251667299724E-323</v>
      </c>
      <c r="K193" s="430">
        <v>8</v>
      </c>
    </row>
    <row r="194" spans="1:11" ht="14.4" customHeight="1" thickBot="1" x14ac:dyDescent="0.35">
      <c r="A194" s="439" t="s">
        <v>467</v>
      </c>
      <c r="B194" s="417">
        <v>0</v>
      </c>
      <c r="C194" s="417">
        <v>122.50700000000001</v>
      </c>
      <c r="D194" s="418">
        <v>122.50700000000001</v>
      </c>
      <c r="E194" s="427" t="s">
        <v>282</v>
      </c>
      <c r="F194" s="417">
        <v>4.9406564584124654E-324</v>
      </c>
      <c r="G194" s="418">
        <v>0</v>
      </c>
      <c r="H194" s="420">
        <v>4.9406564584124654E-324</v>
      </c>
      <c r="I194" s="417">
        <v>3.9525251667299724E-323</v>
      </c>
      <c r="J194" s="418">
        <v>3.9525251667299724E-323</v>
      </c>
      <c r="K194" s="421">
        <v>8</v>
      </c>
    </row>
    <row r="195" spans="1:11" ht="14.4" customHeight="1" thickBot="1" x14ac:dyDescent="0.35">
      <c r="A195" s="438" t="s">
        <v>468</v>
      </c>
      <c r="B195" s="422">
        <v>1866.99999999998</v>
      </c>
      <c r="C195" s="422">
        <v>1604.8017600000001</v>
      </c>
      <c r="D195" s="423">
        <v>-262.19823999997499</v>
      </c>
      <c r="E195" s="429">
        <v>0.85956173540400005</v>
      </c>
      <c r="F195" s="422">
        <v>1708</v>
      </c>
      <c r="G195" s="423">
        <v>1138.6666666666699</v>
      </c>
      <c r="H195" s="425">
        <v>98.804090000000002</v>
      </c>
      <c r="I195" s="422">
        <v>1077.9302600000001</v>
      </c>
      <c r="J195" s="423">
        <v>-60.736406666665999</v>
      </c>
      <c r="K195" s="430">
        <v>0.63110670960100002</v>
      </c>
    </row>
    <row r="196" spans="1:11" ht="14.4" customHeight="1" thickBot="1" x14ac:dyDescent="0.35">
      <c r="A196" s="439" t="s">
        <v>469</v>
      </c>
      <c r="B196" s="417">
        <v>1866.99999999998</v>
      </c>
      <c r="C196" s="417">
        <v>1604.8017600000001</v>
      </c>
      <c r="D196" s="418">
        <v>-262.19823999997499</v>
      </c>
      <c r="E196" s="419">
        <v>0.85956173540400005</v>
      </c>
      <c r="F196" s="417">
        <v>1708</v>
      </c>
      <c r="G196" s="418">
        <v>1138.6666666666699</v>
      </c>
      <c r="H196" s="420">
        <v>98.804090000000002</v>
      </c>
      <c r="I196" s="417">
        <v>1077.9302600000001</v>
      </c>
      <c r="J196" s="418">
        <v>-60.736406666665999</v>
      </c>
      <c r="K196" s="421">
        <v>0.63110670960100002</v>
      </c>
    </row>
    <row r="197" spans="1:11" ht="14.4" customHeight="1" thickBot="1" x14ac:dyDescent="0.35">
      <c r="A197" s="443"/>
      <c r="B197" s="417">
        <v>27002.887364719802</v>
      </c>
      <c r="C197" s="417">
        <v>26296.03124</v>
      </c>
      <c r="D197" s="418">
        <v>-706.85612471978698</v>
      </c>
      <c r="E197" s="419">
        <v>0.97382294288799998</v>
      </c>
      <c r="F197" s="417">
        <v>25058.589737992701</v>
      </c>
      <c r="G197" s="418">
        <v>16705.726491995101</v>
      </c>
      <c r="H197" s="420">
        <v>2924.1905999999999</v>
      </c>
      <c r="I197" s="417">
        <v>26329.144489999999</v>
      </c>
      <c r="J197" s="418">
        <v>9623.4179980048502</v>
      </c>
      <c r="K197" s="421">
        <v>1.0507033622119999</v>
      </c>
    </row>
    <row r="198" spans="1:11" ht="14.4" customHeight="1" thickBot="1" x14ac:dyDescent="0.35">
      <c r="A198" s="444" t="s">
        <v>66</v>
      </c>
      <c r="B198" s="431">
        <v>27002.887364719802</v>
      </c>
      <c r="C198" s="431">
        <v>26296.03124</v>
      </c>
      <c r="D198" s="432">
        <v>-706.85612471977799</v>
      </c>
      <c r="E198" s="433">
        <v>-1.020691866727</v>
      </c>
      <c r="F198" s="431">
        <v>25058.589737992701</v>
      </c>
      <c r="G198" s="432">
        <v>16705.726491995101</v>
      </c>
      <c r="H198" s="431">
        <v>2924.1905999999999</v>
      </c>
      <c r="I198" s="431">
        <v>26329.144489999999</v>
      </c>
      <c r="J198" s="432">
        <v>9623.4179980048393</v>
      </c>
      <c r="K198" s="434">
        <v>1.0507033622119999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281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266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5" t="s">
        <v>470</v>
      </c>
      <c r="B5" s="446" t="s">
        <v>471</v>
      </c>
      <c r="C5" s="447" t="s">
        <v>472</v>
      </c>
      <c r="D5" s="447" t="s">
        <v>472</v>
      </c>
      <c r="E5" s="447"/>
      <c r="F5" s="447" t="s">
        <v>472</v>
      </c>
      <c r="G5" s="447" t="s">
        <v>472</v>
      </c>
      <c r="H5" s="447" t="s">
        <v>472</v>
      </c>
      <c r="I5" s="448" t="s">
        <v>472</v>
      </c>
      <c r="J5" s="449" t="s">
        <v>69</v>
      </c>
    </row>
    <row r="6" spans="1:10" ht="14.4" customHeight="1" x14ac:dyDescent="0.3">
      <c r="A6" s="445" t="s">
        <v>470</v>
      </c>
      <c r="B6" s="446" t="s">
        <v>291</v>
      </c>
      <c r="C6" s="447">
        <v>53.732830000000007</v>
      </c>
      <c r="D6" s="447">
        <v>60.208379999998996</v>
      </c>
      <c r="E6" s="447"/>
      <c r="F6" s="447">
        <v>48.135780000000004</v>
      </c>
      <c r="G6" s="447">
        <v>58.547813282134669</v>
      </c>
      <c r="H6" s="447">
        <v>-10.412033282134665</v>
      </c>
      <c r="I6" s="448">
        <v>0.82216187593616241</v>
      </c>
      <c r="J6" s="449" t="s">
        <v>1</v>
      </c>
    </row>
    <row r="7" spans="1:10" ht="14.4" customHeight="1" x14ac:dyDescent="0.3">
      <c r="A7" s="445" t="s">
        <v>470</v>
      </c>
      <c r="B7" s="446" t="s">
        <v>292</v>
      </c>
      <c r="C7" s="447">
        <v>0.37225000000000003</v>
      </c>
      <c r="D7" s="447">
        <v>0.22676999999999997</v>
      </c>
      <c r="E7" s="447"/>
      <c r="F7" s="447">
        <v>0</v>
      </c>
      <c r="G7" s="447">
        <v>0.15301811511266666</v>
      </c>
      <c r="H7" s="447">
        <v>-0.15301811511266666</v>
      </c>
      <c r="I7" s="448">
        <v>0</v>
      </c>
      <c r="J7" s="449" t="s">
        <v>1</v>
      </c>
    </row>
    <row r="8" spans="1:10" ht="14.4" customHeight="1" x14ac:dyDescent="0.3">
      <c r="A8" s="445" t="s">
        <v>470</v>
      </c>
      <c r="B8" s="446" t="s">
        <v>293</v>
      </c>
      <c r="C8" s="447">
        <v>5.2703999999999995</v>
      </c>
      <c r="D8" s="447">
        <v>4.2464599999999999</v>
      </c>
      <c r="E8" s="447"/>
      <c r="F8" s="447">
        <v>0.88571999999999995</v>
      </c>
      <c r="G8" s="447">
        <v>3.8383016139726664</v>
      </c>
      <c r="H8" s="447">
        <v>-2.9525816139726664</v>
      </c>
      <c r="I8" s="448">
        <v>0.23075831163858804</v>
      </c>
      <c r="J8" s="449" t="s">
        <v>1</v>
      </c>
    </row>
    <row r="9" spans="1:10" ht="14.4" customHeight="1" x14ac:dyDescent="0.3">
      <c r="A9" s="445" t="s">
        <v>470</v>
      </c>
      <c r="B9" s="446" t="s">
        <v>473</v>
      </c>
      <c r="C9" s="447">
        <v>59.37548000000001</v>
      </c>
      <c r="D9" s="447">
        <v>64.681609999998997</v>
      </c>
      <c r="E9" s="447"/>
      <c r="F9" s="447">
        <v>49.021500000000003</v>
      </c>
      <c r="G9" s="447">
        <v>62.539133011220002</v>
      </c>
      <c r="H9" s="447">
        <v>-13.517633011219999</v>
      </c>
      <c r="I9" s="448">
        <v>0.78385320741822828</v>
      </c>
      <c r="J9" s="449" t="s">
        <v>474</v>
      </c>
    </row>
    <row r="11" spans="1:10" ht="14.4" customHeight="1" x14ac:dyDescent="0.3">
      <c r="A11" s="445" t="s">
        <v>470</v>
      </c>
      <c r="B11" s="446" t="s">
        <v>471</v>
      </c>
      <c r="C11" s="447" t="s">
        <v>472</v>
      </c>
      <c r="D11" s="447" t="s">
        <v>472</v>
      </c>
      <c r="E11" s="447"/>
      <c r="F11" s="447" t="s">
        <v>472</v>
      </c>
      <c r="G11" s="447" t="s">
        <v>472</v>
      </c>
      <c r="H11" s="447" t="s">
        <v>472</v>
      </c>
      <c r="I11" s="448" t="s">
        <v>472</v>
      </c>
      <c r="J11" s="449" t="s">
        <v>69</v>
      </c>
    </row>
    <row r="12" spans="1:10" ht="14.4" customHeight="1" x14ac:dyDescent="0.3">
      <c r="A12" s="445" t="s">
        <v>475</v>
      </c>
      <c r="B12" s="446" t="s">
        <v>476</v>
      </c>
      <c r="C12" s="447" t="s">
        <v>472</v>
      </c>
      <c r="D12" s="447" t="s">
        <v>472</v>
      </c>
      <c r="E12" s="447"/>
      <c r="F12" s="447" t="s">
        <v>472</v>
      </c>
      <c r="G12" s="447" t="s">
        <v>472</v>
      </c>
      <c r="H12" s="447" t="s">
        <v>472</v>
      </c>
      <c r="I12" s="448" t="s">
        <v>472</v>
      </c>
      <c r="J12" s="449" t="s">
        <v>0</v>
      </c>
    </row>
    <row r="13" spans="1:10" ht="14.4" customHeight="1" x14ac:dyDescent="0.3">
      <c r="A13" s="445" t="s">
        <v>475</v>
      </c>
      <c r="B13" s="446" t="s">
        <v>291</v>
      </c>
      <c r="C13" s="447">
        <v>0</v>
      </c>
      <c r="D13" s="447" t="s">
        <v>472</v>
      </c>
      <c r="E13" s="447"/>
      <c r="F13" s="447" t="s">
        <v>472</v>
      </c>
      <c r="G13" s="447" t="s">
        <v>472</v>
      </c>
      <c r="H13" s="447" t="s">
        <v>472</v>
      </c>
      <c r="I13" s="448" t="s">
        <v>472</v>
      </c>
      <c r="J13" s="449" t="s">
        <v>1</v>
      </c>
    </row>
    <row r="14" spans="1:10" ht="14.4" customHeight="1" x14ac:dyDescent="0.3">
      <c r="A14" s="445" t="s">
        <v>475</v>
      </c>
      <c r="B14" s="446" t="s">
        <v>477</v>
      </c>
      <c r="C14" s="447">
        <v>0</v>
      </c>
      <c r="D14" s="447" t="s">
        <v>472</v>
      </c>
      <c r="E14" s="447"/>
      <c r="F14" s="447" t="s">
        <v>472</v>
      </c>
      <c r="G14" s="447" t="s">
        <v>472</v>
      </c>
      <c r="H14" s="447" t="s">
        <v>472</v>
      </c>
      <c r="I14" s="448" t="s">
        <v>472</v>
      </c>
      <c r="J14" s="449" t="s">
        <v>478</v>
      </c>
    </row>
    <row r="15" spans="1:10" ht="14.4" customHeight="1" x14ac:dyDescent="0.3">
      <c r="A15" s="445" t="s">
        <v>472</v>
      </c>
      <c r="B15" s="446" t="s">
        <v>472</v>
      </c>
      <c r="C15" s="447" t="s">
        <v>472</v>
      </c>
      <c r="D15" s="447" t="s">
        <v>472</v>
      </c>
      <c r="E15" s="447"/>
      <c r="F15" s="447" t="s">
        <v>472</v>
      </c>
      <c r="G15" s="447" t="s">
        <v>472</v>
      </c>
      <c r="H15" s="447" t="s">
        <v>472</v>
      </c>
      <c r="I15" s="448" t="s">
        <v>472</v>
      </c>
      <c r="J15" s="449" t="s">
        <v>479</v>
      </c>
    </row>
    <row r="16" spans="1:10" ht="14.4" customHeight="1" x14ac:dyDescent="0.3">
      <c r="A16" s="445" t="s">
        <v>480</v>
      </c>
      <c r="B16" s="446" t="s">
        <v>481</v>
      </c>
      <c r="C16" s="447" t="s">
        <v>472</v>
      </c>
      <c r="D16" s="447" t="s">
        <v>472</v>
      </c>
      <c r="E16" s="447"/>
      <c r="F16" s="447" t="s">
        <v>472</v>
      </c>
      <c r="G16" s="447" t="s">
        <v>472</v>
      </c>
      <c r="H16" s="447" t="s">
        <v>472</v>
      </c>
      <c r="I16" s="448" t="s">
        <v>472</v>
      </c>
      <c r="J16" s="449" t="s">
        <v>0</v>
      </c>
    </row>
    <row r="17" spans="1:10" ht="14.4" customHeight="1" x14ac:dyDescent="0.3">
      <c r="A17" s="445" t="s">
        <v>480</v>
      </c>
      <c r="B17" s="446" t="s">
        <v>291</v>
      </c>
      <c r="C17" s="447">
        <v>28.415110000000002</v>
      </c>
      <c r="D17" s="447">
        <v>32.636279999998997</v>
      </c>
      <c r="E17" s="447"/>
      <c r="F17" s="447">
        <v>25.03557</v>
      </c>
      <c r="G17" s="447">
        <v>31.374347786615331</v>
      </c>
      <c r="H17" s="447">
        <v>-6.3387777866153314</v>
      </c>
      <c r="I17" s="448">
        <v>0.79796304198171952</v>
      </c>
      <c r="J17" s="449" t="s">
        <v>1</v>
      </c>
    </row>
    <row r="18" spans="1:10" ht="14.4" customHeight="1" x14ac:dyDescent="0.3">
      <c r="A18" s="445" t="s">
        <v>480</v>
      </c>
      <c r="B18" s="446" t="s">
        <v>292</v>
      </c>
      <c r="C18" s="447">
        <v>0.37225000000000003</v>
      </c>
      <c r="D18" s="447">
        <v>3.7690000000000001E-2</v>
      </c>
      <c r="E18" s="447"/>
      <c r="F18" s="447">
        <v>0</v>
      </c>
      <c r="G18" s="447">
        <v>2.5432168093333332E-2</v>
      </c>
      <c r="H18" s="447">
        <v>-2.5432168093333332E-2</v>
      </c>
      <c r="I18" s="448">
        <v>0</v>
      </c>
      <c r="J18" s="449" t="s">
        <v>1</v>
      </c>
    </row>
    <row r="19" spans="1:10" ht="14.4" customHeight="1" x14ac:dyDescent="0.3">
      <c r="A19" s="445" t="s">
        <v>480</v>
      </c>
      <c r="B19" s="446" t="s">
        <v>482</v>
      </c>
      <c r="C19" s="447">
        <v>28.787360000000003</v>
      </c>
      <c r="D19" s="447">
        <v>32.673969999998995</v>
      </c>
      <c r="E19" s="447"/>
      <c r="F19" s="447">
        <v>25.03557</v>
      </c>
      <c r="G19" s="447">
        <v>31.399779954708663</v>
      </c>
      <c r="H19" s="447">
        <v>-6.364209954708663</v>
      </c>
      <c r="I19" s="448">
        <v>0.7973167339424525</v>
      </c>
      <c r="J19" s="449" t="s">
        <v>478</v>
      </c>
    </row>
    <row r="20" spans="1:10" ht="14.4" customHeight="1" x14ac:dyDescent="0.3">
      <c r="A20" s="445" t="s">
        <v>472</v>
      </c>
      <c r="B20" s="446" t="s">
        <v>472</v>
      </c>
      <c r="C20" s="447" t="s">
        <v>472</v>
      </c>
      <c r="D20" s="447" t="s">
        <v>472</v>
      </c>
      <c r="E20" s="447"/>
      <c r="F20" s="447" t="s">
        <v>472</v>
      </c>
      <c r="G20" s="447" t="s">
        <v>472</v>
      </c>
      <c r="H20" s="447" t="s">
        <v>472</v>
      </c>
      <c r="I20" s="448" t="s">
        <v>472</v>
      </c>
      <c r="J20" s="449" t="s">
        <v>479</v>
      </c>
    </row>
    <row r="21" spans="1:10" ht="14.4" customHeight="1" x14ac:dyDescent="0.3">
      <c r="A21" s="445" t="s">
        <v>483</v>
      </c>
      <c r="B21" s="446" t="s">
        <v>484</v>
      </c>
      <c r="C21" s="447" t="s">
        <v>472</v>
      </c>
      <c r="D21" s="447" t="s">
        <v>472</v>
      </c>
      <c r="E21" s="447"/>
      <c r="F21" s="447" t="s">
        <v>472</v>
      </c>
      <c r="G21" s="447" t="s">
        <v>472</v>
      </c>
      <c r="H21" s="447" t="s">
        <v>472</v>
      </c>
      <c r="I21" s="448" t="s">
        <v>472</v>
      </c>
      <c r="J21" s="449" t="s">
        <v>0</v>
      </c>
    </row>
    <row r="22" spans="1:10" ht="14.4" customHeight="1" x14ac:dyDescent="0.3">
      <c r="A22" s="445" t="s">
        <v>483</v>
      </c>
      <c r="B22" s="446" t="s">
        <v>291</v>
      </c>
      <c r="C22" s="447">
        <v>25.317720000000001</v>
      </c>
      <c r="D22" s="447">
        <v>27.572099999999999</v>
      </c>
      <c r="E22" s="447"/>
      <c r="F22" s="447">
        <v>23.100210000000004</v>
      </c>
      <c r="G22" s="447">
        <v>27.173465495519334</v>
      </c>
      <c r="H22" s="447">
        <v>-4.0732554955193301</v>
      </c>
      <c r="I22" s="448">
        <v>0.85010172897560765</v>
      </c>
      <c r="J22" s="449" t="s">
        <v>1</v>
      </c>
    </row>
    <row r="23" spans="1:10" ht="14.4" customHeight="1" x14ac:dyDescent="0.3">
      <c r="A23" s="445" t="s">
        <v>483</v>
      </c>
      <c r="B23" s="446" t="s">
        <v>292</v>
      </c>
      <c r="C23" s="447" t="s">
        <v>472</v>
      </c>
      <c r="D23" s="447">
        <v>0.18907999999999997</v>
      </c>
      <c r="E23" s="447"/>
      <c r="F23" s="447">
        <v>0</v>
      </c>
      <c r="G23" s="447">
        <v>0.12758594701933332</v>
      </c>
      <c r="H23" s="447">
        <v>-0.12758594701933332</v>
      </c>
      <c r="I23" s="448">
        <v>0</v>
      </c>
      <c r="J23" s="449" t="s">
        <v>1</v>
      </c>
    </row>
    <row r="24" spans="1:10" ht="14.4" customHeight="1" x14ac:dyDescent="0.3">
      <c r="A24" s="445" t="s">
        <v>483</v>
      </c>
      <c r="B24" s="446" t="s">
        <v>293</v>
      </c>
      <c r="C24" s="447">
        <v>5.2703999999999995</v>
      </c>
      <c r="D24" s="447">
        <v>4.2464599999999999</v>
      </c>
      <c r="E24" s="447"/>
      <c r="F24" s="447">
        <v>0.88571999999999995</v>
      </c>
      <c r="G24" s="447">
        <v>3.8383016139726664</v>
      </c>
      <c r="H24" s="447">
        <v>-2.9525816139726664</v>
      </c>
      <c r="I24" s="448">
        <v>0.23075831163858804</v>
      </c>
      <c r="J24" s="449" t="s">
        <v>1</v>
      </c>
    </row>
    <row r="25" spans="1:10" ht="14.4" customHeight="1" x14ac:dyDescent="0.3">
      <c r="A25" s="445" t="s">
        <v>483</v>
      </c>
      <c r="B25" s="446" t="s">
        <v>485</v>
      </c>
      <c r="C25" s="447">
        <v>30.58812</v>
      </c>
      <c r="D25" s="447">
        <v>32.007640000000002</v>
      </c>
      <c r="E25" s="447"/>
      <c r="F25" s="447">
        <v>23.985930000000003</v>
      </c>
      <c r="G25" s="447">
        <v>31.139353056511336</v>
      </c>
      <c r="H25" s="447">
        <v>-7.1534230565113326</v>
      </c>
      <c r="I25" s="448">
        <v>0.77027708175152565</v>
      </c>
      <c r="J25" s="449" t="s">
        <v>478</v>
      </c>
    </row>
    <row r="26" spans="1:10" ht="14.4" customHeight="1" x14ac:dyDescent="0.3">
      <c r="A26" s="445" t="s">
        <v>472</v>
      </c>
      <c r="B26" s="446" t="s">
        <v>472</v>
      </c>
      <c r="C26" s="447" t="s">
        <v>472</v>
      </c>
      <c r="D26" s="447" t="s">
        <v>472</v>
      </c>
      <c r="E26" s="447"/>
      <c r="F26" s="447" t="s">
        <v>472</v>
      </c>
      <c r="G26" s="447" t="s">
        <v>472</v>
      </c>
      <c r="H26" s="447" t="s">
        <v>472</v>
      </c>
      <c r="I26" s="448" t="s">
        <v>472</v>
      </c>
      <c r="J26" s="449" t="s">
        <v>479</v>
      </c>
    </row>
    <row r="27" spans="1:10" ht="14.4" customHeight="1" x14ac:dyDescent="0.3">
      <c r="A27" s="445" t="s">
        <v>470</v>
      </c>
      <c r="B27" s="446" t="s">
        <v>473</v>
      </c>
      <c r="C27" s="447">
        <v>59.375480000000003</v>
      </c>
      <c r="D27" s="447">
        <v>64.681609999998997</v>
      </c>
      <c r="E27" s="447"/>
      <c r="F27" s="447">
        <v>49.021500000000003</v>
      </c>
      <c r="G27" s="447">
        <v>62.539133011220002</v>
      </c>
      <c r="H27" s="447">
        <v>-13.517633011219999</v>
      </c>
      <c r="I27" s="448">
        <v>0.78385320741822828</v>
      </c>
      <c r="J27" s="449" t="s">
        <v>474</v>
      </c>
    </row>
  </sheetData>
  <mergeCells count="3">
    <mergeCell ref="F3:I3"/>
    <mergeCell ref="C4:D4"/>
    <mergeCell ref="A1:I1"/>
  </mergeCells>
  <conditionalFormatting sqref="F10 F28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27">
    <cfRule type="expression" dxfId="45" priority="5">
      <formula>$H11&gt;0</formula>
    </cfRule>
  </conditionalFormatting>
  <conditionalFormatting sqref="A11:A27">
    <cfRule type="expression" dxfId="44" priority="2">
      <formula>AND($J11&lt;&gt;"mezeraKL",$J11&lt;&gt;"")</formula>
    </cfRule>
  </conditionalFormatting>
  <conditionalFormatting sqref="I11:I27">
    <cfRule type="expression" dxfId="43" priority="6">
      <formula>$I11&gt;1</formula>
    </cfRule>
  </conditionalFormatting>
  <conditionalFormatting sqref="B11:B27">
    <cfRule type="expression" dxfId="42" priority="1">
      <formula>OR($J11="NS",$J11="SumaNS",$J11="Účet")</formula>
    </cfRule>
  </conditionalFormatting>
  <conditionalFormatting sqref="A11:D27 F11:I27">
    <cfRule type="expression" dxfId="41" priority="8">
      <formula>AND($J11&lt;&gt;"",$J11&lt;&gt;"mezeraKL")</formula>
    </cfRule>
  </conditionalFormatting>
  <conditionalFormatting sqref="B11:D27 F11:I27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7 F11:I27">
    <cfRule type="expression" dxfId="3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281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129</v>
      </c>
      <c r="K3" s="360"/>
      <c r="L3" s="98">
        <f>IF(M3&lt;&gt;0,N3/M3,0)</f>
        <v>204.62542577851738</v>
      </c>
      <c r="M3" s="98">
        <f>SUBTOTAL(9,M5:M1048576)</f>
        <v>170.6</v>
      </c>
      <c r="N3" s="99">
        <f>SUBTOTAL(9,N5:N1048576)</f>
        <v>34909.097637815066</v>
      </c>
    </row>
    <row r="4" spans="1:14" s="209" customFormat="1" ht="14.4" customHeight="1" thickBot="1" x14ac:dyDescent="0.35">
      <c r="A4" s="450" t="s">
        <v>4</v>
      </c>
      <c r="B4" s="451" t="s">
        <v>5</v>
      </c>
      <c r="C4" s="451" t="s">
        <v>0</v>
      </c>
      <c r="D4" s="451" t="s">
        <v>6</v>
      </c>
      <c r="E4" s="451" t="s">
        <v>7</v>
      </c>
      <c r="F4" s="451" t="s">
        <v>1</v>
      </c>
      <c r="G4" s="451" t="s">
        <v>8</v>
      </c>
      <c r="H4" s="451" t="s">
        <v>9</v>
      </c>
      <c r="I4" s="451" t="s">
        <v>10</v>
      </c>
      <c r="J4" s="452" t="s">
        <v>11</v>
      </c>
      <c r="K4" s="452" t="s">
        <v>12</v>
      </c>
      <c r="L4" s="453" t="s">
        <v>144</v>
      </c>
      <c r="M4" s="453" t="s">
        <v>13</v>
      </c>
      <c r="N4" s="454" t="s">
        <v>161</v>
      </c>
    </row>
    <row r="5" spans="1:14" ht="14.4" customHeight="1" x14ac:dyDescent="0.3">
      <c r="A5" s="457" t="s">
        <v>470</v>
      </c>
      <c r="B5" s="458" t="s">
        <v>614</v>
      </c>
      <c r="C5" s="459" t="s">
        <v>480</v>
      </c>
      <c r="D5" s="460" t="s">
        <v>615</v>
      </c>
      <c r="E5" s="459" t="s">
        <v>486</v>
      </c>
      <c r="F5" s="460" t="s">
        <v>617</v>
      </c>
      <c r="G5" s="459" t="s">
        <v>487</v>
      </c>
      <c r="H5" s="459" t="s">
        <v>488</v>
      </c>
      <c r="I5" s="459" t="s">
        <v>488</v>
      </c>
      <c r="J5" s="459" t="s">
        <v>489</v>
      </c>
      <c r="K5" s="459" t="s">
        <v>490</v>
      </c>
      <c r="L5" s="461">
        <v>149.5</v>
      </c>
      <c r="M5" s="461">
        <v>0.1</v>
      </c>
      <c r="N5" s="462">
        <v>14.950000000000001</v>
      </c>
    </row>
    <row r="6" spans="1:14" ht="14.4" customHeight="1" x14ac:dyDescent="0.3">
      <c r="A6" s="463" t="s">
        <v>470</v>
      </c>
      <c r="B6" s="464" t="s">
        <v>614</v>
      </c>
      <c r="C6" s="465" t="s">
        <v>480</v>
      </c>
      <c r="D6" s="466" t="s">
        <v>615</v>
      </c>
      <c r="E6" s="465" t="s">
        <v>486</v>
      </c>
      <c r="F6" s="466" t="s">
        <v>617</v>
      </c>
      <c r="G6" s="465" t="s">
        <v>487</v>
      </c>
      <c r="H6" s="465" t="s">
        <v>491</v>
      </c>
      <c r="I6" s="465" t="s">
        <v>492</v>
      </c>
      <c r="J6" s="465" t="s">
        <v>493</v>
      </c>
      <c r="K6" s="465" t="s">
        <v>494</v>
      </c>
      <c r="L6" s="467">
        <v>84.569816911816559</v>
      </c>
      <c r="M6" s="467">
        <v>1</v>
      </c>
      <c r="N6" s="468">
        <v>84.569816911816559</v>
      </c>
    </row>
    <row r="7" spans="1:14" ht="14.4" customHeight="1" x14ac:dyDescent="0.3">
      <c r="A7" s="463" t="s">
        <v>470</v>
      </c>
      <c r="B7" s="464" t="s">
        <v>614</v>
      </c>
      <c r="C7" s="465" t="s">
        <v>480</v>
      </c>
      <c r="D7" s="466" t="s">
        <v>615</v>
      </c>
      <c r="E7" s="465" t="s">
        <v>486</v>
      </c>
      <c r="F7" s="466" t="s">
        <v>617</v>
      </c>
      <c r="G7" s="465" t="s">
        <v>487</v>
      </c>
      <c r="H7" s="465" t="s">
        <v>495</v>
      </c>
      <c r="I7" s="465" t="s">
        <v>496</v>
      </c>
      <c r="J7" s="465" t="s">
        <v>497</v>
      </c>
      <c r="K7" s="465" t="s">
        <v>498</v>
      </c>
      <c r="L7" s="467">
        <v>99.608571428571437</v>
      </c>
      <c r="M7" s="467">
        <v>7</v>
      </c>
      <c r="N7" s="468">
        <v>697.2600000000001</v>
      </c>
    </row>
    <row r="8" spans="1:14" ht="14.4" customHeight="1" x14ac:dyDescent="0.3">
      <c r="A8" s="463" t="s">
        <v>470</v>
      </c>
      <c r="B8" s="464" t="s">
        <v>614</v>
      </c>
      <c r="C8" s="465" t="s">
        <v>480</v>
      </c>
      <c r="D8" s="466" t="s">
        <v>615</v>
      </c>
      <c r="E8" s="465" t="s">
        <v>486</v>
      </c>
      <c r="F8" s="466" t="s">
        <v>617</v>
      </c>
      <c r="G8" s="465" t="s">
        <v>487</v>
      </c>
      <c r="H8" s="465" t="s">
        <v>499</v>
      </c>
      <c r="I8" s="465" t="s">
        <v>500</v>
      </c>
      <c r="J8" s="465" t="s">
        <v>501</v>
      </c>
      <c r="K8" s="465" t="s">
        <v>502</v>
      </c>
      <c r="L8" s="467">
        <v>170.20250000000001</v>
      </c>
      <c r="M8" s="467">
        <v>4</v>
      </c>
      <c r="N8" s="468">
        <v>680.81000000000006</v>
      </c>
    </row>
    <row r="9" spans="1:14" ht="14.4" customHeight="1" x14ac:dyDescent="0.3">
      <c r="A9" s="463" t="s">
        <v>470</v>
      </c>
      <c r="B9" s="464" t="s">
        <v>614</v>
      </c>
      <c r="C9" s="465" t="s">
        <v>480</v>
      </c>
      <c r="D9" s="466" t="s">
        <v>615</v>
      </c>
      <c r="E9" s="465" t="s">
        <v>486</v>
      </c>
      <c r="F9" s="466" t="s">
        <v>617</v>
      </c>
      <c r="G9" s="465" t="s">
        <v>487</v>
      </c>
      <c r="H9" s="465" t="s">
        <v>503</v>
      </c>
      <c r="I9" s="465" t="s">
        <v>504</v>
      </c>
      <c r="J9" s="465" t="s">
        <v>505</v>
      </c>
      <c r="K9" s="465" t="s">
        <v>506</v>
      </c>
      <c r="L9" s="467">
        <v>42.090079703386337</v>
      </c>
      <c r="M9" s="467">
        <v>1</v>
      </c>
      <c r="N9" s="468">
        <v>42.090079703386337</v>
      </c>
    </row>
    <row r="10" spans="1:14" ht="14.4" customHeight="1" x14ac:dyDescent="0.3">
      <c r="A10" s="463" t="s">
        <v>470</v>
      </c>
      <c r="B10" s="464" t="s">
        <v>614</v>
      </c>
      <c r="C10" s="465" t="s">
        <v>480</v>
      </c>
      <c r="D10" s="466" t="s">
        <v>615</v>
      </c>
      <c r="E10" s="465" t="s">
        <v>486</v>
      </c>
      <c r="F10" s="466" t="s">
        <v>617</v>
      </c>
      <c r="G10" s="465" t="s">
        <v>487</v>
      </c>
      <c r="H10" s="465" t="s">
        <v>507</v>
      </c>
      <c r="I10" s="465" t="s">
        <v>508</v>
      </c>
      <c r="J10" s="465" t="s">
        <v>509</v>
      </c>
      <c r="K10" s="465" t="s">
        <v>510</v>
      </c>
      <c r="L10" s="467">
        <v>66.42</v>
      </c>
      <c r="M10" s="467">
        <v>2</v>
      </c>
      <c r="N10" s="468">
        <v>132.84</v>
      </c>
    </row>
    <row r="11" spans="1:14" ht="14.4" customHeight="1" x14ac:dyDescent="0.3">
      <c r="A11" s="463" t="s">
        <v>470</v>
      </c>
      <c r="B11" s="464" t="s">
        <v>614</v>
      </c>
      <c r="C11" s="465" t="s">
        <v>480</v>
      </c>
      <c r="D11" s="466" t="s">
        <v>615</v>
      </c>
      <c r="E11" s="465" t="s">
        <v>486</v>
      </c>
      <c r="F11" s="466" t="s">
        <v>617</v>
      </c>
      <c r="G11" s="465" t="s">
        <v>487</v>
      </c>
      <c r="H11" s="465" t="s">
        <v>511</v>
      </c>
      <c r="I11" s="465" t="s">
        <v>512</v>
      </c>
      <c r="J11" s="465" t="s">
        <v>513</v>
      </c>
      <c r="K11" s="465" t="s">
        <v>514</v>
      </c>
      <c r="L11" s="467">
        <v>127.18000000000005</v>
      </c>
      <c r="M11" s="467">
        <v>3</v>
      </c>
      <c r="N11" s="468">
        <v>381.54000000000013</v>
      </c>
    </row>
    <row r="12" spans="1:14" ht="14.4" customHeight="1" x14ac:dyDescent="0.3">
      <c r="A12" s="463" t="s">
        <v>470</v>
      </c>
      <c r="B12" s="464" t="s">
        <v>614</v>
      </c>
      <c r="C12" s="465" t="s">
        <v>480</v>
      </c>
      <c r="D12" s="466" t="s">
        <v>615</v>
      </c>
      <c r="E12" s="465" t="s">
        <v>486</v>
      </c>
      <c r="F12" s="466" t="s">
        <v>617</v>
      </c>
      <c r="G12" s="465" t="s">
        <v>487</v>
      </c>
      <c r="H12" s="465" t="s">
        <v>515</v>
      </c>
      <c r="I12" s="465" t="s">
        <v>516</v>
      </c>
      <c r="J12" s="465" t="s">
        <v>517</v>
      </c>
      <c r="K12" s="465"/>
      <c r="L12" s="467">
        <v>103.5</v>
      </c>
      <c r="M12" s="467">
        <v>1</v>
      </c>
      <c r="N12" s="468">
        <v>103.5</v>
      </c>
    </row>
    <row r="13" spans="1:14" ht="14.4" customHeight="1" x14ac:dyDescent="0.3">
      <c r="A13" s="463" t="s">
        <v>470</v>
      </c>
      <c r="B13" s="464" t="s">
        <v>614</v>
      </c>
      <c r="C13" s="465" t="s">
        <v>480</v>
      </c>
      <c r="D13" s="466" t="s">
        <v>615</v>
      </c>
      <c r="E13" s="465" t="s">
        <v>486</v>
      </c>
      <c r="F13" s="466" t="s">
        <v>617</v>
      </c>
      <c r="G13" s="465" t="s">
        <v>487</v>
      </c>
      <c r="H13" s="465" t="s">
        <v>518</v>
      </c>
      <c r="I13" s="465" t="s">
        <v>519</v>
      </c>
      <c r="J13" s="465" t="s">
        <v>520</v>
      </c>
      <c r="K13" s="465" t="s">
        <v>521</v>
      </c>
      <c r="L13" s="467">
        <v>49.65000000000002</v>
      </c>
      <c r="M13" s="467">
        <v>2</v>
      </c>
      <c r="N13" s="468">
        <v>99.30000000000004</v>
      </c>
    </row>
    <row r="14" spans="1:14" ht="14.4" customHeight="1" x14ac:dyDescent="0.3">
      <c r="A14" s="463" t="s">
        <v>470</v>
      </c>
      <c r="B14" s="464" t="s">
        <v>614</v>
      </c>
      <c r="C14" s="465" t="s">
        <v>480</v>
      </c>
      <c r="D14" s="466" t="s">
        <v>615</v>
      </c>
      <c r="E14" s="465" t="s">
        <v>486</v>
      </c>
      <c r="F14" s="466" t="s">
        <v>617</v>
      </c>
      <c r="G14" s="465" t="s">
        <v>487</v>
      </c>
      <c r="H14" s="465" t="s">
        <v>522</v>
      </c>
      <c r="I14" s="465" t="s">
        <v>523</v>
      </c>
      <c r="J14" s="465" t="s">
        <v>524</v>
      </c>
      <c r="K14" s="465" t="s">
        <v>525</v>
      </c>
      <c r="L14" s="467">
        <v>140.28</v>
      </c>
      <c r="M14" s="467">
        <v>1</v>
      </c>
      <c r="N14" s="468">
        <v>140.28</v>
      </c>
    </row>
    <row r="15" spans="1:14" ht="14.4" customHeight="1" x14ac:dyDescent="0.3">
      <c r="A15" s="463" t="s">
        <v>470</v>
      </c>
      <c r="B15" s="464" t="s">
        <v>614</v>
      </c>
      <c r="C15" s="465" t="s">
        <v>480</v>
      </c>
      <c r="D15" s="466" t="s">
        <v>615</v>
      </c>
      <c r="E15" s="465" t="s">
        <v>486</v>
      </c>
      <c r="F15" s="466" t="s">
        <v>617</v>
      </c>
      <c r="G15" s="465" t="s">
        <v>487</v>
      </c>
      <c r="H15" s="465" t="s">
        <v>526</v>
      </c>
      <c r="I15" s="465" t="s">
        <v>527</v>
      </c>
      <c r="J15" s="465" t="s">
        <v>528</v>
      </c>
      <c r="K15" s="465" t="s">
        <v>529</v>
      </c>
      <c r="L15" s="467">
        <v>37.630000000000003</v>
      </c>
      <c r="M15" s="467">
        <v>3</v>
      </c>
      <c r="N15" s="468">
        <v>112.89000000000001</v>
      </c>
    </row>
    <row r="16" spans="1:14" ht="14.4" customHeight="1" x14ac:dyDescent="0.3">
      <c r="A16" s="463" t="s">
        <v>470</v>
      </c>
      <c r="B16" s="464" t="s">
        <v>614</v>
      </c>
      <c r="C16" s="465" t="s">
        <v>480</v>
      </c>
      <c r="D16" s="466" t="s">
        <v>615</v>
      </c>
      <c r="E16" s="465" t="s">
        <v>486</v>
      </c>
      <c r="F16" s="466" t="s">
        <v>617</v>
      </c>
      <c r="G16" s="465" t="s">
        <v>487</v>
      </c>
      <c r="H16" s="465" t="s">
        <v>530</v>
      </c>
      <c r="I16" s="465" t="s">
        <v>531</v>
      </c>
      <c r="J16" s="465" t="s">
        <v>532</v>
      </c>
      <c r="K16" s="465" t="s">
        <v>533</v>
      </c>
      <c r="L16" s="467">
        <v>28.219999999999988</v>
      </c>
      <c r="M16" s="467">
        <v>3</v>
      </c>
      <c r="N16" s="468">
        <v>84.659999999999968</v>
      </c>
    </row>
    <row r="17" spans="1:14" ht="14.4" customHeight="1" x14ac:dyDescent="0.3">
      <c r="A17" s="463" t="s">
        <v>470</v>
      </c>
      <c r="B17" s="464" t="s">
        <v>614</v>
      </c>
      <c r="C17" s="465" t="s">
        <v>480</v>
      </c>
      <c r="D17" s="466" t="s">
        <v>615</v>
      </c>
      <c r="E17" s="465" t="s">
        <v>486</v>
      </c>
      <c r="F17" s="466" t="s">
        <v>617</v>
      </c>
      <c r="G17" s="465" t="s">
        <v>487</v>
      </c>
      <c r="H17" s="465" t="s">
        <v>534</v>
      </c>
      <c r="I17" s="465" t="s">
        <v>535</v>
      </c>
      <c r="J17" s="465" t="s">
        <v>536</v>
      </c>
      <c r="K17" s="465" t="s">
        <v>537</v>
      </c>
      <c r="L17" s="467">
        <v>69.659999999999982</v>
      </c>
      <c r="M17" s="467">
        <v>1</v>
      </c>
      <c r="N17" s="468">
        <v>69.659999999999982</v>
      </c>
    </row>
    <row r="18" spans="1:14" ht="14.4" customHeight="1" x14ac:dyDescent="0.3">
      <c r="A18" s="463" t="s">
        <v>470</v>
      </c>
      <c r="B18" s="464" t="s">
        <v>614</v>
      </c>
      <c r="C18" s="465" t="s">
        <v>480</v>
      </c>
      <c r="D18" s="466" t="s">
        <v>615</v>
      </c>
      <c r="E18" s="465" t="s">
        <v>486</v>
      </c>
      <c r="F18" s="466" t="s">
        <v>617</v>
      </c>
      <c r="G18" s="465" t="s">
        <v>487</v>
      </c>
      <c r="H18" s="465" t="s">
        <v>538</v>
      </c>
      <c r="I18" s="465" t="s">
        <v>539</v>
      </c>
      <c r="J18" s="465" t="s">
        <v>540</v>
      </c>
      <c r="K18" s="465" t="s">
        <v>541</v>
      </c>
      <c r="L18" s="467">
        <v>74.689999041396646</v>
      </c>
      <c r="M18" s="467">
        <v>5</v>
      </c>
      <c r="N18" s="468">
        <v>373.4499952069832</v>
      </c>
    </row>
    <row r="19" spans="1:14" ht="14.4" customHeight="1" x14ac:dyDescent="0.3">
      <c r="A19" s="463" t="s">
        <v>470</v>
      </c>
      <c r="B19" s="464" t="s">
        <v>614</v>
      </c>
      <c r="C19" s="465" t="s">
        <v>480</v>
      </c>
      <c r="D19" s="466" t="s">
        <v>615</v>
      </c>
      <c r="E19" s="465" t="s">
        <v>486</v>
      </c>
      <c r="F19" s="466" t="s">
        <v>617</v>
      </c>
      <c r="G19" s="465" t="s">
        <v>487</v>
      </c>
      <c r="H19" s="465" t="s">
        <v>542</v>
      </c>
      <c r="I19" s="465" t="s">
        <v>543</v>
      </c>
      <c r="J19" s="465" t="s">
        <v>544</v>
      </c>
      <c r="K19" s="465" t="s">
        <v>545</v>
      </c>
      <c r="L19" s="467">
        <v>62.820000000000022</v>
      </c>
      <c r="M19" s="467">
        <v>1</v>
      </c>
      <c r="N19" s="468">
        <v>62.820000000000022</v>
      </c>
    </row>
    <row r="20" spans="1:14" ht="14.4" customHeight="1" x14ac:dyDescent="0.3">
      <c r="A20" s="463" t="s">
        <v>470</v>
      </c>
      <c r="B20" s="464" t="s">
        <v>614</v>
      </c>
      <c r="C20" s="465" t="s">
        <v>480</v>
      </c>
      <c r="D20" s="466" t="s">
        <v>615</v>
      </c>
      <c r="E20" s="465" t="s">
        <v>486</v>
      </c>
      <c r="F20" s="466" t="s">
        <v>617</v>
      </c>
      <c r="G20" s="465" t="s">
        <v>487</v>
      </c>
      <c r="H20" s="465" t="s">
        <v>546</v>
      </c>
      <c r="I20" s="465" t="s">
        <v>547</v>
      </c>
      <c r="J20" s="465" t="s">
        <v>548</v>
      </c>
      <c r="K20" s="465" t="s">
        <v>549</v>
      </c>
      <c r="L20" s="467">
        <v>266.56819850724202</v>
      </c>
      <c r="M20" s="467">
        <v>1</v>
      </c>
      <c r="N20" s="468">
        <v>266.56819850724202</v>
      </c>
    </row>
    <row r="21" spans="1:14" ht="14.4" customHeight="1" x14ac:dyDescent="0.3">
      <c r="A21" s="463" t="s">
        <v>470</v>
      </c>
      <c r="B21" s="464" t="s">
        <v>614</v>
      </c>
      <c r="C21" s="465" t="s">
        <v>480</v>
      </c>
      <c r="D21" s="466" t="s">
        <v>615</v>
      </c>
      <c r="E21" s="465" t="s">
        <v>486</v>
      </c>
      <c r="F21" s="466" t="s">
        <v>617</v>
      </c>
      <c r="G21" s="465" t="s">
        <v>487</v>
      </c>
      <c r="H21" s="465" t="s">
        <v>550</v>
      </c>
      <c r="I21" s="465" t="s">
        <v>551</v>
      </c>
      <c r="J21" s="465" t="s">
        <v>548</v>
      </c>
      <c r="K21" s="465" t="s">
        <v>552</v>
      </c>
      <c r="L21" s="467">
        <v>50.600009068248099</v>
      </c>
      <c r="M21" s="467">
        <v>1</v>
      </c>
      <c r="N21" s="468">
        <v>50.600009068248099</v>
      </c>
    </row>
    <row r="22" spans="1:14" ht="14.4" customHeight="1" x14ac:dyDescent="0.3">
      <c r="A22" s="463" t="s">
        <v>470</v>
      </c>
      <c r="B22" s="464" t="s">
        <v>614</v>
      </c>
      <c r="C22" s="465" t="s">
        <v>480</v>
      </c>
      <c r="D22" s="466" t="s">
        <v>615</v>
      </c>
      <c r="E22" s="465" t="s">
        <v>486</v>
      </c>
      <c r="F22" s="466" t="s">
        <v>617</v>
      </c>
      <c r="G22" s="465" t="s">
        <v>487</v>
      </c>
      <c r="H22" s="465" t="s">
        <v>553</v>
      </c>
      <c r="I22" s="465" t="s">
        <v>554</v>
      </c>
      <c r="J22" s="465" t="s">
        <v>555</v>
      </c>
      <c r="K22" s="465" t="s">
        <v>556</v>
      </c>
      <c r="L22" s="467">
        <v>59.439999999999991</v>
      </c>
      <c r="M22" s="467">
        <v>2</v>
      </c>
      <c r="N22" s="468">
        <v>118.87999999999998</v>
      </c>
    </row>
    <row r="23" spans="1:14" ht="14.4" customHeight="1" x14ac:dyDescent="0.3">
      <c r="A23" s="463" t="s">
        <v>470</v>
      </c>
      <c r="B23" s="464" t="s">
        <v>614</v>
      </c>
      <c r="C23" s="465" t="s">
        <v>480</v>
      </c>
      <c r="D23" s="466" t="s">
        <v>615</v>
      </c>
      <c r="E23" s="465" t="s">
        <v>486</v>
      </c>
      <c r="F23" s="466" t="s">
        <v>617</v>
      </c>
      <c r="G23" s="465" t="s">
        <v>487</v>
      </c>
      <c r="H23" s="465" t="s">
        <v>557</v>
      </c>
      <c r="I23" s="465" t="s">
        <v>557</v>
      </c>
      <c r="J23" s="465" t="s">
        <v>558</v>
      </c>
      <c r="K23" s="465" t="s">
        <v>559</v>
      </c>
      <c r="L23" s="467">
        <v>1129.3007921729941</v>
      </c>
      <c r="M23" s="467">
        <v>13</v>
      </c>
      <c r="N23" s="468">
        <v>14680.910298248922</v>
      </c>
    </row>
    <row r="24" spans="1:14" ht="14.4" customHeight="1" x14ac:dyDescent="0.3">
      <c r="A24" s="463" t="s">
        <v>470</v>
      </c>
      <c r="B24" s="464" t="s">
        <v>614</v>
      </c>
      <c r="C24" s="465" t="s">
        <v>480</v>
      </c>
      <c r="D24" s="466" t="s">
        <v>615</v>
      </c>
      <c r="E24" s="465" t="s">
        <v>486</v>
      </c>
      <c r="F24" s="466" t="s">
        <v>617</v>
      </c>
      <c r="G24" s="465" t="s">
        <v>487</v>
      </c>
      <c r="H24" s="465" t="s">
        <v>560</v>
      </c>
      <c r="I24" s="465" t="s">
        <v>561</v>
      </c>
      <c r="J24" s="465" t="s">
        <v>562</v>
      </c>
      <c r="K24" s="465" t="s">
        <v>563</v>
      </c>
      <c r="L24" s="467">
        <v>1018.6621391857001</v>
      </c>
      <c r="M24" s="467">
        <v>3</v>
      </c>
      <c r="N24" s="468">
        <v>3055.9864175571001</v>
      </c>
    </row>
    <row r="25" spans="1:14" ht="14.4" customHeight="1" x14ac:dyDescent="0.3">
      <c r="A25" s="463" t="s">
        <v>470</v>
      </c>
      <c r="B25" s="464" t="s">
        <v>614</v>
      </c>
      <c r="C25" s="465" t="s">
        <v>480</v>
      </c>
      <c r="D25" s="466" t="s">
        <v>615</v>
      </c>
      <c r="E25" s="465" t="s">
        <v>486</v>
      </c>
      <c r="F25" s="466" t="s">
        <v>617</v>
      </c>
      <c r="G25" s="465" t="s">
        <v>487</v>
      </c>
      <c r="H25" s="465" t="s">
        <v>564</v>
      </c>
      <c r="I25" s="465" t="s">
        <v>565</v>
      </c>
      <c r="J25" s="465" t="s">
        <v>509</v>
      </c>
      <c r="K25" s="465" t="s">
        <v>566</v>
      </c>
      <c r="L25" s="467">
        <v>115.37275728837375</v>
      </c>
      <c r="M25" s="467">
        <v>3</v>
      </c>
      <c r="N25" s="468">
        <v>346.11827186512124</v>
      </c>
    </row>
    <row r="26" spans="1:14" ht="14.4" customHeight="1" x14ac:dyDescent="0.3">
      <c r="A26" s="463" t="s">
        <v>470</v>
      </c>
      <c r="B26" s="464" t="s">
        <v>614</v>
      </c>
      <c r="C26" s="465" t="s">
        <v>480</v>
      </c>
      <c r="D26" s="466" t="s">
        <v>615</v>
      </c>
      <c r="E26" s="465" t="s">
        <v>486</v>
      </c>
      <c r="F26" s="466" t="s">
        <v>617</v>
      </c>
      <c r="G26" s="465" t="s">
        <v>487</v>
      </c>
      <c r="H26" s="465" t="s">
        <v>567</v>
      </c>
      <c r="I26" s="465" t="s">
        <v>568</v>
      </c>
      <c r="J26" s="465" t="s">
        <v>569</v>
      </c>
      <c r="K26" s="465" t="s">
        <v>570</v>
      </c>
      <c r="L26" s="467">
        <v>109.03</v>
      </c>
      <c r="M26" s="467">
        <v>1</v>
      </c>
      <c r="N26" s="468">
        <v>109.03</v>
      </c>
    </row>
    <row r="27" spans="1:14" ht="14.4" customHeight="1" x14ac:dyDescent="0.3">
      <c r="A27" s="463" t="s">
        <v>470</v>
      </c>
      <c r="B27" s="464" t="s">
        <v>614</v>
      </c>
      <c r="C27" s="465" t="s">
        <v>480</v>
      </c>
      <c r="D27" s="466" t="s">
        <v>615</v>
      </c>
      <c r="E27" s="465" t="s">
        <v>486</v>
      </c>
      <c r="F27" s="466" t="s">
        <v>617</v>
      </c>
      <c r="G27" s="465" t="s">
        <v>487</v>
      </c>
      <c r="H27" s="465" t="s">
        <v>571</v>
      </c>
      <c r="I27" s="465" t="s">
        <v>572</v>
      </c>
      <c r="J27" s="465" t="s">
        <v>573</v>
      </c>
      <c r="K27" s="465" t="s">
        <v>574</v>
      </c>
      <c r="L27" s="467">
        <v>37.85</v>
      </c>
      <c r="M27" s="467">
        <v>1</v>
      </c>
      <c r="N27" s="468">
        <v>37.85</v>
      </c>
    </row>
    <row r="28" spans="1:14" ht="14.4" customHeight="1" x14ac:dyDescent="0.3">
      <c r="A28" s="463" t="s">
        <v>470</v>
      </c>
      <c r="B28" s="464" t="s">
        <v>614</v>
      </c>
      <c r="C28" s="465" t="s">
        <v>480</v>
      </c>
      <c r="D28" s="466" t="s">
        <v>615</v>
      </c>
      <c r="E28" s="465" t="s">
        <v>486</v>
      </c>
      <c r="F28" s="466" t="s">
        <v>617</v>
      </c>
      <c r="G28" s="465" t="s">
        <v>487</v>
      </c>
      <c r="H28" s="465" t="s">
        <v>575</v>
      </c>
      <c r="I28" s="465" t="s">
        <v>576</v>
      </c>
      <c r="J28" s="465" t="s">
        <v>577</v>
      </c>
      <c r="K28" s="465" t="s">
        <v>578</v>
      </c>
      <c r="L28" s="467">
        <v>33.5</v>
      </c>
      <c r="M28" s="467">
        <v>1</v>
      </c>
      <c r="N28" s="468">
        <v>33.5</v>
      </c>
    </row>
    <row r="29" spans="1:14" ht="14.4" customHeight="1" x14ac:dyDescent="0.3">
      <c r="A29" s="463" t="s">
        <v>470</v>
      </c>
      <c r="B29" s="464" t="s">
        <v>614</v>
      </c>
      <c r="C29" s="465" t="s">
        <v>480</v>
      </c>
      <c r="D29" s="466" t="s">
        <v>615</v>
      </c>
      <c r="E29" s="465" t="s">
        <v>486</v>
      </c>
      <c r="F29" s="466" t="s">
        <v>617</v>
      </c>
      <c r="G29" s="465" t="s">
        <v>487</v>
      </c>
      <c r="H29" s="465" t="s">
        <v>579</v>
      </c>
      <c r="I29" s="465" t="s">
        <v>191</v>
      </c>
      <c r="J29" s="465" t="s">
        <v>580</v>
      </c>
      <c r="K29" s="465" t="s">
        <v>581</v>
      </c>
      <c r="L29" s="467">
        <v>48.700704090370031</v>
      </c>
      <c r="M29" s="467">
        <v>60</v>
      </c>
      <c r="N29" s="468">
        <v>2922.0422454222021</v>
      </c>
    </row>
    <row r="30" spans="1:14" ht="14.4" customHeight="1" x14ac:dyDescent="0.3">
      <c r="A30" s="463" t="s">
        <v>470</v>
      </c>
      <c r="B30" s="464" t="s">
        <v>614</v>
      </c>
      <c r="C30" s="465" t="s">
        <v>480</v>
      </c>
      <c r="D30" s="466" t="s">
        <v>615</v>
      </c>
      <c r="E30" s="465" t="s">
        <v>486</v>
      </c>
      <c r="F30" s="466" t="s">
        <v>617</v>
      </c>
      <c r="G30" s="465" t="s">
        <v>487</v>
      </c>
      <c r="H30" s="465" t="s">
        <v>582</v>
      </c>
      <c r="I30" s="465" t="s">
        <v>582</v>
      </c>
      <c r="J30" s="465" t="s">
        <v>583</v>
      </c>
      <c r="K30" s="465" t="s">
        <v>584</v>
      </c>
      <c r="L30" s="467">
        <v>60.259869541280196</v>
      </c>
      <c r="M30" s="467">
        <v>1</v>
      </c>
      <c r="N30" s="468">
        <v>60.259869541280196</v>
      </c>
    </row>
    <row r="31" spans="1:14" ht="14.4" customHeight="1" x14ac:dyDescent="0.3">
      <c r="A31" s="463" t="s">
        <v>470</v>
      </c>
      <c r="B31" s="464" t="s">
        <v>614</v>
      </c>
      <c r="C31" s="465" t="s">
        <v>480</v>
      </c>
      <c r="D31" s="466" t="s">
        <v>615</v>
      </c>
      <c r="E31" s="465" t="s">
        <v>486</v>
      </c>
      <c r="F31" s="466" t="s">
        <v>617</v>
      </c>
      <c r="G31" s="465" t="s">
        <v>487</v>
      </c>
      <c r="H31" s="465" t="s">
        <v>585</v>
      </c>
      <c r="I31" s="465" t="s">
        <v>585</v>
      </c>
      <c r="J31" s="465" t="s">
        <v>586</v>
      </c>
      <c r="K31" s="465" t="s">
        <v>587</v>
      </c>
      <c r="L31" s="467">
        <v>46.000000000000007</v>
      </c>
      <c r="M31" s="467">
        <v>1</v>
      </c>
      <c r="N31" s="468">
        <v>46.000000000000007</v>
      </c>
    </row>
    <row r="32" spans="1:14" ht="14.4" customHeight="1" x14ac:dyDescent="0.3">
      <c r="A32" s="463" t="s">
        <v>470</v>
      </c>
      <c r="B32" s="464" t="s">
        <v>614</v>
      </c>
      <c r="C32" s="465" t="s">
        <v>480</v>
      </c>
      <c r="D32" s="466" t="s">
        <v>615</v>
      </c>
      <c r="E32" s="465" t="s">
        <v>486</v>
      </c>
      <c r="F32" s="466" t="s">
        <v>617</v>
      </c>
      <c r="G32" s="465" t="s">
        <v>487</v>
      </c>
      <c r="H32" s="465" t="s">
        <v>588</v>
      </c>
      <c r="I32" s="465" t="s">
        <v>589</v>
      </c>
      <c r="J32" s="465" t="s">
        <v>590</v>
      </c>
      <c r="K32" s="465" t="s">
        <v>591</v>
      </c>
      <c r="L32" s="467">
        <v>87.139999999999986</v>
      </c>
      <c r="M32" s="467">
        <v>2</v>
      </c>
      <c r="N32" s="468">
        <v>174.27999999999997</v>
      </c>
    </row>
    <row r="33" spans="1:14" ht="14.4" customHeight="1" x14ac:dyDescent="0.3">
      <c r="A33" s="463" t="s">
        <v>470</v>
      </c>
      <c r="B33" s="464" t="s">
        <v>614</v>
      </c>
      <c r="C33" s="465" t="s">
        <v>480</v>
      </c>
      <c r="D33" s="466" t="s">
        <v>615</v>
      </c>
      <c r="E33" s="465" t="s">
        <v>486</v>
      </c>
      <c r="F33" s="466" t="s">
        <v>617</v>
      </c>
      <c r="G33" s="465" t="s">
        <v>592</v>
      </c>
      <c r="H33" s="465" t="s">
        <v>593</v>
      </c>
      <c r="I33" s="465" t="s">
        <v>594</v>
      </c>
      <c r="J33" s="465" t="s">
        <v>595</v>
      </c>
      <c r="K33" s="465" t="s">
        <v>596</v>
      </c>
      <c r="L33" s="467">
        <v>52.909999999999989</v>
      </c>
      <c r="M33" s="467">
        <v>1</v>
      </c>
      <c r="N33" s="468">
        <v>52.909999999999989</v>
      </c>
    </row>
    <row r="34" spans="1:14" ht="14.4" customHeight="1" x14ac:dyDescent="0.3">
      <c r="A34" s="463" t="s">
        <v>470</v>
      </c>
      <c r="B34" s="464" t="s">
        <v>614</v>
      </c>
      <c r="C34" s="465" t="s">
        <v>483</v>
      </c>
      <c r="D34" s="466" t="s">
        <v>616</v>
      </c>
      <c r="E34" s="465" t="s">
        <v>486</v>
      </c>
      <c r="F34" s="466" t="s">
        <v>617</v>
      </c>
      <c r="G34" s="465" t="s">
        <v>487</v>
      </c>
      <c r="H34" s="465" t="s">
        <v>597</v>
      </c>
      <c r="I34" s="465" t="s">
        <v>597</v>
      </c>
      <c r="J34" s="465" t="s">
        <v>598</v>
      </c>
      <c r="K34" s="465" t="s">
        <v>599</v>
      </c>
      <c r="L34" s="467">
        <v>179.39833040720998</v>
      </c>
      <c r="M34" s="467">
        <v>5.5</v>
      </c>
      <c r="N34" s="468">
        <v>986.69081723965496</v>
      </c>
    </row>
    <row r="35" spans="1:14" ht="14.4" customHeight="1" x14ac:dyDescent="0.3">
      <c r="A35" s="463" t="s">
        <v>470</v>
      </c>
      <c r="B35" s="464" t="s">
        <v>614</v>
      </c>
      <c r="C35" s="465" t="s">
        <v>483</v>
      </c>
      <c r="D35" s="466" t="s">
        <v>616</v>
      </c>
      <c r="E35" s="465" t="s">
        <v>486</v>
      </c>
      <c r="F35" s="466" t="s">
        <v>617</v>
      </c>
      <c r="G35" s="465" t="s">
        <v>487</v>
      </c>
      <c r="H35" s="465" t="s">
        <v>600</v>
      </c>
      <c r="I35" s="465" t="s">
        <v>191</v>
      </c>
      <c r="J35" s="465" t="s">
        <v>601</v>
      </c>
      <c r="K35" s="465"/>
      <c r="L35" s="467">
        <v>97.320300496762258</v>
      </c>
      <c r="M35" s="467">
        <v>8</v>
      </c>
      <c r="N35" s="468">
        <v>778.56240397409806</v>
      </c>
    </row>
    <row r="36" spans="1:14" ht="14.4" customHeight="1" x14ac:dyDescent="0.3">
      <c r="A36" s="463" t="s">
        <v>470</v>
      </c>
      <c r="B36" s="464" t="s">
        <v>614</v>
      </c>
      <c r="C36" s="465" t="s">
        <v>483</v>
      </c>
      <c r="D36" s="466" t="s">
        <v>616</v>
      </c>
      <c r="E36" s="465" t="s">
        <v>486</v>
      </c>
      <c r="F36" s="466" t="s">
        <v>617</v>
      </c>
      <c r="G36" s="465" t="s">
        <v>487</v>
      </c>
      <c r="H36" s="465" t="s">
        <v>602</v>
      </c>
      <c r="I36" s="465" t="s">
        <v>191</v>
      </c>
      <c r="J36" s="465" t="s">
        <v>603</v>
      </c>
      <c r="K36" s="465" t="s">
        <v>604</v>
      </c>
      <c r="L36" s="467">
        <v>75.019899663726235</v>
      </c>
      <c r="M36" s="467">
        <v>5</v>
      </c>
      <c r="N36" s="468">
        <v>375.09949831863116</v>
      </c>
    </row>
    <row r="37" spans="1:14" ht="14.4" customHeight="1" x14ac:dyDescent="0.3">
      <c r="A37" s="463" t="s">
        <v>470</v>
      </c>
      <c r="B37" s="464" t="s">
        <v>614</v>
      </c>
      <c r="C37" s="465" t="s">
        <v>483</v>
      </c>
      <c r="D37" s="466" t="s">
        <v>616</v>
      </c>
      <c r="E37" s="465" t="s">
        <v>486</v>
      </c>
      <c r="F37" s="466" t="s">
        <v>617</v>
      </c>
      <c r="G37" s="465" t="s">
        <v>487</v>
      </c>
      <c r="H37" s="465" t="s">
        <v>557</v>
      </c>
      <c r="I37" s="465" t="s">
        <v>557</v>
      </c>
      <c r="J37" s="465" t="s">
        <v>558</v>
      </c>
      <c r="K37" s="465" t="s">
        <v>559</v>
      </c>
      <c r="L37" s="467">
        <v>1129.3037281756215</v>
      </c>
      <c r="M37" s="467">
        <v>3</v>
      </c>
      <c r="N37" s="468">
        <v>3387.9111845268644</v>
      </c>
    </row>
    <row r="38" spans="1:14" ht="14.4" customHeight="1" x14ac:dyDescent="0.3">
      <c r="A38" s="463" t="s">
        <v>470</v>
      </c>
      <c r="B38" s="464" t="s">
        <v>614</v>
      </c>
      <c r="C38" s="465" t="s">
        <v>483</v>
      </c>
      <c r="D38" s="466" t="s">
        <v>616</v>
      </c>
      <c r="E38" s="465" t="s">
        <v>486</v>
      </c>
      <c r="F38" s="466" t="s">
        <v>617</v>
      </c>
      <c r="G38" s="465" t="s">
        <v>487</v>
      </c>
      <c r="H38" s="465" t="s">
        <v>605</v>
      </c>
      <c r="I38" s="465" t="s">
        <v>191</v>
      </c>
      <c r="J38" s="465" t="s">
        <v>606</v>
      </c>
      <c r="K38" s="465"/>
      <c r="L38" s="467">
        <v>190.32546144462256</v>
      </c>
      <c r="M38" s="467">
        <v>19</v>
      </c>
      <c r="N38" s="468">
        <v>3616.1837674478288</v>
      </c>
    </row>
    <row r="39" spans="1:14" ht="14.4" customHeight="1" x14ac:dyDescent="0.3">
      <c r="A39" s="463" t="s">
        <v>470</v>
      </c>
      <c r="B39" s="464" t="s">
        <v>614</v>
      </c>
      <c r="C39" s="465" t="s">
        <v>483</v>
      </c>
      <c r="D39" s="466" t="s">
        <v>616</v>
      </c>
      <c r="E39" s="465" t="s">
        <v>486</v>
      </c>
      <c r="F39" s="466" t="s">
        <v>617</v>
      </c>
      <c r="G39" s="465" t="s">
        <v>487</v>
      </c>
      <c r="H39" s="465" t="s">
        <v>607</v>
      </c>
      <c r="I39" s="465" t="s">
        <v>608</v>
      </c>
      <c r="J39" s="465" t="s">
        <v>609</v>
      </c>
      <c r="K39" s="465" t="s">
        <v>610</v>
      </c>
      <c r="L39" s="467">
        <v>197.05161866239914</v>
      </c>
      <c r="M39" s="467">
        <v>3</v>
      </c>
      <c r="N39" s="468">
        <v>591.15485598719738</v>
      </c>
    </row>
    <row r="40" spans="1:14" ht="14.4" customHeight="1" thickBot="1" x14ac:dyDescent="0.35">
      <c r="A40" s="469" t="s">
        <v>470</v>
      </c>
      <c r="B40" s="470" t="s">
        <v>614</v>
      </c>
      <c r="C40" s="471" t="s">
        <v>483</v>
      </c>
      <c r="D40" s="472" t="s">
        <v>616</v>
      </c>
      <c r="E40" s="471" t="s">
        <v>486</v>
      </c>
      <c r="F40" s="472" t="s">
        <v>617</v>
      </c>
      <c r="G40" s="471" t="s">
        <v>487</v>
      </c>
      <c r="H40" s="471" t="s">
        <v>611</v>
      </c>
      <c r="I40" s="471" t="s">
        <v>191</v>
      </c>
      <c r="J40" s="471" t="s">
        <v>612</v>
      </c>
      <c r="K40" s="471" t="s">
        <v>613</v>
      </c>
      <c r="L40" s="473">
        <v>137.93990828849738</v>
      </c>
      <c r="M40" s="473">
        <v>1</v>
      </c>
      <c r="N40" s="474">
        <v>137.93990828849738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16384" width="8.88671875" style="130"/>
  </cols>
  <sheetData>
    <row r="1" spans="1:6" ht="37.200000000000003" customHeight="1" thickBot="1" x14ac:dyDescent="0.4">
      <c r="A1" s="362" t="s">
        <v>167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475" t="s">
        <v>145</v>
      </c>
      <c r="B4" s="476" t="s">
        <v>14</v>
      </c>
      <c r="C4" s="477" t="s">
        <v>2</v>
      </c>
      <c r="D4" s="476" t="s">
        <v>14</v>
      </c>
      <c r="E4" s="477" t="s">
        <v>2</v>
      </c>
      <c r="F4" s="478" t="s">
        <v>14</v>
      </c>
    </row>
    <row r="5" spans="1:6" ht="14.4" customHeight="1" thickBot="1" x14ac:dyDescent="0.35">
      <c r="A5" s="489" t="s">
        <v>618</v>
      </c>
      <c r="B5" s="455"/>
      <c r="C5" s="479">
        <v>0</v>
      </c>
      <c r="D5" s="455">
        <v>52.909999999999989</v>
      </c>
      <c r="E5" s="479">
        <v>1</v>
      </c>
      <c r="F5" s="456">
        <v>52.909999999999989</v>
      </c>
    </row>
    <row r="6" spans="1:6" ht="14.4" customHeight="1" thickBot="1" x14ac:dyDescent="0.35">
      <c r="A6" s="485" t="s">
        <v>3</v>
      </c>
      <c r="B6" s="486"/>
      <c r="C6" s="487">
        <v>0</v>
      </c>
      <c r="D6" s="486">
        <v>52.909999999999989</v>
      </c>
      <c r="E6" s="487">
        <v>1</v>
      </c>
      <c r="F6" s="488">
        <v>52.909999999999989</v>
      </c>
    </row>
    <row r="7" spans="1:6" ht="14.4" customHeight="1" thickBot="1" x14ac:dyDescent="0.35"/>
    <row r="8" spans="1:6" ht="14.4" customHeight="1" thickBot="1" x14ac:dyDescent="0.35">
      <c r="A8" s="489" t="s">
        <v>619</v>
      </c>
      <c r="B8" s="455"/>
      <c r="C8" s="479">
        <v>0</v>
      </c>
      <c r="D8" s="455">
        <v>52.909999999999989</v>
      </c>
      <c r="E8" s="479">
        <v>1</v>
      </c>
      <c r="F8" s="456">
        <v>52.909999999999989</v>
      </c>
    </row>
    <row r="9" spans="1:6" ht="14.4" customHeight="1" thickBot="1" x14ac:dyDescent="0.35">
      <c r="A9" s="485" t="s">
        <v>3</v>
      </c>
      <c r="B9" s="486"/>
      <c r="C9" s="487">
        <v>0</v>
      </c>
      <c r="D9" s="486">
        <v>52.909999999999989</v>
      </c>
      <c r="E9" s="487">
        <v>1</v>
      </c>
      <c r="F9" s="488">
        <v>52.909999999999989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2014-09-18T09:58:05Z</dcterms:modified>
</cp:coreProperties>
</file>