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Detail'!$A$5:$Q$5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doměsíce">'HI Graf'!$C$11</definedName>
  </definedNames>
  <calcPr calcId="162913"/>
</workbook>
</file>

<file path=xl/calcChain.xml><?xml version="1.0" encoding="utf-8"?>
<calcChain xmlns="http://schemas.openxmlformats.org/spreadsheetml/2006/main">
  <c r="A11" i="414" l="1"/>
  <c r="A10" i="414"/>
  <c r="A8" i="414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H18" i="419" l="1"/>
  <c r="L18" i="419"/>
  <c r="P18" i="419"/>
  <c r="T18" i="419"/>
  <c r="X18" i="419"/>
  <c r="AB18" i="419"/>
  <c r="AF18" i="419"/>
  <c r="J23" i="419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9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9" i="414" s="1"/>
  <c r="C11" i="339"/>
  <c r="H11" i="339" l="1"/>
  <c r="G11" i="339"/>
  <c r="A20" i="414"/>
  <c r="A19" i="414"/>
  <c r="A14" i="414"/>
  <c r="A15" i="414"/>
  <c r="A4" i="414"/>
  <c r="A6" i="339" l="1"/>
  <c r="A5" i="339"/>
  <c r="D4" i="414"/>
  <c r="C18" i="414"/>
  <c r="C15" i="414"/>
  <c r="D18" i="414"/>
  <c r="D15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K3" i="377"/>
  <c r="J3" i="377"/>
  <c r="G3" i="377"/>
  <c r="P3" i="377" s="1"/>
  <c r="F3" i="377"/>
  <c r="O3" i="345"/>
  <c r="N3" i="345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1" i="414"/>
  <c r="D21" i="414"/>
  <c r="Q3" i="377" l="1"/>
  <c r="Q3" i="345"/>
  <c r="Q3" i="347"/>
  <c r="S3" i="347"/>
  <c r="U3" i="347"/>
  <c r="F13" i="339"/>
  <c r="E13" i="339"/>
  <c r="E15" i="339" s="1"/>
  <c r="H12" i="339"/>
  <c r="G12" i="339"/>
  <c r="K3" i="390"/>
  <c r="A4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7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<sst xmlns="http://schemas.openxmlformats.org/spreadsheetml/2006/main" count="3846" uniqueCount="1197">
  <si>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</si>
  <si>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</si>
  <si>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</si>
  <si>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</si>
  <si>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</si>
  <si>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</si>
  <si>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</si>
  <si>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</si>
  <si>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</si>
  <si>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</si>
  <si>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</si>
  <si>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</si>
  <si>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</si>
  <si>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</si>
  <si>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</si>
  <si>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</si>
  <si>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</si>
  <si>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</si>
  <si>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</si>
  <si>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</si>
  <si>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</si>
  <si>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</si>
  <si>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</si>
  <si>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</si>
  <si>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</si>
  <si>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</si>
  <si>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</si>
  <si>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</si>
  <si>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</si>
  <si>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</si>
  <si>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</si>
  <si>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</si>
  <si>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</si>
  <si>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</si>
  <si>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</si>
  <si>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</si>
  <si>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</si>
  <si>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</si>
  <si>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</si>
  <si>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</si>
  <si>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</si>
  <si>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</si>
  <si>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</si>
  <si>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</si>
  <si>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</si>
  <si>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</si>
  <si>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</si>
  <si>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</si>
  <si>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</si>
  <si>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</si>
  <si>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</si>
  <si>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</si>
  <si>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</si>
  <si>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</si>
  <si>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</si>
  <si>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</si>
  <si>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</si>
  <si>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</si>
  <si>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</si>
  <si>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</si>
  <si>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</si>
  <si>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</si>
  <si>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</si>
  <si>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</si>
  <si>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</si>
  <si>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</si>
  <si>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</si>
  <si>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</si>
  <si>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</si>
  <si>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</si>
  <si>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</si>
  <si>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</si>
  <si>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</si>
  <si>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</si>
  <si>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</si>
  <si>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</si>
  <si>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</si>
  <si>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</si>
  <si>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</si>
  <si>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</si>
  <si>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</si>
  <si>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</si>
  <si>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</si>
  <si>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</si>
  <si>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</si>
  <si>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</si>
  <si>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</si>
  <si>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</si>
  <si>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</si>
  <si>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</si>
  <si>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</si>
  <si>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</si>
  <si>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</si>
  <si>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</si>
  <si>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</si>
  <si>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</si>
  <si>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</si>
  <si>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</si>
  <si>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</si>
  <si>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</si>
  <si>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</si>
  <si>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</si>
  <si>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</si>
  <si>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</si>
  <si>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</si>
  <si>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</si>
  <si>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</si>
  <si>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</si>
  <si>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</si>
  <si>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</si>
  <si>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</si>
  <si>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</si>
  <si>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</si>
  <si>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</si>
  <si>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</si>
  <si>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</si>
  <si>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</si>
  <si>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</si>
  <si>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</si>
  <si>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</si>
  <si>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</si>
  <si>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</si>
  <si>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</si>
  <si>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</si>
  <si>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</si>
  <si>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</si>
  <si>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</si>
  <si>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</si>
  <si>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</si>
  <si>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</si>
  <si>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</si>
  <si>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</si>
  <si>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</si>
  <si>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</si>
  <si>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</si>
  <si>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</si>
  <si>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</si>
  <si>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</si>
  <si>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</si>
  <si>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</si>
  <si>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</si>
  <si>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</si>
  <si>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</si>
  <si>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</si>
  <si>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</si>
  <si>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</si>
  <si>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</si>
  <si>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</si>
  <si>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</si>
  <si>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</si>
  <si>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</si>
  <si>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</si>
  <si>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</si>
  <si>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</si>
  <si>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</si>
  <si>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</si>
  <si>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</si>
  <si>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</si>
  <si>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</si>
  <si>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</si>
  <si>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</si>
  <si>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</si>
  <si>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</si>
  <si>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</si>
  <si>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</si>
  <si>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</si>
  <si>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</si>
  <si>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</si>
  <si>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</si>
  <si>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</si>
  <si>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</si>
  <si>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</si>
  <si>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</si>
  <si>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</si>
  <si>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</si>
  <si>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</si>
  <si>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</si>
  <si>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</si>
  <si>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</si>
  <si>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</si>
  <si>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</si>
  <si>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</si>
  <si>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</si>
  <si>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</si>
  <si>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</si>
  <si>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</si>
  <si>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</si>
  <si>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</si>
  <si>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</si>
  <si>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</si>
  <si>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</si>
  <si>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</si>
  <si>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</si>
  <si>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</si>
  <si>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</si>
  <si>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</si>
  <si>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</si>
  <si>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</si>
  <si>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</si>
  <si>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</si>
  <si>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</si>
  <si>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</si>
  <si>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</si>
  <si>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</si>
  <si>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</si>
  <si>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</si>
  <si>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</si>
  <si>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</si>
  <si>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</si>
  <si>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</si>
  <si>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</si>
  <si>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</si>
  <si>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</si>
  <si>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</si>
  <si>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</si>
  <si>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</si>
  <si>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</si>
  <si>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</si>
  <si>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</si>
  <si>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</si>
  <si>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</si>
  <si>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</si>
  <si>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</si>
  <si>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</si>
  <si>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</si>
  <si>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</si>
  <si>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</si>
  <si>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</si>
  <si>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</si>
  <si>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</si>
  <si>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</si>
  <si>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</si>
  <si>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</si>
  <si>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</si>
  <si>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</si>
  <si>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</si>
  <si>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</si>
  <si>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</si>
  <si>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</si>
  <si>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</si>
  <si>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</si>
  <si>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</si>
  <si>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</si>
  <si>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</si>
  <si>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</si>
  <si>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</si>
  <si>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</si>
  <si>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</si>
  <si>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</si>
  <si>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</si>
  <si>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</si>
  <si>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</si>
  <si>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</si>
  <si>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</si>
  <si>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</si>
  <si>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</si>
  <si>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</si>
  <si>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</si>
  <si>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</si>
  <si>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</si>
  <si>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</si>
  <si>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</si>
  <si>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</si>
  <si>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</si>
  <si>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</si>
  <si>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</si>
  <si>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</si>
  <si>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</si>
  <si>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</si>
  <si>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</si>
  <si>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</si>
  <si>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</si>
  <si>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</si>
  <si>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</si>
  <si>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</si>
  <si>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</si>
  <si>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</si>
  <si>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</si>
  <si>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</si>
  <si>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</si>
  <si>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</si>
  <si>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</si>
  <si>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</si>
  <si>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</si>
  <si>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</si>
  <si>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</si>
  <si>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</si>
  <si>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</si>
  <si>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</si>
  <si>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</si>
  <si>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</si>
  <si>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</si>
  <si>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</si>
  <si>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</si>
  <si>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</si>
  <si>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--</t>
  </si>
  <si>
    <t>50115065     ostatní ZPr - vpichovací materiál (sk.Z_530)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</si>
  <si>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</si>
  <si>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</si>
  <si>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</si>
  <si>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</si>
  <si>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</si>
  <si>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</si>
  <si>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</si>
  <si>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</si>
  <si>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</si>
  <si>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</si>
  <si>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</si>
  <si>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</si>
  <si>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</si>
  <si>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</si>
  <si>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</si>
  <si>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</si>
  <si>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</si>
  <si>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</si>
  <si>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</si>
  <si>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</si>
  <si>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</si>
  <si>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</si>
  <si>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</si>
  <si>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</si>
  <si>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</si>
  <si>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</si>
  <si>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</si>
  <si>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</si>
  <si>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</si>
  <si>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</si>
  <si>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</si>
  <si>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</si>
  <si>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</si>
  <si>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</si>
  <si>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</si>
  <si>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</si>
  <si>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</si>
  <si>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</si>
  <si>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</si>
  <si>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</si>
  <si>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</si>
  <si>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</si>
  <si>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</si>
  <si>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</si>
  <si>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</si>
  <si>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</si>
  <si>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</si>
  <si>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</si>
  <si>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</si>
  <si>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</si>
  <si>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</si>
  <si>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</si>
  <si>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</si>
  <si>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</si>
  <si>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</si>
  <si>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</si>
  <si>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</si>
  <si>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</si>
  <si>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</si>
  <si>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</si>
  <si>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</si>
  <si>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</si>
  <si>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</si>
  <si>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</si>
  <si>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</si>
  <si>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</si>
  <si>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</si>
  <si>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</si>
  <si>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</si>
  <si>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</si>
  <si>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</si>
  <si>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</si>
  <si>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</si>
  <si>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</si>
  <si>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</si>
  <si>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</si>
  <si>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</si>
  <si>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</si>
  <si>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</si>
  <si>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</si>
  <si>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</si>
  <si>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</si>
  <si>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</si>
  <si>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</si>
  <si>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</si>
  <si>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</si>
  <si>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</si>
  <si>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</si>
  <si>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</si>
  <si>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</si>
  <si>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</si>
  <si>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</si>
  <si>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</si>
  <si>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</si>
  <si>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</si>
  <si>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</si>
  <si>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</si>
  <si>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</si>
  <si>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</si>
  <si>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</si>
  <si>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</si>
  <si>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</si>
  <si>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</si>
  <si>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</si>
  <si>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</si>
  <si>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</si>
  <si>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</si>
  <si>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</si>
  <si>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55804002     DDHM - telefony (sk.P_49)</t>
  </si>
  <si>
    <t>55804080     DDHM - výpočetní technika (vecné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</si>
  <si>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</si>
  <si>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</si>
  <si>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</si>
  <si>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</si>
  <si>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</si>
  <si>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</si>
  <si>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</si>
  <si>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</si>
  <si>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</si>
  <si>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</si>
  <si>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</si>
  <si>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</si>
  <si>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</si>
  <si>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</si>
  <si>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</si>
  <si>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</si>
  <si>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</si>
  <si>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</si>
  <si>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</si>
  <si>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</si>
  <si>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</si>
  <si>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</si>
  <si>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</si>
  <si>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</si>
  <si>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</si>
  <si>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</si>
  <si>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</si>
  <si>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</si>
  <si>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</si>
  <si>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</si>
  <si>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</si>
  <si>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</si>
  <si>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</si>
  <si>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</si>
  <si>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64924460     foto při UZ a ost. služby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</si>
  <si>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</si>
  <si>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</si>
  <si>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</si>
  <si>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</si>
  <si>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</si>
  <si>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</si>
  <si>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</si>
  <si>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</si>
  <si>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</si>
  <si>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</si>
  <si>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</si>
  <si>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</si>
  <si>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</si>
  <si>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</si>
  <si>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</si>
  <si>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</si>
  <si>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</si>
  <si>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</si>
  <si>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</si>
  <si>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</si>
  <si>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</si>
  <si>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28</t>
  </si>
  <si>
    <t>Ústav lékařské genetiky</t>
  </si>
  <si>
    <t/>
  </si>
  <si>
    <t>Ústav lékařské genetiky Celkem</t>
  </si>
  <si>
    <t>SumaKL</t>
  </si>
  <si>
    <t>2821</t>
  </si>
  <si>
    <t>ambulance</t>
  </si>
  <si>
    <t>ambulance Celkem</t>
  </si>
  <si>
    <t>SumaNS</t>
  </si>
  <si>
    <t>mezeraNS</t>
  </si>
  <si>
    <t>2841</t>
  </si>
  <si>
    <t>laboratoř</t>
  </si>
  <si>
    <t>laboratoř Celkem</t>
  </si>
  <si>
    <t>50113001</t>
  </si>
  <si>
    <t>O</t>
  </si>
  <si>
    <t>846629</t>
  </si>
  <si>
    <t>100013</t>
  </si>
  <si>
    <t>IBALGIN 400 TBL 24</t>
  </si>
  <si>
    <t xml:space="preserve">POR TBL FLM 24X400MG </t>
  </si>
  <si>
    <t>198876</t>
  </si>
  <si>
    <t>98876</t>
  </si>
  <si>
    <t>FYZIOLOGICKÝ ROZTOK VIAFLO</t>
  </si>
  <si>
    <t>INF SOL 20X500ML</t>
  </si>
  <si>
    <t>51366</t>
  </si>
  <si>
    <t>CHLORID SODNÝ 0,9% BRAUN</t>
  </si>
  <si>
    <t>INF SOL 20X100MLPELAH</t>
  </si>
  <si>
    <t>395997</t>
  </si>
  <si>
    <t>DZ SOFTASEPT N BEZBARVÝ 250 ml</t>
  </si>
  <si>
    <t>930589</t>
  </si>
  <si>
    <t>KL ETHANOLUM BENZ.DENAT. 900 ml / 720g/</t>
  </si>
  <si>
    <t>UN 1170</t>
  </si>
  <si>
    <t>921227</t>
  </si>
  <si>
    <t>KL SOL.HYD.PEROX.20% 500g</t>
  </si>
  <si>
    <t>930443</t>
  </si>
  <si>
    <t>KL PERSTERIL 4% 1 kg HVLP</t>
  </si>
  <si>
    <t>UN 3149</t>
  </si>
  <si>
    <t>Ústav lékařské genetiky a fet.med.</t>
  </si>
  <si>
    <t>GEN, ambulance</t>
  </si>
  <si>
    <t>GEN, laboratoř</t>
  </si>
  <si>
    <t>Lékárna - léčiva</t>
  </si>
  <si>
    <t>28 - Ústav lékařské genetiky</t>
  </si>
  <si>
    <t>2821 - ambulance</t>
  </si>
  <si>
    <t>2841 - laboratoř</t>
  </si>
  <si>
    <t>HVLP</t>
  </si>
  <si>
    <t>89301282</t>
  </si>
  <si>
    <t>Ambulance odd.lékařské genetiky Celkem</t>
  </si>
  <si>
    <t>Ústav lékařské genetiky a fet.med. Celkem</t>
  </si>
  <si>
    <t xml:space="preserve"> </t>
  </si>
  <si>
    <t>* Legenda</t>
  </si>
  <si>
    <t>DIAPZT = Pomůcky pro diabetiky, jejichž název začíná slovem "Pumpa"</t>
  </si>
  <si>
    <t>Mracká Enkhjargal</t>
  </si>
  <si>
    <t>Procházka Martin</t>
  </si>
  <si>
    <t>Tvrdá Lucia</t>
  </si>
  <si>
    <t>Štellmachová Júlia</t>
  </si>
  <si>
    <t>Curtisová Václava</t>
  </si>
  <si>
    <t>Punová Lucia</t>
  </si>
  <si>
    <t>Veberová Tereza</t>
  </si>
  <si>
    <t>Cefprozil</t>
  </si>
  <si>
    <t>53134</t>
  </si>
  <si>
    <t>CEFZIL 500 MG</t>
  </si>
  <si>
    <t>POR TBL FLM 20X500MG</t>
  </si>
  <si>
    <t>Furosemid</t>
  </si>
  <si>
    <t>98219</t>
  </si>
  <si>
    <t>FURON 40 MG</t>
  </si>
  <si>
    <t>POR TBL NOB 50X40MG</t>
  </si>
  <si>
    <t>Hořčík (různé sole v kombinaci)</t>
  </si>
  <si>
    <t>66555</t>
  </si>
  <si>
    <t>MAGNOSOLV</t>
  </si>
  <si>
    <t>POR GRA SOL SCC 30X365MG</t>
  </si>
  <si>
    <t>Jiná antibiotika pro lokální aplikaci</t>
  </si>
  <si>
    <t>48261</t>
  </si>
  <si>
    <t>FRAMYKOIN</t>
  </si>
  <si>
    <t>DRM PLV ADS 1X20GM</t>
  </si>
  <si>
    <t>Karbamazepin</t>
  </si>
  <si>
    <t>71954</t>
  </si>
  <si>
    <t>TIMONIL 150 RETARD</t>
  </si>
  <si>
    <t>POR TBL PRO 50X150MG</t>
  </si>
  <si>
    <t>Ketoprofen</t>
  </si>
  <si>
    <t>76655</t>
  </si>
  <si>
    <t>KETONAL</t>
  </si>
  <si>
    <t>POR CPS DUR 25X50MG</t>
  </si>
  <si>
    <t>Klarithromycin</t>
  </si>
  <si>
    <t>75490</t>
  </si>
  <si>
    <t>KLACID 250</t>
  </si>
  <si>
    <t>POR TBL FLM 14X250MG</t>
  </si>
  <si>
    <t>Kombinace různých antibiotik</t>
  </si>
  <si>
    <t>1076</t>
  </si>
  <si>
    <t>OPHTHALMO-FRAMYKOIN</t>
  </si>
  <si>
    <t>OPH UNG 1X5GM</t>
  </si>
  <si>
    <t>Nifuroxazid</t>
  </si>
  <si>
    <t>155871</t>
  </si>
  <si>
    <t>ERCEFURYL 200 MG CPS.</t>
  </si>
  <si>
    <t>POR CPS DUR 14X200MG</t>
  </si>
  <si>
    <t>Norethisteron</t>
  </si>
  <si>
    <t>125226</t>
  </si>
  <si>
    <t>NORETHISTERON ZENTIVA</t>
  </si>
  <si>
    <t>POR TBL NOB 30X5MG</t>
  </si>
  <si>
    <t>Perindopril</t>
  </si>
  <si>
    <t>101205</t>
  </si>
  <si>
    <t>PRESTARIUM NEO</t>
  </si>
  <si>
    <t>POR TBL FLM 30X5MG</t>
  </si>
  <si>
    <t>Sulfamethoxazol a trimethoprim</t>
  </si>
  <si>
    <t>203954</t>
  </si>
  <si>
    <t>BISEPTOL 480</t>
  </si>
  <si>
    <t>POR TBL NOB 28X480MG</t>
  </si>
  <si>
    <t>Tetryzolin, kombinace</t>
  </si>
  <si>
    <t>187418</t>
  </si>
  <si>
    <t>SPERSALLERG</t>
  </si>
  <si>
    <t>OPH GTT SOL 1X10ML</t>
  </si>
  <si>
    <t>Valsartan</t>
  </si>
  <si>
    <t>182114</t>
  </si>
  <si>
    <t>VALSARTAN KRKA 160 MG</t>
  </si>
  <si>
    <t>POR TBL FLM 180X160MG</t>
  </si>
  <si>
    <t>Zolpidem</t>
  </si>
  <si>
    <t>132603</t>
  </si>
  <si>
    <t>STILNOX</t>
  </si>
  <si>
    <t>POR TBL FLM 20X10MG</t>
  </si>
  <si>
    <t>Lynestrenol</t>
  </si>
  <si>
    <t>41322</t>
  </si>
  <si>
    <t>ORGAMETRIL</t>
  </si>
  <si>
    <t>Ulipristal</t>
  </si>
  <si>
    <t>193619</t>
  </si>
  <si>
    <t>ESMYA 5 MG</t>
  </si>
  <si>
    <t>POR TBL NOB 84X5MG I</t>
  </si>
  <si>
    <t>Amoxicilin a enzymový inhibitor</t>
  </si>
  <si>
    <t>5951</t>
  </si>
  <si>
    <t>AMOKSIKLAV 1 G</t>
  </si>
  <si>
    <t>POR TBL FLM 14</t>
  </si>
  <si>
    <t>Diklofenak</t>
  </si>
  <si>
    <t>89025</t>
  </si>
  <si>
    <t>DICLOFENAC AL 50</t>
  </si>
  <si>
    <t>POR TBL FLM 50X50MG</t>
  </si>
  <si>
    <t>55759</t>
  </si>
  <si>
    <t>PAMYCON NA PŘÍPRAVU KAPEK</t>
  </si>
  <si>
    <t>DRM PLV SOL 1</t>
  </si>
  <si>
    <t>Mometason</t>
  </si>
  <si>
    <t>16457</t>
  </si>
  <si>
    <t>NASONEX</t>
  </si>
  <si>
    <t>NAS SPR SUS 140X50RG</t>
  </si>
  <si>
    <t>Ambroxol</t>
  </si>
  <si>
    <t>103391</t>
  </si>
  <si>
    <t>MUCOSOLVAN</t>
  </si>
  <si>
    <t>POR GTT SOL+INH SOL 60ML</t>
  </si>
  <si>
    <t>12494</t>
  </si>
  <si>
    <t>AUGMENTIN 1 G</t>
  </si>
  <si>
    <t>POR TBL FLM 14 I</t>
  </si>
  <si>
    <t>Avokádový a sójový olej, nezmýdelnitelné</t>
  </si>
  <si>
    <t>49688</t>
  </si>
  <si>
    <t>PIASCLEDINE 300</t>
  </si>
  <si>
    <t>POR CPS DUR 30</t>
  </si>
  <si>
    <t>Azithromycin</t>
  </si>
  <si>
    <t>45010</t>
  </si>
  <si>
    <t>AZITROMYCIN SANDOZ 500 MG</t>
  </si>
  <si>
    <t>POR TBL FLM 3X500MG</t>
  </si>
  <si>
    <t>Cefuroxim</t>
  </si>
  <si>
    <t>47727</t>
  </si>
  <si>
    <t>ZINNAT 500 MG</t>
  </si>
  <si>
    <t>POR TBL FLM 10X500MG</t>
  </si>
  <si>
    <t>47728</t>
  </si>
  <si>
    <t>POR TBL FLM 14X500MG</t>
  </si>
  <si>
    <t>Cetirizin</t>
  </si>
  <si>
    <t>66030</t>
  </si>
  <si>
    <t>ZODAC</t>
  </si>
  <si>
    <t>POR TBL FLM 30X10MG</t>
  </si>
  <si>
    <t>Dimetinden</t>
  </si>
  <si>
    <t>15520</t>
  </si>
  <si>
    <t>FENISTIL</t>
  </si>
  <si>
    <t>POR GTT SOL 1X20ML</t>
  </si>
  <si>
    <t>1066</t>
  </si>
  <si>
    <t>DRM UNG 10GM</t>
  </si>
  <si>
    <t>Pimekrolimus</t>
  </si>
  <si>
    <t>187121</t>
  </si>
  <si>
    <t>ELIDEL 10 MG/G KRÉM</t>
  </si>
  <si>
    <t>DRM CRM 1X15GM</t>
  </si>
  <si>
    <t>Betamethason a antibiotika</t>
  </si>
  <si>
    <t>17170</t>
  </si>
  <si>
    <t>BELOGENT KRÉM</t>
  </si>
  <si>
    <t>DRM CRM 30GM</t>
  </si>
  <si>
    <t>Gestoden a ethinylestradiol</t>
  </si>
  <si>
    <t>41633</t>
  </si>
  <si>
    <t>MIRELLE</t>
  </si>
  <si>
    <t>POR TBL FLM 84</t>
  </si>
  <si>
    <t>Metronidazol</t>
  </si>
  <si>
    <t>2427</t>
  </si>
  <si>
    <t>ENTIZOL</t>
  </si>
  <si>
    <t>POR TBL NOB 20X250MG</t>
  </si>
  <si>
    <t>Salbutamol</t>
  </si>
  <si>
    <t>31934</t>
  </si>
  <si>
    <t>VENTOLIN INHALER N</t>
  </si>
  <si>
    <t>INH SUS PSS 200X100RG</t>
  </si>
  <si>
    <t>Fusafungin</t>
  </si>
  <si>
    <t>132643</t>
  </si>
  <si>
    <t>BIOPAROX</t>
  </si>
  <si>
    <t>NAS+ORM SPR SOL 10ML/400DÁV</t>
  </si>
  <si>
    <t>Pseudoefedrin, kombinace</t>
  </si>
  <si>
    <t>191949</t>
  </si>
  <si>
    <t>CLARINASE REPETABS</t>
  </si>
  <si>
    <t>POR TBL RET 14 I</t>
  </si>
  <si>
    <t>Různé jiné kombinace železa</t>
  </si>
  <si>
    <t>119654</t>
  </si>
  <si>
    <t>SORBIFER DURULES</t>
  </si>
  <si>
    <t>POR TBL FLM 100X320MG/60MG</t>
  </si>
  <si>
    <t>187125</t>
  </si>
  <si>
    <t>DRM CRM 1X5GM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</si>
  <si>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</si>
  <si>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</si>
  <si>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</si>
  <si>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</si>
  <si>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R03AC02 - Salbutamol</t>
  </si>
  <si>
    <t>C09AA04 - Perindopril</t>
  </si>
  <si>
    <t>R06AE07 - Cetirizin</t>
  </si>
  <si>
    <t>J01CR02 - Amoxicilin a enzymový inhibitor</t>
  </si>
  <si>
    <t>J01FA10 - Azithromycin</t>
  </si>
  <si>
    <t>R03AC02</t>
  </si>
  <si>
    <t>C09AA04</t>
  </si>
  <si>
    <t>J01CR02</t>
  </si>
  <si>
    <t>J01FA10</t>
  </si>
  <si>
    <t>R06AE07</t>
  </si>
  <si>
    <t>Přehled plnění PL - Preskripce léčivých přípravků - orientační přehled</t>
  </si>
  <si>
    <t>ZA318</t>
  </si>
  <si>
    <t>Náplast transpore 1,25 cm x 9,14 m 1527-0</t>
  </si>
  <si>
    <t>ZA337</t>
  </si>
  <si>
    <t>Náplast softpore 1,25 cm x 9,15 m bal. á 24 ks 1320103111</t>
  </si>
  <si>
    <t>ZA338</t>
  </si>
  <si>
    <t>Obinadlo hydrofilní   6 cm x   5 m 13005</t>
  </si>
  <si>
    <t>ZA339</t>
  </si>
  <si>
    <t>Obinadlo hydrofilní   8 cm x   5 m 13006</t>
  </si>
  <si>
    <t>ZA411</t>
  </si>
  <si>
    <t>Gáza přířezy 30 cm x 30 cm 17 nití 07004</t>
  </si>
  <si>
    <t>ZA425</t>
  </si>
  <si>
    <t>Obinadlo hydrofilní 10 cm x   5 m 13007</t>
  </si>
  <si>
    <t>ZA429</t>
  </si>
  <si>
    <t>Obinadlo elastické idealtex   8 cm x 5 m 931061</t>
  </si>
  <si>
    <t>ZA443</t>
  </si>
  <si>
    <t>Šátek trojcípý pletený 125 x 85 x 85 cm 20001</t>
  </si>
  <si>
    <t>ZA446</t>
  </si>
  <si>
    <t>Vata buničitá přířezy 20 x 30 cm 1230200129</t>
  </si>
  <si>
    <t>ZA464</t>
  </si>
  <si>
    <t>Kompresa NT 10 x 10 cm / 2 ks sterilní 26520</t>
  </si>
  <si>
    <t>ZA557</t>
  </si>
  <si>
    <t>Kompresa gáza sterilní 10 x 20 cm / 5 ks 26013</t>
  </si>
  <si>
    <t>ZB084</t>
  </si>
  <si>
    <t>Náplast transpore 2,50 cm x 9,14 m 1527-1</t>
  </si>
  <si>
    <t>ZB404</t>
  </si>
  <si>
    <t>Náplast cosmos 8 cm x 1 m 5403353</t>
  </si>
  <si>
    <t>ZC100</t>
  </si>
  <si>
    <t>Vata buničitá dělená 2 role / 500 ks 40 x 50 mm 1230200310</t>
  </si>
  <si>
    <t>ZC845</t>
  </si>
  <si>
    <t>Kompresa NT 10 x 20 cm / 5 ks sterilní 26621</t>
  </si>
  <si>
    <t>ZC854</t>
  </si>
  <si>
    <t>Kompresa NT 7,5 x 7,5 cm / 2 ks sterilní 26510</t>
  </si>
  <si>
    <t>ZK759</t>
  </si>
  <si>
    <t>Náplast water resistant cosmos bal. á 20 ks (10+10) 5351233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</si>
  <si>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</si>
  <si>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</si>
  <si>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</si>
  <si>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</si>
  <si>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</si>
  <si>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</si>
  <si>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ZM000</t>
  </si>
  <si>
    <t>Vata obvazová skládaná 50g 004307667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</si>
  <si>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</si>
  <si>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</si>
  <si>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</si>
  <si>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</si>
  <si>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</si>
  <si>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</si>
  <si>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ZB231</t>
  </si>
  <si>
    <t>Pinzeta anatomická 14 cm P00894</t>
  </si>
  <si>
    <t>ZB755</t>
  </si>
  <si>
    <t>Zkumavka 1,0 ml K3 edta fialová 454034</t>
  </si>
  <si>
    <t>ZB756</t>
  </si>
  <si>
    <t>Zkumavka 3 ml K3 edta fialová 454086</t>
  </si>
  <si>
    <t>ZB758</t>
  </si>
  <si>
    <t>Zkumavka 9 ml K3 edta NR 455036</t>
  </si>
  <si>
    <t>ZB761</t>
  </si>
  <si>
    <t>Zkumavka červená 4 ml 454092</t>
  </si>
  <si>
    <t>ZB764</t>
  </si>
  <si>
    <t>Zkumavka zelená 4 ml 454051</t>
  </si>
  <si>
    <t>ZB771</t>
  </si>
  <si>
    <t>Držák jehly základní 450201</t>
  </si>
  <si>
    <t>ZB775</t>
  </si>
  <si>
    <t>Zkumavka koagulace 4 ml modrá 454328</t>
  </si>
  <si>
    <t>Zkumavka koagulace 4 ml modrá 454329</t>
  </si>
  <si>
    <t>ZB777</t>
  </si>
  <si>
    <t>Zkumavka červená 4 ml gel 454071</t>
  </si>
  <si>
    <t>ZD808</t>
  </si>
  <si>
    <t>Kanyla vasofix 22G modrá safety 4269098S-01</t>
  </si>
  <si>
    <t>ZD809</t>
  </si>
  <si>
    <t>Kanyla vasofix 20G růžová safety 4269110S-01</t>
  </si>
  <si>
    <t>ZE159</t>
  </si>
  <si>
    <t>Nádoba na kontaminovaný odpad 2 l 15-0003</t>
  </si>
  <si>
    <t>ZF159</t>
  </si>
  <si>
    <t>Nádoba na kontaminovaný odpad 1 l 15-0002</t>
  </si>
  <si>
    <t>ZF192</t>
  </si>
  <si>
    <t>Nádoba na kontaminovaný odpad 4 l 15-0004</t>
  </si>
  <si>
    <t>ZL105</t>
  </si>
  <si>
    <t>Nástavec pro odběr moče ke zkumavce vacuete 450251</t>
  </si>
  <si>
    <t>ZN297</t>
  </si>
  <si>
    <t>Hadička spojovací Gamaplus 1,8 x 450 LL NO DOP (606301) 686401</t>
  </si>
  <si>
    <t>ZB857</t>
  </si>
  <si>
    <t>Kartáček na bukální stěr bal. á 100 ks MB 100 BR</t>
  </si>
  <si>
    <t>ZA715</t>
  </si>
  <si>
    <t>Set infuzní intrafix primeline classic 150 cm 4062957</t>
  </si>
  <si>
    <t>ZB768</t>
  </si>
  <si>
    <t>Jehla vakuová 216/38 mm zelená 450076</t>
  </si>
  <si>
    <t>ZI758</t>
  </si>
  <si>
    <t>Rukavice vinyl bez p. M á 100 ks EFEKTVR03</t>
  </si>
  <si>
    <t>ZI759</t>
  </si>
  <si>
    <t>Rukavice vinyl bez p. L á 100 ks EFEKTVR04</t>
  </si>
  <si>
    <t>ZK475</t>
  </si>
  <si>
    <t>Rukavice operační latexové s pudrem ansell medigrip plus vel. 7,0 303504EU (303364)</t>
  </si>
  <si>
    <t>ZM292</t>
  </si>
  <si>
    <t>Rukavice nitril sempercare bez p. M bal. á 200 ks 30803</t>
  </si>
  <si>
    <t>ZM291</t>
  </si>
  <si>
    <t>Rukavice nitril sempercare bez p. S bal. á 200 ks 30802</t>
  </si>
  <si>
    <t>Kompresa gáza sterilní 10 x 20 cm/5 ks 26013</t>
  </si>
  <si>
    <t>ZD104</t>
  </si>
  <si>
    <t>Náplast omniplast 10,0 cm x 10,0 m 9004472 (900535)</t>
  </si>
  <si>
    <t>ZA789</t>
  </si>
  <si>
    <t>Stříkačka injekční 2-dílná 2 ml L Inject Solo 4606027V</t>
  </si>
  <si>
    <t>ZA817</t>
  </si>
  <si>
    <t>Zkumavka PS 10 ml sterilní 400914</t>
  </si>
  <si>
    <t>ZA855</t>
  </si>
  <si>
    <t>Pipeta pasteurova P 223 6,5 ml 204523</t>
  </si>
  <si>
    <t>ZB780</t>
  </si>
  <si>
    <t>Kontejner 120 ml sterilní 331690250350</t>
  </si>
  <si>
    <t>Kontejner 120 ml sterilní á 50 ks FLME25035</t>
  </si>
  <si>
    <t>ZJ278</t>
  </si>
  <si>
    <t>Zkumavka PP 10 ml sterilní bal. á 200 ks 331690211500</t>
  </si>
  <si>
    <t>Zkumavka PP 10 ml sterilní bal. á 200 ks FLME21150</t>
  </si>
  <si>
    <t>ZA813</t>
  </si>
  <si>
    <t>Rotor adapters (10 x 24) elution tubes (1,5 ml) 990394</t>
  </si>
  <si>
    <t>ZF370</t>
  </si>
  <si>
    <t>Filtr syringe 0,22 um, pr. 33 mm á 40 ks 99722</t>
  </si>
  <si>
    <t>ZF477</t>
  </si>
  <si>
    <t>Destička pro přípravu vzorků do kapiláry 96-well PCR plate bal. á 100 ks 732-2390</t>
  </si>
  <si>
    <t>ZI956</t>
  </si>
  <si>
    <t>Fólie těsnící na PCR destičky SEAL 157300</t>
  </si>
  <si>
    <t>ZM042</t>
  </si>
  <si>
    <t>Mikrozkumavka s víčkem 500 ul Qubit Assay Tubes bal. á 500 ks Q32856</t>
  </si>
  <si>
    <t>ZJ574</t>
  </si>
  <si>
    <t>Stojánek PCR rack s víčkem U328960.M</t>
  </si>
  <si>
    <t>ZF613</t>
  </si>
  <si>
    <t>Kryozkumavka 4,5 ml 89050</t>
  </si>
  <si>
    <t>ZC767</t>
  </si>
  <si>
    <t>Zkumavka močová + víčko UH bal. á 50 ks 331690250720</t>
  </si>
  <si>
    <t>ZJ763</t>
  </si>
  <si>
    <t>Kapilára avant aray 36 cm 4333464</t>
  </si>
  <si>
    <t>ZB339</t>
  </si>
  <si>
    <t>Kapilára 310 GA 47 cm x 50 um bal. á 5 ks 402839</t>
  </si>
  <si>
    <t>ZG061</t>
  </si>
  <si>
    <t>Syringe P/N 1 ml 4304471</t>
  </si>
  <si>
    <t>ZB070</t>
  </si>
  <si>
    <t>Filtr tips 1000ul (1024) 990352</t>
  </si>
  <si>
    <t>ZC831</t>
  </si>
  <si>
    <t>Sklo podložní mat. okraj 2501</t>
  </si>
  <si>
    <t>ZE719</t>
  </si>
  <si>
    <t>Špička pipetovací 0.5-10ul á 1000 ks BUN001P-BP(3110)</t>
  </si>
  <si>
    <t>ZI560</t>
  </si>
  <si>
    <t>Špička žlutá dlouhá manžeta gilson 1 - 200 ul FLME28063</t>
  </si>
  <si>
    <t>ZA900</t>
  </si>
  <si>
    <t>Mikrozkumavka PCR 0,2 ml s vypouklým víčkem 5320(AB-0337)</t>
  </si>
  <si>
    <t>ZC689</t>
  </si>
  <si>
    <t>Kádinka 100 ml vysoká sklo 632417012100</t>
  </si>
  <si>
    <t>ZE897</t>
  </si>
  <si>
    <t>Mikrozkumavka PCR 8 strip bez víček bal. á 125 ks 3426.8S</t>
  </si>
  <si>
    <t>ZL046</t>
  </si>
  <si>
    <t>Microtubes Clear 1.7 ml  bal. á 500 ks BCN1700-BP(7100)</t>
  </si>
  <si>
    <t>ZB605</t>
  </si>
  <si>
    <t>Špička modrá krátká manžeta 1108</t>
  </si>
  <si>
    <t>ZF246</t>
  </si>
  <si>
    <t>96 well clear flat top PCR mikroplate 40 ks 5610</t>
  </si>
  <si>
    <t>ZF245</t>
  </si>
  <si>
    <t>SC Adapter S0101 bal á 100 ks S0120-100</t>
  </si>
  <si>
    <t>ZB788</t>
  </si>
  <si>
    <t>Špička s filtrem 20 ul bal. á 96 ks 96.11190.9.01 (staré.k.č. 96.10296.9.01)</t>
  </si>
  <si>
    <t>ZK523</t>
  </si>
  <si>
    <t>Špička s filtrem-filter 10 ul clear racked10x69 sterile S3 bal. 960 ks BT10</t>
  </si>
  <si>
    <t>ZC066</t>
  </si>
  <si>
    <t>Kádinka 100 ml nízká s výlevkou sklo 632417010100</t>
  </si>
  <si>
    <t>ZC528</t>
  </si>
  <si>
    <t>Filtr tips   200ul (1024) 990332</t>
  </si>
  <si>
    <t>ZB125</t>
  </si>
  <si>
    <t>Láhev kultivační 25 cm2 á 360 ks 90026</t>
  </si>
  <si>
    <t>ZF248</t>
  </si>
  <si>
    <t>Thin wall clear PCR strip tubes 0,2 ml and flat strip caps 12 tubes/ 80 ks 5390</t>
  </si>
  <si>
    <t>ZM964</t>
  </si>
  <si>
    <t>Baňka erlenmeyera kuželová úzkohrdlá 250 ml Z1636823120206</t>
  </si>
  <si>
    <t>ZC037</t>
  </si>
  <si>
    <t>Kádinka 1000 ml vysoká sklo 632417012940</t>
  </si>
  <si>
    <t>ZM465</t>
  </si>
  <si>
    <t>Špička HTL Pipette Tips 1-200ul bal. 96 x 10 30206</t>
  </si>
  <si>
    <t>ZM043</t>
  </si>
  <si>
    <t>Mikrodestičky ABgene 0,8 ml Storage Plate 1bag of 50 plates 96-jamkové bal. á 50 ks AB-0859</t>
  </si>
  <si>
    <t>ZC681</t>
  </si>
  <si>
    <t>Zkumavka 0,2 ml PCR ve 12 stripech 10 x 12 stripů AB-1113</t>
  </si>
  <si>
    <t>ZA793</t>
  </si>
  <si>
    <t>Špička s filtrem 200 ul bal. á 96 ks (96.9263.9.01) 96.11193.9.01</t>
  </si>
  <si>
    <t>ZB000</t>
  </si>
  <si>
    <t>Špička s filtrem 1000 ul 96.10298.9.01- končí</t>
  </si>
  <si>
    <t>ZA832</t>
  </si>
  <si>
    <t>Jehla injekční 0,9 x 40 mm žlutá 4657519</t>
  </si>
  <si>
    <t>Rukavice operační latexové s pudrem ansell medigrip plus vel. 7,0 303504 (303364)</t>
  </si>
  <si>
    <t>804536</t>
  </si>
  <si>
    <t xml:space="preserve">-Diagnostikum připr. </t>
  </si>
  <si>
    <t>500886</t>
  </si>
  <si>
    <t>-Roztok kolchicinu 0,2% (GEN) 100 ml</t>
  </si>
  <si>
    <t>920005</t>
  </si>
  <si>
    <t xml:space="preserve">-SORENS.PUFR PH 6,8 500ML (GEN) </t>
  </si>
  <si>
    <t>803815</t>
  </si>
  <si>
    <t>-SSC pufr 20x, pH=7 250 ml</t>
  </si>
  <si>
    <t>920001</t>
  </si>
  <si>
    <t>-PRACOVNI ROZTOK, 1L (GEN) 1000 ml</t>
  </si>
  <si>
    <t>920002</t>
  </si>
  <si>
    <t xml:space="preserve">-ROZTOK VERSENU 1L (GEN) </t>
  </si>
  <si>
    <t>920003</t>
  </si>
  <si>
    <t>-PBS PUFR 20X KONC,250ML (GEN) 250 ml</t>
  </si>
  <si>
    <t>DD659</t>
  </si>
  <si>
    <t>kyselina octová p.a.</t>
  </si>
  <si>
    <t>DG393</t>
  </si>
  <si>
    <t>Ethanol 96%</t>
  </si>
  <si>
    <t>DG227</t>
  </si>
  <si>
    <t>BENZEN p.a., 1L</t>
  </si>
  <si>
    <t>DC858</t>
  </si>
  <si>
    <t>PRIMER</t>
  </si>
  <si>
    <t>DA293</t>
  </si>
  <si>
    <t>SALSA MLPA EK1 reagent kit –100rxn -FAM</t>
  </si>
  <si>
    <t>DG143</t>
  </si>
  <si>
    <t>kyselina SÍROVÁ P.A.</t>
  </si>
  <si>
    <t>DG229</t>
  </si>
  <si>
    <t>METHANOL P.A.</t>
  </si>
  <si>
    <t>DE371</t>
  </si>
  <si>
    <t>RPMI-1640 medium,w l-glutamine and s</t>
  </si>
  <si>
    <t>DE260</t>
  </si>
  <si>
    <t>AmnioGrow CE IVD</t>
  </si>
  <si>
    <t>DE452</t>
  </si>
  <si>
    <t>Flushing medium, 500 ml,CFLM-500</t>
  </si>
  <si>
    <t>DD060</t>
  </si>
  <si>
    <t>FG,HI-DI FORMAMIDE 25 ml</t>
  </si>
  <si>
    <t>DC341</t>
  </si>
  <si>
    <t>PHYTOHAEMAGLUTININ REAGENT</t>
  </si>
  <si>
    <t>DD434</t>
  </si>
  <si>
    <t>KaryoMAX Giemsa 100 ml</t>
  </si>
  <si>
    <t>DC487</t>
  </si>
  <si>
    <t>KARYOMAX COLCEMID SOLUTION (CE LABEL)</t>
  </si>
  <si>
    <t>DD451</t>
  </si>
  <si>
    <t>UltraPure Glycogen 100 ul</t>
  </si>
  <si>
    <t>DG636</t>
  </si>
  <si>
    <t>MiSeq reagent kit v2 (300cycles)</t>
  </si>
  <si>
    <t>DD567</t>
  </si>
  <si>
    <t>Running buffer w/EDTA 10x, 25ml</t>
  </si>
  <si>
    <t>DB186</t>
  </si>
  <si>
    <t>Ion Library Equalizer Kit</t>
  </si>
  <si>
    <t>DG815</t>
  </si>
  <si>
    <t>SALSA MLPA P070 Hu Telomere-5 probemix 50rxn</t>
  </si>
  <si>
    <t>DG864</t>
  </si>
  <si>
    <t>SALSA MLPA P343 Autism-1 probemix - 50 reactions</t>
  </si>
  <si>
    <t>DG896</t>
  </si>
  <si>
    <t>ION 316 chip kit v2, 4 chips</t>
  </si>
  <si>
    <t>DG930</t>
  </si>
  <si>
    <t>SALSA MS-MLPA probemix ME032-UPD7/UPD14 25rxn</t>
  </si>
  <si>
    <t>DH188</t>
  </si>
  <si>
    <t>DEV-5 Dye Set SingleCap kit</t>
  </si>
  <si>
    <t>DG534</t>
  </si>
  <si>
    <t>Xa Yc dual label  10 tests</t>
  </si>
  <si>
    <t>DA623</t>
  </si>
  <si>
    <t>SALSA MLPA P245 Microdel.Syndr.-1 probemix 50rxn</t>
  </si>
  <si>
    <t>DB386</t>
  </si>
  <si>
    <t>BSTU1</t>
  </si>
  <si>
    <t>DA624</t>
  </si>
  <si>
    <t>SALSA MLPA P106 MRX probemix 25rxn</t>
  </si>
  <si>
    <t>DG295</t>
  </si>
  <si>
    <t>SALSA MLPA P036 Hu Telomere-3 probemix 50rxn</t>
  </si>
  <si>
    <t>DH146</t>
  </si>
  <si>
    <t>Qubit dsDNA HS Assay Kit 500r</t>
  </si>
  <si>
    <t>DE929</t>
  </si>
  <si>
    <t>FETAL BOVINE SERUM  pro TK, 500 ml</t>
  </si>
  <si>
    <t>DE825</t>
  </si>
  <si>
    <t>PCR H2O 15 ml</t>
  </si>
  <si>
    <t>DG939</t>
  </si>
  <si>
    <t>SALSA MLPA EK5 reagent kit- 500 reactions (5x6 vials) - FAM</t>
  </si>
  <si>
    <t>DA292</t>
  </si>
  <si>
    <t>SALSA MLPA P245 Microdel.Syndr.-1 probemix 25rxn</t>
  </si>
  <si>
    <t>DH224</t>
  </si>
  <si>
    <t>SALSA MLPA ME028 Prader Willi/Angelman</t>
  </si>
  <si>
    <t>DG635</t>
  </si>
  <si>
    <t>ION AMPLISEQ LIBRARY KIT 2.0</t>
  </si>
  <si>
    <t>DE593</t>
  </si>
  <si>
    <t>ION PGM HI-Q SEQ KIT</t>
  </si>
  <si>
    <t>DD822</t>
  </si>
  <si>
    <t>ION PGM WASH 2 BOTTLE KIT</t>
  </si>
  <si>
    <t>DD549</t>
  </si>
  <si>
    <t>Platinum Taq DNA Polymerase 100 Units</t>
  </si>
  <si>
    <t>DA811</t>
  </si>
  <si>
    <t>SALSA MLPA P311 CHD probemix - 25 reactions</t>
  </si>
  <si>
    <t>DA982</t>
  </si>
  <si>
    <t>Chromosome Synchro P</t>
  </si>
  <si>
    <t>DD452</t>
  </si>
  <si>
    <t>ION PGM HI-Q OT2 KIT</t>
  </si>
  <si>
    <t>DG296</t>
  </si>
  <si>
    <t>SALSA MLPA P018-F1 SHOX-25rxn</t>
  </si>
  <si>
    <t>DG339</t>
  </si>
  <si>
    <t>Qubit dsDNA BR Assay kit 100r</t>
  </si>
  <si>
    <t>DG399</t>
  </si>
  <si>
    <t>SALSA MLPA P250 DiGeorge probemix-25R</t>
  </si>
  <si>
    <t>DG933</t>
  </si>
  <si>
    <t>SALSA MLPA ME030 BWS/RSS probemix – 50 rxn</t>
  </si>
  <si>
    <t>DA447</t>
  </si>
  <si>
    <t>ViennaLab CF StripAssay 10t</t>
  </si>
  <si>
    <t>DA717</t>
  </si>
  <si>
    <t>ION PGM Enrichment Beads</t>
  </si>
  <si>
    <t>DD637</t>
  </si>
  <si>
    <t>GENESCAN 500 TAMRA</t>
  </si>
  <si>
    <t>DG387</t>
  </si>
  <si>
    <t>AM Pure XP 60ml (agencourt)</t>
  </si>
  <si>
    <t>DG413</t>
  </si>
  <si>
    <t>1 ml Glass Syringe (for ABI310 sequencing polymer)</t>
  </si>
  <si>
    <t>DG584</t>
  </si>
  <si>
    <t>Nanopop-7 28 ml</t>
  </si>
  <si>
    <t>DG607</t>
  </si>
  <si>
    <t>SALSA MLPA P297 Microdel.Syndr.-2 probemix 50rxn</t>
  </si>
  <si>
    <t>DH269</t>
  </si>
  <si>
    <t>CHARGE 10tests</t>
  </si>
  <si>
    <t>DA181</t>
  </si>
  <si>
    <t>Hank's balanced salt solution (HBSS), 500 ml</t>
  </si>
  <si>
    <t>DA549</t>
  </si>
  <si>
    <t>NanoPOP 10x Running Buffer (100 ml)</t>
  </si>
  <si>
    <t>DA996</t>
  </si>
  <si>
    <t>GeneScan 500 LIZ Size Standard</t>
  </si>
  <si>
    <t>DB209</t>
  </si>
  <si>
    <t>Nucleo spin blood (240)</t>
  </si>
  <si>
    <t>DB418</t>
  </si>
  <si>
    <t>Proteináza K 500 mg</t>
  </si>
  <si>
    <t>DC767</t>
  </si>
  <si>
    <t>POP4</t>
  </si>
  <si>
    <t>DE045</t>
  </si>
  <si>
    <t>Combi PPP Master Mix, 1000 reakcí</t>
  </si>
  <si>
    <t>DF133</t>
  </si>
  <si>
    <t>TRYPSIN 1:250 100g</t>
  </si>
  <si>
    <t>DF582</t>
  </si>
  <si>
    <t>GeneScan 600 LIZ Size Standard</t>
  </si>
  <si>
    <t>DG336</t>
  </si>
  <si>
    <t>MID 1-48 for Illumina MiSeq (240 barcodes)</t>
  </si>
  <si>
    <t>DG338</t>
  </si>
  <si>
    <t>Phix control kit v3</t>
  </si>
  <si>
    <t>DG585</t>
  </si>
  <si>
    <t>SALSA MLPA P002-C2 BRCA 1 probemix 100R</t>
  </si>
  <si>
    <t>DH286</t>
  </si>
  <si>
    <t>One  Reference DNA,Male 50rxns</t>
  </si>
  <si>
    <t>DA913</t>
  </si>
  <si>
    <t>Liberase TL research grade</t>
  </si>
  <si>
    <t>DG533</t>
  </si>
  <si>
    <t>SNaPshot Multiplex Kit 100Reactions</t>
  </si>
  <si>
    <t>DG888</t>
  </si>
  <si>
    <t>SALSA MLPA P424 B2 Cong. heart Disease 25rxn</t>
  </si>
  <si>
    <t>DH290</t>
  </si>
  <si>
    <t>Telomer Proben 3p - green 5t</t>
  </si>
  <si>
    <t>DH291</t>
  </si>
  <si>
    <t>Telomer Proben 3p - red, 5t</t>
  </si>
  <si>
    <t>DH292</t>
  </si>
  <si>
    <t>SALSA MLPA P249 Human Telomere 8, 25rxn</t>
  </si>
  <si>
    <t>DF372</t>
  </si>
  <si>
    <t>SALSA MLPA P015 MECP2 probemix – 25 rxn</t>
  </si>
  <si>
    <t>DF373</t>
  </si>
  <si>
    <t>Salsa MLPA P075 TCF4-FOXG1 25 rxn</t>
  </si>
  <si>
    <t>DG334</t>
  </si>
  <si>
    <t>BRCA MASTR Dx (8rxns)</t>
  </si>
  <si>
    <t>DG335</t>
  </si>
  <si>
    <t>BRCA MASTR Dx (40rxns)</t>
  </si>
  <si>
    <t>DG337</t>
  </si>
  <si>
    <t>MiSeq Reagent nano Kit v2 (500cycles)</t>
  </si>
  <si>
    <t>DG404</t>
  </si>
  <si>
    <t>SALSA MLPA P018-F1 SHOX-50rxn</t>
  </si>
  <si>
    <t>DG931</t>
  </si>
  <si>
    <t>SALSA MLPA probemix P060-SMA 100rxn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</si>
  <si>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</si>
  <si>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</si>
  <si>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</si>
  <si>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</si>
  <si>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</si>
  <si>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</si>
  <si>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</si>
  <si>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</si>
  <si>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</si>
  <si>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</si>
  <si>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</si>
  <si>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</si>
  <si>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</si>
  <si>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</si>
  <si>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</si>
  <si>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</si>
  <si>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</si>
  <si>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</si>
  <si>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208 - Pracoviště lékařské genetiky</t>
  </si>
  <si>
    <t>301 - Pracoviště pediatrie</t>
  </si>
  <si>
    <t>603 - Pracoviště gynekologie a porodnictví</t>
  </si>
  <si>
    <t>816 - Laboratoř lékařské genetiky</t>
  </si>
  <si>
    <t>Zdravotní výkony vykázané na pracovišti v rámci ambulantní péče *</t>
  </si>
  <si>
    <t>Ambulantní péče znamená, že pacient v den poskytnutí zdravotní péče není hospitalizován ve FNOL</t>
  </si>
  <si>
    <t>Anzenbacher Pavel</t>
  </si>
  <si>
    <t>beze jména</t>
  </si>
  <si>
    <t>Dhaifalah Ishraq</t>
  </si>
  <si>
    <t>Godava Marek</t>
  </si>
  <si>
    <t>Hyjánek Jiří</t>
  </si>
  <si>
    <t>Šanová Hana</t>
  </si>
  <si>
    <t>Šantavá Alena</t>
  </si>
  <si>
    <t>Zdravotní výkony vykázané na pracovišti v rámci ambulantní péče dle lékařů *</t>
  </si>
  <si>
    <t>208</t>
  </si>
  <si>
    <t>1</t>
  </si>
  <si>
    <t>0015003</t>
  </si>
  <si>
    <t>IGAMAD 1500 I.U.</t>
  </si>
  <si>
    <t>0088354</t>
  </si>
  <si>
    <t>RHESONATIV 625 IU/ML</t>
  </si>
  <si>
    <t>0113403</t>
  </si>
  <si>
    <t>RHOPHYLAC 300 MIKROGRAMŮ/2 ML</t>
  </si>
  <si>
    <t>V</t>
  </si>
  <si>
    <t>09117</t>
  </si>
  <si>
    <t>ODBĚR KRVE ZE ŽÍLY U DÍTĚTĚ DO 10 LET</t>
  </si>
  <si>
    <t>09507</t>
  </si>
  <si>
    <t>PSYCHOTERAPIE PODPŮRNÁ PROVÁDĚNÁ LÉKAŘEM NEPSYCHIA</t>
  </si>
  <si>
    <t>09511</t>
  </si>
  <si>
    <t>MINIMÁLNÍ KONTAKT LÉKAŘE S PACIENTEM</t>
  </si>
  <si>
    <t>28021</t>
  </si>
  <si>
    <t>KLINICKO GENETICKÉ VYŠETŘENÍ KOMPLEXNÍ NAPLNĚNÉ ST</t>
  </si>
  <si>
    <t>28105</t>
  </si>
  <si>
    <t>GENETICKÉ HODNOCENÍ RIZIKA VROZENÝCH CHROMOSOMÁLNÍ</t>
  </si>
  <si>
    <t>09547</t>
  </si>
  <si>
    <t>REGULAČNÍ POPLATEK -- POJIŠTĚNEC OD ÚHRADY POPLATK</t>
  </si>
  <si>
    <t>28023</t>
  </si>
  <si>
    <t>KLINICKOGENETICKÉ VYŠETŘENÍ KONTROLNÍ</t>
  </si>
  <si>
    <t>09543</t>
  </si>
  <si>
    <t>SIGNÁLNÍ VÝKON KLINICKÉHO VYŠETŘENÍ / DO 31.12.201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</si>
  <si>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</si>
  <si>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</si>
  <si>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</si>
  <si>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</si>
  <si>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</si>
  <si>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</si>
  <si>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</si>
  <si>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</si>
  <si>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</si>
  <si>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</si>
  <si>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09513</t>
  </si>
  <si>
    <t>TELEFONICKÁ KONZULTACE OŠETŘUJÍCÍHO LÉKAŘE PACIENT</t>
  </si>
  <si>
    <t>28103</t>
  </si>
  <si>
    <t>PŘÍPRAVA  BIOLOGICKÉHO MATERIÁLU PROBANDA K TRANSP</t>
  </si>
  <si>
    <t>301</t>
  </si>
  <si>
    <t>31023</t>
  </si>
  <si>
    <t>KONTROLNÍ VYŠETŘENÍ DĚTSKÝM LÉKAŘEM</t>
  </si>
  <si>
    <t>31022</t>
  </si>
  <si>
    <t>CÍLENÉ VYŠETŘENÍ DĚTSKÝM LÉKAŘEM</t>
  </si>
  <si>
    <t>603</t>
  </si>
  <si>
    <t>32410</t>
  </si>
  <si>
    <t>SCREENINGOVÉ  PRENATÁLNÍ ECHOKARDIOGRAFICKÉ VYŠETŘ</t>
  </si>
  <si>
    <t>63319</t>
  </si>
  <si>
    <t>ODBĚR CHORIOVÝCH KLKŮ TRANSCERVIKÁLNÍM NEBO TRANSA</t>
  </si>
  <si>
    <t>63333</t>
  </si>
  <si>
    <t>SELEKTIVNÍ FETOCIDA TĚŽCE DEFEKTNÍHO PLODU U VÍCEČ</t>
  </si>
  <si>
    <t>63417</t>
  </si>
  <si>
    <t>ULTRASONOGRAFICKÉ VYŠETŘENÍ PÁNVE U GYNEKOLOGICKÝC</t>
  </si>
  <si>
    <t>89517</t>
  </si>
  <si>
    <t>UZ DUPLEXNÍ VYŠETŘENÍ DVOU A VÍCE CÉV, T. J. MORFO</t>
  </si>
  <si>
    <t>63415</t>
  </si>
  <si>
    <t xml:space="preserve">SUPERKONZILIÁRNÍ ULTRAZVUKOVÉ VYŠETŘENÍ V PRŮBĚHU </t>
  </si>
  <si>
    <t>89515</t>
  </si>
  <si>
    <t>UZ DUPLEXNÍ VYŠETŘENÍ POUZE JEDNÉ CÉVY, T. J. MORF</t>
  </si>
  <si>
    <t>63311</t>
  </si>
  <si>
    <t>ODBĚR PLODOVÉ VODY TRANSABDOMINÁLNÍ AMNIOCENTÉZOU</t>
  </si>
  <si>
    <t>32420</t>
  </si>
  <si>
    <t>SPECIALIZOVANÉ PRENATÁLNÍ  ECHOKARDIOGRAFICKÉ VYŠE</t>
  </si>
  <si>
    <t>63411</t>
  </si>
  <si>
    <t>SCREENINGOVÉ ULTRASONOGRAFICKÉ VYŠETŘENÍ V 18. - 2</t>
  </si>
  <si>
    <t>63325</t>
  </si>
  <si>
    <t>TERAPEUTICKÁ PUNKCE DUTÝCH ORGÁNŮ PLODU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</si>
  <si>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</si>
  <si>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</si>
  <si>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</si>
  <si>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</si>
  <si>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</si>
  <si>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</si>
  <si>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</si>
  <si>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</si>
  <si>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</si>
  <si>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</si>
  <si>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</si>
  <si>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</si>
  <si>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</si>
  <si>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94123</t>
  </si>
  <si>
    <t>PCR ANALÝZA LIDSKÉ DNA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</si>
  <si>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</si>
  <si>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</si>
  <si>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</si>
  <si>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</si>
  <si>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</si>
  <si>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</si>
  <si>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</si>
  <si>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</si>
  <si>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</si>
  <si>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</si>
  <si>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</si>
  <si>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</si>
  <si>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</si>
  <si>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</si>
  <si>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</si>
  <si>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</si>
  <si>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94121</t>
  </si>
  <si>
    <t>ŠTĚPENÍ LIDSKÉ DNA RESTRIKČNÍM ENZYMEM A SOUTHERNŮ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</si>
  <si>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</si>
  <si>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</si>
  <si>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</si>
  <si>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</si>
  <si>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</si>
  <si>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</si>
  <si>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</si>
  <si>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</si>
  <si>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</si>
  <si>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17 - Neurologická klinika</t>
  </si>
  <si>
    <t>20 - Klinika chorob kožních a pohlavních</t>
  </si>
  <si>
    <t>21 - Onkologická klinika</t>
  </si>
  <si>
    <t>01</t>
  </si>
  <si>
    <t>02</t>
  </si>
  <si>
    <t>03</t>
  </si>
  <si>
    <t>04</t>
  </si>
  <si>
    <t>07</t>
  </si>
  <si>
    <t>08</t>
  </si>
  <si>
    <t>09</t>
  </si>
  <si>
    <t>10</t>
  </si>
  <si>
    <t>94211</t>
  </si>
  <si>
    <t>DLOUHODOBÁ KULTIVACE BUNĚK RŮZNÝCH TKÁNÍ Z PRENATÁ</t>
  </si>
  <si>
    <t>17</t>
  </si>
  <si>
    <t>20</t>
  </si>
  <si>
    <t>21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</si>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</sst>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6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1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0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59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0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7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3" xfId="0" applyNumberFormat="1" applyFont="1" applyFill="1" applyBorder="1"/>
    <xf numFmtId="3" fontId="54" fillId="8" borderId="74" xfId="0" applyNumberFormat="1" applyFont="1" applyFill="1" applyBorder="1"/>
    <xf numFmtId="3" fontId="54" fillId="8" borderId="73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7" xfId="0" applyNumberFormat="1" applyFont="1" applyFill="1" applyBorder="1" applyAlignment="1">
      <alignment horizontal="center" vertical="center"/>
    </xf>
    <xf numFmtId="0" fontId="40" fillId="2" borderId="78" xfId="0" applyFont="1" applyFill="1" applyBorder="1" applyAlignment="1">
      <alignment horizontal="center" vertical="center"/>
    </xf>
    <xf numFmtId="3" fontId="56" fillId="2" borderId="80" xfId="0" applyNumberFormat="1" applyFont="1" applyFill="1" applyBorder="1" applyAlignment="1">
      <alignment horizontal="center" vertical="center" wrapText="1"/>
    </xf>
    <xf numFmtId="0" fontId="56" fillId="2" borderId="81" xfId="0" applyFont="1" applyFill="1" applyBorder="1" applyAlignment="1">
      <alignment horizontal="center" vertical="center" wrapText="1"/>
    </xf>
    <xf numFmtId="0" fontId="40" fillId="2" borderId="83" xfId="0" applyFont="1" applyFill="1" applyBorder="1" applyAlignment="1"/>
    <xf numFmtId="0" fontId="40" fillId="2" borderId="85" xfId="0" applyFont="1" applyFill="1" applyBorder="1" applyAlignment="1">
      <alignment horizontal="left" indent="1"/>
    </xf>
    <xf numFmtId="0" fontId="40" fillId="2" borderId="91" xfId="0" applyFont="1" applyFill="1" applyBorder="1" applyAlignment="1">
      <alignment horizontal="left" indent="1"/>
    </xf>
    <xf numFmtId="0" fontId="40" fillId="4" borderId="83" xfId="0" applyFont="1" applyFill="1" applyBorder="1" applyAlignment="1"/>
    <xf numFmtId="0" fontId="40" fillId="4" borderId="85" xfId="0" applyFont="1" applyFill="1" applyBorder="1" applyAlignment="1">
      <alignment horizontal="left" indent="1"/>
    </xf>
    <xf numFmtId="0" fontId="40" fillId="4" borderId="96" xfId="0" applyFont="1" applyFill="1" applyBorder="1" applyAlignment="1">
      <alignment horizontal="left" indent="1"/>
    </xf>
    <xf numFmtId="0" fontId="33" fillId="2" borderId="85" xfId="0" quotePrefix="1" applyFont="1" applyFill="1" applyBorder="1" applyAlignment="1">
      <alignment horizontal="left" indent="2"/>
    </xf>
    <xf numFmtId="0" fontId="33" fillId="2" borderId="91" xfId="0" quotePrefix="1" applyFont="1" applyFill="1" applyBorder="1" applyAlignment="1">
      <alignment horizontal="left" indent="2"/>
    </xf>
    <xf numFmtId="0" fontId="40" fillId="2" borderId="83" xfId="0" applyFont="1" applyFill="1" applyBorder="1" applyAlignment="1">
      <alignment horizontal="left" indent="1"/>
    </xf>
    <xf numFmtId="0" fontId="40" fillId="2" borderId="96" xfId="0" applyFont="1" applyFill="1" applyBorder="1" applyAlignment="1">
      <alignment horizontal="left" indent="1"/>
    </xf>
    <xf numFmtId="0" fontId="40" fillId="4" borderId="91" xfId="0" applyFont="1" applyFill="1" applyBorder="1" applyAlignment="1">
      <alignment horizontal="left" indent="1"/>
    </xf>
    <xf numFmtId="0" fontId="33" fillId="0" borderId="101" xfId="0" applyFont="1" applyBorder="1"/>
    <xf numFmtId="3" fontId="33" fillId="0" borderId="101" xfId="0" applyNumberFormat="1" applyFont="1" applyBorder="1"/>
    <xf numFmtId="0" fontId="40" fillId="4" borderId="75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0" xfId="0" applyNumberFormat="1" applyFont="1" applyFill="1" applyBorder="1" applyAlignment="1">
      <alignment horizontal="center" vertical="center"/>
    </xf>
    <xf numFmtId="3" fontId="56" fillId="2" borderId="98" xfId="0" applyNumberFormat="1" applyFont="1" applyFill="1" applyBorder="1" applyAlignment="1">
      <alignment horizontal="center" vertical="center" wrapText="1"/>
    </xf>
    <xf numFmtId="173" fontId="40" fillId="4" borderId="84" xfId="0" applyNumberFormat="1" applyFont="1" applyFill="1" applyBorder="1" applyAlignment="1"/>
    <xf numFmtId="173" fontId="40" fillId="4" borderId="77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0" borderId="86" xfId="0" applyNumberFormat="1" applyFont="1" applyBorder="1"/>
    <xf numFmtId="173" fontId="33" fillId="0" borderId="90" xfId="0" applyNumberFormat="1" applyFont="1" applyBorder="1"/>
    <xf numFmtId="173" fontId="33" fillId="0" borderId="88" xfId="0" applyNumberFormat="1" applyFont="1" applyBorder="1"/>
    <xf numFmtId="173" fontId="40" fillId="0" borderId="97" xfId="0" applyNumberFormat="1" applyFont="1" applyBorder="1"/>
    <xf numFmtId="173" fontId="33" fillId="0" borderId="98" xfId="0" applyNumberFormat="1" applyFont="1" applyBorder="1"/>
    <xf numFmtId="173" fontId="33" fillId="0" borderId="81" xfId="0" applyNumberFormat="1" applyFont="1" applyBorder="1"/>
    <xf numFmtId="173" fontId="40" fillId="2" borderId="99" xfId="0" applyNumberFormat="1" applyFont="1" applyFill="1" applyBorder="1" applyAlignment="1"/>
    <xf numFmtId="173" fontId="40" fillId="2" borderId="77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0" borderId="92" xfId="0" applyNumberFormat="1" applyFont="1" applyBorder="1"/>
    <xf numFmtId="173" fontId="33" fillId="0" borderId="93" xfId="0" applyNumberFormat="1" applyFont="1" applyBorder="1"/>
    <xf numFmtId="173" fontId="33" fillId="0" borderId="94" xfId="0" applyNumberFormat="1" applyFont="1" applyBorder="1"/>
    <xf numFmtId="173" fontId="40" fillId="0" borderId="84" xfId="0" applyNumberFormat="1" applyFont="1" applyBorder="1"/>
    <xf numFmtId="173" fontId="33" fillId="0" borderId="100" xfId="0" applyNumberFormat="1" applyFont="1" applyBorder="1"/>
    <xf numFmtId="173" fontId="33" fillId="0" borderId="78" xfId="0" applyNumberFormat="1" applyFont="1" applyBorder="1"/>
    <xf numFmtId="174" fontId="40" fillId="2" borderId="84" xfId="0" applyNumberFormat="1" applyFont="1" applyFill="1" applyBorder="1" applyAlignment="1"/>
    <xf numFmtId="174" fontId="33" fillId="2" borderId="77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40" fillId="0" borderId="86" xfId="0" applyNumberFormat="1" applyFont="1" applyBorder="1"/>
    <xf numFmtId="174" fontId="33" fillId="0" borderId="87" xfId="0" applyNumberFormat="1" applyFont="1" applyBorder="1"/>
    <xf numFmtId="174" fontId="33" fillId="0" borderId="88" xfId="0" applyNumberFormat="1" applyFont="1" applyBorder="1"/>
    <xf numFmtId="174" fontId="33" fillId="0" borderId="90" xfId="0" applyNumberFormat="1" applyFont="1" applyBorder="1"/>
    <xf numFmtId="174" fontId="40" fillId="0" borderId="92" xfId="0" applyNumberFormat="1" applyFont="1" applyBorder="1"/>
    <xf numFmtId="174" fontId="33" fillId="0" borderId="93" xfId="0" applyNumberFormat="1" applyFont="1" applyBorder="1"/>
    <xf numFmtId="174" fontId="33" fillId="0" borderId="94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4" xfId="0" applyNumberFormat="1" applyFont="1" applyFill="1" applyBorder="1" applyAlignment="1">
      <alignment horizontal="center"/>
    </xf>
    <xf numFmtId="175" fontId="40" fillId="0" borderId="92" xfId="0" applyNumberFormat="1" applyFont="1" applyBorder="1"/>
    <xf numFmtId="0" fontId="32" fillId="2" borderId="108" xfId="74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89" xfId="0" applyFont="1" applyFill="1" applyBorder="1"/>
    <xf numFmtId="0" fontId="33" fillId="0" borderId="90" xfId="0" applyFont="1" applyBorder="1" applyAlignment="1"/>
    <xf numFmtId="9" fontId="33" fillId="0" borderId="88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1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6" xfId="0" applyNumberFormat="1" applyFont="1" applyBorder="1"/>
    <xf numFmtId="9" fontId="33" fillId="0" borderId="90" xfId="0" applyNumberFormat="1" applyFont="1" applyBorder="1"/>
    <xf numFmtId="9" fontId="33" fillId="0" borderId="88" xfId="0" applyNumberFormat="1" applyFont="1" applyBorder="1"/>
    <xf numFmtId="0" fontId="41" fillId="0" borderId="101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8" xfId="81" applyFont="1" applyFill="1" applyBorder="1" applyAlignment="1">
      <alignment horizontal="center"/>
    </xf>
    <xf numFmtId="0" fontId="32" fillId="2" borderId="105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2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2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1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3" fontId="3" fillId="2" borderId="99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6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09" xfId="26" applyNumberFormat="1" applyFont="1" applyFill="1" applyBorder="1" applyAlignment="1">
      <alignment horizontal="center"/>
    </xf>
    <xf numFmtId="3" fontId="32" fillId="2" borderId="101" xfId="26" applyNumberFormat="1" applyFont="1" applyFill="1" applyBorder="1" applyAlignment="1">
      <alignment horizontal="center"/>
    </xf>
    <xf numFmtId="3" fontId="32" fillId="2" borderId="76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5" xfId="0" applyNumberFormat="1" applyFont="1" applyFill="1" applyBorder="1" applyAlignment="1">
      <alignment horizontal="center" vertical="top"/>
    </xf>
    <xf numFmtId="0" fontId="32" fillId="2" borderId="75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3" xfId="0" applyNumberFormat="1" applyFont="1" applyFill="1" applyBorder="1" applyAlignment="1">
      <alignment horizontal="right" vertical="top"/>
    </xf>
    <xf numFmtId="3" fontId="34" fillId="9" borderId="114" xfId="0" applyNumberFormat="1" applyFont="1" applyFill="1" applyBorder="1" applyAlignment="1">
      <alignment horizontal="right" vertical="top"/>
    </xf>
    <xf numFmtId="176" fontId="34" fillId="9" borderId="115" xfId="0" applyNumberFormat="1" applyFont="1" applyFill="1" applyBorder="1" applyAlignment="1">
      <alignment horizontal="right" vertical="top"/>
    </xf>
    <xf numFmtId="3" fontId="34" fillId="0" borderId="113" xfId="0" applyNumberFormat="1" applyFont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6" fillId="9" borderId="118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0" fontId="36" fillId="9" borderId="120" xfId="0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0" fontId="34" fillId="9" borderId="115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176" fontId="36" fillId="9" borderId="120" xfId="0" applyNumberFormat="1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9" borderId="125" xfId="0" applyNumberFormat="1" applyFont="1" applyFill="1" applyBorder="1" applyAlignment="1">
      <alignment horizontal="right" vertical="top"/>
    </xf>
    <xf numFmtId="0" fontId="38" fillId="10" borderId="112" xfId="0" applyFont="1" applyFill="1" applyBorder="1" applyAlignment="1">
      <alignment vertical="top"/>
    </xf>
    <xf numFmtId="0" fontId="38" fillId="10" borderId="112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 indent="6"/>
    </xf>
    <xf numFmtId="0" fontId="38" fillId="10" borderId="112" xfId="0" applyFont="1" applyFill="1" applyBorder="1" applyAlignment="1">
      <alignment vertical="top" indent="8"/>
    </xf>
    <xf numFmtId="0" fontId="39" fillId="10" borderId="117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6"/>
    </xf>
    <xf numFmtId="0" fontId="39" fillId="10" borderId="117" xfId="0" applyFont="1" applyFill="1" applyBorder="1" applyAlignment="1">
      <alignment vertical="top" indent="4"/>
    </xf>
    <xf numFmtId="0" fontId="33" fillId="10" borderId="112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6" xfId="53" applyNumberFormat="1" applyFont="1" applyFill="1" applyBorder="1" applyAlignment="1">
      <alignment horizontal="left"/>
    </xf>
    <xf numFmtId="164" fontId="32" fillId="2" borderId="127" xfId="53" applyNumberFormat="1" applyFont="1" applyFill="1" applyBorder="1" applyAlignment="1">
      <alignment horizontal="left"/>
    </xf>
    <xf numFmtId="164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7" xfId="0" applyFont="1" applyFill="1" applyBorder="1"/>
    <xf numFmtId="0" fontId="33" fillId="0" borderId="78" xfId="0" applyFont="1" applyFill="1" applyBorder="1"/>
    <xf numFmtId="164" fontId="33" fillId="0" borderId="78" xfId="0" applyNumberFormat="1" applyFont="1" applyFill="1" applyBorder="1"/>
    <xf numFmtId="164" fontId="33" fillId="0" borderId="78" xfId="0" applyNumberFormat="1" applyFont="1" applyFill="1" applyBorder="1" applyAlignment="1">
      <alignment horizontal="right"/>
    </xf>
    <xf numFmtId="3" fontId="33" fillId="0" borderId="78" xfId="0" applyNumberFormat="1" applyFont="1" applyFill="1" applyBorder="1"/>
    <xf numFmtId="3" fontId="33" fillId="0" borderId="79" xfId="0" applyNumberFormat="1" applyFont="1" applyFill="1" applyBorder="1"/>
    <xf numFmtId="0" fontId="33" fillId="0" borderId="87" xfId="0" applyFont="1" applyFill="1" applyBorder="1"/>
    <xf numFmtId="0" fontId="33" fillId="0" borderId="88" xfId="0" applyFont="1" applyFill="1" applyBorder="1"/>
    <xf numFmtId="164" fontId="33" fillId="0" borderId="88" xfId="0" applyNumberFormat="1" applyFont="1" applyFill="1" applyBorder="1"/>
    <xf numFmtId="164" fontId="33" fillId="0" borderId="88" xfId="0" applyNumberFormat="1" applyFont="1" applyFill="1" applyBorder="1" applyAlignment="1">
      <alignment horizontal="right"/>
    </xf>
    <xf numFmtId="3" fontId="33" fillId="0" borderId="88" xfId="0" applyNumberFormat="1" applyFont="1" applyFill="1" applyBorder="1"/>
    <xf numFmtId="3" fontId="33" fillId="0" borderId="89" xfId="0" applyNumberFormat="1" applyFont="1" applyFill="1" applyBorder="1"/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3" fillId="2" borderId="126" xfId="79" applyFont="1" applyFill="1" applyBorder="1" applyAlignment="1">
      <alignment horizontal="left"/>
    </xf>
    <xf numFmtId="3" fontId="3" fillId="2" borderId="94" xfId="80" applyNumberFormat="1" applyFont="1" applyFill="1" applyBorder="1"/>
    <xf numFmtId="3" fontId="3" fillId="2" borderId="95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3" fillId="0" borderId="78" xfId="0" applyNumberFormat="1" applyFont="1" applyFill="1" applyBorder="1"/>
    <xf numFmtId="9" fontId="33" fillId="0" borderId="79" xfId="0" applyNumberFormat="1" applyFont="1" applyFill="1" applyBorder="1"/>
    <xf numFmtId="9" fontId="33" fillId="0" borderId="88" xfId="0" applyNumberFormat="1" applyFont="1" applyFill="1" applyBorder="1"/>
    <xf numFmtId="9" fontId="33" fillId="0" borderId="89" xfId="0" applyNumberFormat="1" applyFont="1" applyFill="1" applyBorder="1"/>
    <xf numFmtId="9" fontId="33" fillId="0" borderId="81" xfId="0" applyNumberFormat="1" applyFont="1" applyFill="1" applyBorder="1"/>
    <xf numFmtId="9" fontId="33" fillId="0" borderId="82" xfId="0" applyNumberFormat="1" applyFont="1" applyFill="1" applyBorder="1"/>
    <xf numFmtId="0" fontId="40" fillId="0" borderId="108" xfId="0" applyFont="1" applyFill="1" applyBorder="1"/>
    <xf numFmtId="0" fontId="40" fillId="0" borderId="106" xfId="0" applyFont="1" applyFill="1" applyBorder="1" applyAlignment="1">
      <alignment horizontal="left" indent="1"/>
    </xf>
    <xf numFmtId="0" fontId="40" fillId="0" borderId="107" xfId="0" applyFont="1" applyFill="1" applyBorder="1" applyAlignment="1">
      <alignment horizontal="left" indent="1"/>
    </xf>
    <xf numFmtId="9" fontId="33" fillId="0" borderId="100" xfId="0" applyNumberFormat="1" applyFont="1" applyFill="1" applyBorder="1"/>
    <xf numFmtId="9" fontId="33" fillId="0" borderId="90" xfId="0" applyNumberFormat="1" applyFont="1" applyFill="1" applyBorder="1"/>
    <xf numFmtId="9" fontId="33" fillId="0" borderId="98" xfId="0" applyNumberFormat="1" applyFont="1" applyFill="1" applyBorder="1"/>
    <xf numFmtId="3" fontId="33" fillId="0" borderId="77" xfId="0" applyNumberFormat="1" applyFont="1" applyFill="1" applyBorder="1"/>
    <xf numFmtId="3" fontId="33" fillId="0" borderId="87" xfId="0" applyNumberFormat="1" applyFont="1" applyFill="1" applyBorder="1"/>
    <xf numFmtId="3" fontId="33" fillId="0" borderId="80" xfId="0" applyNumberFormat="1" applyFont="1" applyFill="1" applyBorder="1"/>
    <xf numFmtId="9" fontId="33" fillId="0" borderId="104" xfId="0" applyNumberFormat="1" applyFont="1" applyFill="1" applyBorder="1"/>
    <xf numFmtId="9" fontId="33" fillId="0" borderId="102" xfId="0" applyNumberFormat="1" applyFont="1" applyFill="1" applyBorder="1"/>
    <xf numFmtId="9" fontId="33" fillId="0" borderId="103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8" xfId="0" applyFont="1" applyFill="1" applyBorder="1"/>
    <xf numFmtId="0" fontId="40" fillId="10" borderId="106" xfId="0" applyFont="1" applyFill="1" applyBorder="1"/>
    <xf numFmtId="0" fontId="40" fillId="10" borderId="107" xfId="0" applyFont="1" applyFill="1" applyBorder="1"/>
    <xf numFmtId="0" fontId="3" fillId="2" borderId="94" xfId="80" applyFont="1" applyFill="1" applyBorder="1"/>
    <xf numFmtId="3" fontId="33" fillId="0" borderId="104" xfId="0" applyNumberFormat="1" applyFont="1" applyFill="1" applyBorder="1"/>
    <xf numFmtId="3" fontId="33" fillId="0" borderId="102" xfId="0" applyNumberFormat="1" applyFont="1" applyFill="1" applyBorder="1"/>
    <xf numFmtId="3" fontId="33" fillId="0" borderId="103" xfId="0" applyNumberFormat="1" applyFont="1" applyFill="1" applyBorder="1"/>
    <xf numFmtId="0" fontId="33" fillId="0" borderId="108" xfId="0" applyFont="1" applyFill="1" applyBorder="1"/>
    <xf numFmtId="0" fontId="33" fillId="0" borderId="106" xfId="0" applyFont="1" applyFill="1" applyBorder="1"/>
    <xf numFmtId="0" fontId="33" fillId="0" borderId="107" xfId="0" applyFont="1" applyFill="1" applyBorder="1"/>
    <xf numFmtId="3" fontId="33" fillId="0" borderId="100" xfId="0" applyNumberFormat="1" applyFont="1" applyFill="1" applyBorder="1"/>
    <xf numFmtId="3" fontId="33" fillId="0" borderId="90" xfId="0" applyNumberFormat="1" applyFont="1" applyFill="1" applyBorder="1"/>
    <xf numFmtId="3" fontId="33" fillId="0" borderId="98" xfId="0" applyNumberFormat="1" applyFont="1" applyFill="1" applyBorder="1"/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" fillId="2" borderId="131" xfId="80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33" fillId="0" borderId="136" xfId="0" applyFont="1" applyFill="1" applyBorder="1"/>
    <xf numFmtId="0" fontId="33" fillId="0" borderId="137" xfId="0" applyFont="1" applyFill="1" applyBorder="1"/>
    <xf numFmtId="0" fontId="33" fillId="0" borderId="137" xfId="0" applyFont="1" applyFill="1" applyBorder="1" applyAlignment="1">
      <alignment horizontal="right"/>
    </xf>
    <xf numFmtId="0" fontId="33" fillId="0" borderId="137" xfId="0" applyFont="1" applyFill="1" applyBorder="1" applyAlignment="1">
      <alignment horizontal="left"/>
    </xf>
    <xf numFmtId="164" fontId="33" fillId="0" borderId="137" xfId="0" applyNumberFormat="1" applyFont="1" applyFill="1" applyBorder="1"/>
    <xf numFmtId="165" fontId="33" fillId="0" borderId="137" xfId="0" applyNumberFormat="1" applyFont="1" applyFill="1" applyBorder="1"/>
    <xf numFmtId="9" fontId="33" fillId="0" borderId="137" xfId="0" applyNumberFormat="1" applyFont="1" applyFill="1" applyBorder="1"/>
    <xf numFmtId="9" fontId="33" fillId="0" borderId="138" xfId="0" applyNumberFormat="1" applyFont="1" applyFill="1" applyBorder="1"/>
    <xf numFmtId="0" fontId="40" fillId="2" borderId="52" xfId="0" applyFont="1" applyFill="1" applyBorder="1"/>
    <xf numFmtId="3" fontId="40" fillId="2" borderId="128" xfId="0" applyNumberFormat="1" applyFont="1" applyFill="1" applyBorder="1"/>
    <xf numFmtId="9" fontId="40" fillId="2" borderId="72" xfId="0" applyNumberFormat="1" applyFont="1" applyFill="1" applyBorder="1"/>
    <xf numFmtId="3" fontId="40" fillId="2" borderId="66" xfId="0" applyNumberFormat="1" applyFont="1" applyFill="1" applyBorder="1"/>
    <xf numFmtId="3" fontId="33" fillId="0" borderId="25" xfId="0" applyNumberFormat="1" applyFont="1" applyFill="1" applyBorder="1"/>
    <xf numFmtId="3" fontId="33" fillId="0" borderId="137" xfId="0" applyNumberFormat="1" applyFont="1" applyFill="1" applyBorder="1"/>
    <xf numFmtId="3" fontId="33" fillId="0" borderId="138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3" fontId="33" fillId="0" borderId="140" xfId="0" applyNumberFormat="1" applyFont="1" applyFill="1" applyBorder="1"/>
    <xf numFmtId="9" fontId="33" fillId="0" borderId="140" xfId="0" applyNumberFormat="1" applyFont="1" applyFill="1" applyBorder="1"/>
    <xf numFmtId="3" fontId="33" fillId="0" borderId="141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6" xfId="0" applyFont="1" applyFill="1" applyBorder="1"/>
    <xf numFmtId="0" fontId="40" fillId="0" borderId="139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6" xfId="0" applyFont="1" applyFill="1" applyBorder="1"/>
    <xf numFmtId="0" fontId="40" fillId="2" borderId="127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3" fillId="0" borderId="29" xfId="0" applyNumberFormat="1" applyFont="1" applyFill="1" applyBorder="1" applyAlignment="1">
      <alignment horizontal="right"/>
    </xf>
    <xf numFmtId="164" fontId="33" fillId="0" borderId="137" xfId="0" applyNumberFormat="1" applyFont="1" applyFill="1" applyBorder="1" applyAlignment="1">
      <alignment horizontal="right"/>
    </xf>
    <xf numFmtId="164" fontId="33" fillId="0" borderId="134" xfId="0" applyNumberFormat="1" applyFont="1" applyFill="1" applyBorder="1" applyAlignment="1">
      <alignment horizontal="right"/>
    </xf>
    <xf numFmtId="173" fontId="40" fillId="4" borderId="145" xfId="0" applyNumberFormat="1" applyFont="1" applyFill="1" applyBorder="1" applyAlignment="1">
      <alignment horizontal="center"/>
    </xf>
    <xf numFmtId="173" fontId="40" fillId="4" borderId="146" xfId="0" applyNumberFormat="1" applyFont="1" applyFill="1" applyBorder="1" applyAlignment="1">
      <alignment horizontal="center"/>
    </xf>
    <xf numFmtId="173" fontId="33" fillId="0" borderId="147" xfId="0" applyNumberFormat="1" applyFont="1" applyBorder="1" applyAlignment="1">
      <alignment horizontal="right"/>
    </xf>
    <xf numFmtId="173" fontId="33" fillId="0" borderId="148" xfId="0" applyNumberFormat="1" applyFont="1" applyBorder="1" applyAlignment="1">
      <alignment horizontal="right"/>
    </xf>
    <xf numFmtId="173" fontId="33" fillId="0" borderId="148" xfId="0" applyNumberFormat="1" applyFont="1" applyBorder="1" applyAlignment="1">
      <alignment horizontal="right" wrapText="1"/>
    </xf>
    <xf numFmtId="175" fontId="33" fillId="0" borderId="147" xfId="0" applyNumberFormat="1" applyFont="1" applyBorder="1" applyAlignment="1">
      <alignment horizontal="right"/>
    </xf>
    <xf numFmtId="175" fontId="33" fillId="0" borderId="148" xfId="0" applyNumberFormat="1" applyFont="1" applyBorder="1" applyAlignment="1">
      <alignment horizontal="right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40" fillId="2" borderId="104" xfId="0" applyFont="1" applyFill="1" applyBorder="1" applyAlignment="1">
      <alignment horizontal="center" vertical="center"/>
    </xf>
    <xf numFmtId="0" fontId="56" fillId="2" borderId="144" xfId="0" applyFont="1" applyFill="1" applyBorder="1" applyAlignment="1">
      <alignment horizontal="center" vertical="center" wrapText="1"/>
    </xf>
    <xf numFmtId="174" fontId="33" fillId="2" borderId="104" xfId="0" applyNumberFormat="1" applyFont="1" applyFill="1" applyBorder="1" applyAlignment="1"/>
    <xf numFmtId="174" fontId="33" fillId="0" borderId="143" xfId="0" applyNumberFormat="1" applyFont="1" applyBorder="1"/>
    <xf numFmtId="174" fontId="33" fillId="0" borderId="151" xfId="0" applyNumberFormat="1" applyFont="1" applyBorder="1"/>
    <xf numFmtId="173" fontId="40" fillId="4" borderId="104" xfId="0" applyNumberFormat="1" applyFont="1" applyFill="1" applyBorder="1" applyAlignment="1"/>
    <xf numFmtId="173" fontId="33" fillId="0" borderId="143" xfId="0" applyNumberFormat="1" applyFont="1" applyBorder="1"/>
    <xf numFmtId="173" fontId="33" fillId="0" borderId="144" xfId="0" applyNumberFormat="1" applyFont="1" applyBorder="1"/>
    <xf numFmtId="173" fontId="40" fillId="2" borderId="104" xfId="0" applyNumberFormat="1" applyFont="1" applyFill="1" applyBorder="1" applyAlignment="1"/>
    <xf numFmtId="173" fontId="33" fillId="0" borderId="151" xfId="0" applyNumberFormat="1" applyFont="1" applyBorder="1"/>
    <xf numFmtId="173" fontId="33" fillId="0" borderId="104" xfId="0" applyNumberFormat="1" applyFont="1" applyBorder="1"/>
    <xf numFmtId="9" fontId="33" fillId="0" borderId="143" xfId="0" applyNumberFormat="1" applyFont="1" applyBorder="1"/>
    <xf numFmtId="173" fontId="40" fillId="4" borderId="152" xfId="0" applyNumberFormat="1" applyFont="1" applyFill="1" applyBorder="1" applyAlignment="1">
      <alignment horizontal="center"/>
    </xf>
    <xf numFmtId="173" fontId="33" fillId="0" borderId="153" xfId="0" applyNumberFormat="1" applyFont="1" applyBorder="1" applyAlignment="1">
      <alignment horizontal="right"/>
    </xf>
    <xf numFmtId="175" fontId="33" fillId="0" borderId="153" xfId="0" applyNumberFormat="1" applyFont="1" applyBorder="1" applyAlignment="1">
      <alignment horizontal="right"/>
    </xf>
    <xf numFmtId="173" fontId="33" fillId="0" borderId="154" xfId="0" applyNumberFormat="1" applyFont="1" applyBorder="1" applyAlignment="1">
      <alignment horizontal="right"/>
    </xf>
    <xf numFmtId="0" fontId="0" fillId="0" borderId="15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5" xfId="0" applyNumberFormat="1" applyFont="1" applyBorder="1" applyAlignment="1">
      <alignment horizontal="right"/>
    </xf>
    <xf numFmtId="175" fontId="33" fillId="0" borderId="155" xfId="0" applyNumberFormat="1" applyFont="1" applyBorder="1" applyAlignment="1">
      <alignment horizontal="right"/>
    </xf>
    <xf numFmtId="173" fontId="33" fillId="0" borderId="142" xfId="0" applyNumberFormat="1" applyFont="1" applyBorder="1" applyAlignment="1">
      <alignment horizontal="right"/>
    </xf>
    <xf numFmtId="0" fontId="33" fillId="2" borderId="66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78" xfId="0" applyNumberFormat="1" applyFont="1" applyFill="1" applyBorder="1"/>
    <xf numFmtId="169" fontId="33" fillId="0" borderId="137" xfId="0" applyNumberFormat="1" applyFont="1" applyFill="1" applyBorder="1"/>
    <xf numFmtId="169" fontId="33" fillId="0" borderId="134" xfId="0" applyNumberFormat="1" applyFont="1" applyFill="1" applyBorder="1"/>
    <xf numFmtId="0" fontId="40" fillId="0" borderId="133" xfId="0" applyFont="1" applyFill="1" applyBorder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38" xfId="0" applyNumberFormat="1" applyFont="1" applyFill="1" applyBorder="1"/>
    <xf numFmtId="169" fontId="33" fillId="0" borderId="135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2.4632184826932533</c:v>
                </c:pt>
                <c:pt idx="1">
                  <c:v>3.0890118691745063</c:v>
                </c:pt>
                <c:pt idx="2">
                  <c:v>2.738605454035365</c:v>
                </c:pt>
                <c:pt idx="3">
                  <c:v>2.8846120588841817</c:v>
                </c:pt>
                <c:pt idx="4">
                  <c:v>2.7732700888439656</c:v>
                </c:pt>
                <c:pt idx="5">
                  <c:v>3.0482787477934363</c:v>
                </c:pt>
                <c:pt idx="6">
                  <c:v>3.2386905940965165</c:v>
                </c:pt>
                <c:pt idx="7">
                  <c:v>3.3514878996856274</c:v>
                </c:pt>
                <c:pt idx="8">
                  <c:v>3.3113391944603814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87032"/>
        <c:axId val="4393104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2.3014549119868972</c:v>
                </c:pt>
                <c:pt idx="1">
                  <c:v>2.3014549119868972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301400"/>
        <c:axId val="248636424"/>
      </c:scatterChart>
      <c:catAx>
        <c:axId val="438487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931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10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38487032"/>
        <c:crosses val="autoZero"/>
        <c:crossBetween val="between"/>
      </c:valAx>
      <c:valAx>
        <c:axId val="439301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48636424"/>
        <c:crosses val="max"/>
        <c:crossBetween val="midCat"/>
      </c:valAx>
      <c:valAx>
        <c:axId val="2486364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393014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4" t="s">
        <v>277</v>
      </c>
      <c r="B2" s="46"/>
    </row>
    <row r="3" spans="1:3" ht="14.4" customHeight="1" thickBot="1" x14ac:dyDescent="0.35">
      <c r="A3" s="321" t="s">
        <v>140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279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7" t="str">
        <f t="shared" ref="A12:A21" si="2">HYPERLINK("#'"&amp;C12&amp;"'!A1",C12)</f>
        <v>LŽ Detail</v>
      </c>
      <c r="B12" s="90" t="s">
        <v>161</v>
      </c>
      <c r="C12" s="47" t="s">
        <v>115</v>
      </c>
    </row>
    <row r="13" spans="1:3" ht="14.4" customHeight="1" x14ac:dyDescent="0.3">
      <c r="A13" s="147" t="str">
        <f t="shared" si="2"/>
        <v>LŽ Statim</v>
      </c>
      <c r="B13" s="308" t="s">
        <v>240</v>
      </c>
      <c r="C13" s="47" t="s">
        <v>250</v>
      </c>
    </row>
    <row r="14" spans="1:3" ht="14.4" customHeight="1" x14ac:dyDescent="0.3">
      <c r="A14" s="147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7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7" t="str">
        <f t="shared" si="2"/>
        <v>LRp Detail</v>
      </c>
      <c r="B16" s="90" t="s">
        <v>669</v>
      </c>
      <c r="C16" s="47" t="s">
        <v>117</v>
      </c>
    </row>
    <row r="17" spans="1:3" ht="28.8" customHeight="1" x14ac:dyDescent="0.3">
      <c r="A17" s="147" t="str">
        <f t="shared" si="2"/>
        <v>LRp PL</v>
      </c>
      <c r="B17" s="561" t="s">
        <v>670</v>
      </c>
      <c r="C17" s="47" t="s">
        <v>143</v>
      </c>
    </row>
    <row r="18" spans="1:3" ht="14.4" customHeight="1" x14ac:dyDescent="0.3">
      <c r="A18" s="147" t="str">
        <f>HYPERLINK("#'"&amp;C18&amp;"'!A1",C18)</f>
        <v>LRp PL Detail</v>
      </c>
      <c r="B18" s="90" t="s">
        <v>681</v>
      </c>
      <c r="C18" s="47" t="s">
        <v>144</v>
      </c>
    </row>
    <row r="19" spans="1:3" ht="14.4" customHeight="1" x14ac:dyDescent="0.3">
      <c r="A19" s="149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7" t="str">
        <f t="shared" si="2"/>
        <v>MŽ Detail</v>
      </c>
      <c r="B20" s="90" t="s">
        <v>1055</v>
      </c>
      <c r="C20" s="47" t="s">
        <v>119</v>
      </c>
    </row>
    <row r="21" spans="1:3" ht="14.4" customHeight="1" thickBot="1" x14ac:dyDescent="0.35">
      <c r="A21" s="149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4" t="s">
        <v>110</v>
      </c>
      <c r="B23" s="322"/>
    </row>
    <row r="24" spans="1:3" ht="14.4" customHeight="1" x14ac:dyDescent="0.3">
      <c r="A24" s="150" t="str">
        <f t="shared" ref="A24:A28" si="4">HYPERLINK("#'"&amp;C24&amp;"'!A1",C24)</f>
        <v>ZV Vykáz.-A</v>
      </c>
      <c r="B24" s="89" t="s">
        <v>1061</v>
      </c>
      <c r="C24" s="47" t="s">
        <v>123</v>
      </c>
    </row>
    <row r="25" spans="1:3" ht="14.4" customHeight="1" x14ac:dyDescent="0.3">
      <c r="A25" s="147" t="str">
        <f t="shared" ref="A25" si="5">HYPERLINK("#'"&amp;C25&amp;"'!A1",C25)</f>
        <v>ZV Vykáz.-A Lékaři</v>
      </c>
      <c r="B25" s="90" t="s">
        <v>1070</v>
      </c>
      <c r="C25" s="47" t="s">
        <v>253</v>
      </c>
    </row>
    <row r="26" spans="1:3" ht="14.4" customHeight="1" x14ac:dyDescent="0.3">
      <c r="A26" s="147" t="str">
        <f t="shared" si="4"/>
        <v>ZV Vykáz.-A Detail</v>
      </c>
      <c r="B26" s="90" t="s">
        <v>1171</v>
      </c>
      <c r="C26" s="47" t="s">
        <v>124</v>
      </c>
    </row>
    <row r="27" spans="1:3" ht="14.4" customHeight="1" x14ac:dyDescent="0.3">
      <c r="A27" s="147" t="str">
        <f t="shared" si="4"/>
        <v>ZV Vykáz.-H</v>
      </c>
      <c r="B27" s="90" t="s">
        <v>127</v>
      </c>
      <c r="C27" s="47" t="s">
        <v>125</v>
      </c>
    </row>
    <row r="28" spans="1:3" ht="14.4" customHeight="1" x14ac:dyDescent="0.3">
      <c r="A28" s="147" t="str">
        <f t="shared" si="4"/>
        <v>ZV Vykáz.-H Detail</v>
      </c>
      <c r="B28" s="90" t="s">
        <v>1196</v>
      </c>
      <c r="C28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138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4" t="s">
        <v>277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145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6">
        <v>28</v>
      </c>
      <c r="B5" s="447" t="s">
        <v>499</v>
      </c>
      <c r="C5" s="450">
        <v>17213.16</v>
      </c>
      <c r="D5" s="450">
        <v>34</v>
      </c>
      <c r="E5" s="450">
        <v>4985.59</v>
      </c>
      <c r="F5" s="498">
        <v>0.28963827676033921</v>
      </c>
      <c r="G5" s="450">
        <v>26</v>
      </c>
      <c r="H5" s="498">
        <v>0.76470588235294112</v>
      </c>
      <c r="I5" s="450">
        <v>12227.57</v>
      </c>
      <c r="J5" s="498">
        <v>0.71036172323966085</v>
      </c>
      <c r="K5" s="450">
        <v>8</v>
      </c>
      <c r="L5" s="498">
        <v>0.23529411764705882</v>
      </c>
      <c r="M5" s="450" t="s">
        <v>69</v>
      </c>
      <c r="N5" s="151"/>
    </row>
    <row r="6" spans="1:14" ht="14.4" customHeight="1" x14ac:dyDescent="0.3">
      <c r="A6" s="446">
        <v>28</v>
      </c>
      <c r="B6" s="447" t="s">
        <v>506</v>
      </c>
      <c r="C6" s="450">
        <v>17213.16</v>
      </c>
      <c r="D6" s="450">
        <v>34</v>
      </c>
      <c r="E6" s="450">
        <v>4985.59</v>
      </c>
      <c r="F6" s="498">
        <v>0.28963827676033921</v>
      </c>
      <c r="G6" s="450">
        <v>26</v>
      </c>
      <c r="H6" s="498">
        <v>0.76470588235294112</v>
      </c>
      <c r="I6" s="450">
        <v>12227.57</v>
      </c>
      <c r="J6" s="498">
        <v>0.71036172323966085</v>
      </c>
      <c r="K6" s="450">
        <v>8</v>
      </c>
      <c r="L6" s="498">
        <v>0.23529411764705882</v>
      </c>
      <c r="M6" s="450" t="s">
        <v>1</v>
      </c>
      <c r="N6" s="151"/>
    </row>
    <row r="7" spans="1:14" ht="14.4" customHeight="1" x14ac:dyDescent="0.3">
      <c r="A7" s="446" t="s">
        <v>463</v>
      </c>
      <c r="B7" s="447" t="s">
        <v>3</v>
      </c>
      <c r="C7" s="450">
        <v>17213.16</v>
      </c>
      <c r="D7" s="450">
        <v>34</v>
      </c>
      <c r="E7" s="450">
        <v>4985.59</v>
      </c>
      <c r="F7" s="498">
        <v>0.28963827676033921</v>
      </c>
      <c r="G7" s="450">
        <v>26</v>
      </c>
      <c r="H7" s="498">
        <v>0.76470588235294112</v>
      </c>
      <c r="I7" s="450">
        <v>12227.57</v>
      </c>
      <c r="J7" s="498">
        <v>0.71036172323966085</v>
      </c>
      <c r="K7" s="450">
        <v>8</v>
      </c>
      <c r="L7" s="498">
        <v>0.23529411764705882</v>
      </c>
      <c r="M7" s="450" t="s">
        <v>467</v>
      </c>
      <c r="N7" s="151"/>
    </row>
    <row r="9" spans="1:14" ht="14.4" customHeight="1" x14ac:dyDescent="0.3">
      <c r="A9" s="446">
        <v>28</v>
      </c>
      <c r="B9" s="447" t="s">
        <v>499</v>
      </c>
      <c r="C9" s="450" t="s">
        <v>465</v>
      </c>
      <c r="D9" s="450" t="s">
        <v>465</v>
      </c>
      <c r="E9" s="450" t="s">
        <v>465</v>
      </c>
      <c r="F9" s="498" t="s">
        <v>465</v>
      </c>
      <c r="G9" s="450" t="s">
        <v>465</v>
      </c>
      <c r="H9" s="498" t="s">
        <v>465</v>
      </c>
      <c r="I9" s="450" t="s">
        <v>465</v>
      </c>
      <c r="J9" s="498" t="s">
        <v>465</v>
      </c>
      <c r="K9" s="450" t="s">
        <v>465</v>
      </c>
      <c r="L9" s="498" t="s">
        <v>465</v>
      </c>
      <c r="M9" s="450" t="s">
        <v>69</v>
      </c>
      <c r="N9" s="151"/>
    </row>
    <row r="10" spans="1:14" ht="14.4" customHeight="1" x14ac:dyDescent="0.3">
      <c r="A10" s="446" t="s">
        <v>507</v>
      </c>
      <c r="B10" s="447" t="s">
        <v>506</v>
      </c>
      <c r="C10" s="450">
        <v>17213.16</v>
      </c>
      <c r="D10" s="450">
        <v>34</v>
      </c>
      <c r="E10" s="450">
        <v>4985.59</v>
      </c>
      <c r="F10" s="498">
        <v>0.28963827676033921</v>
      </c>
      <c r="G10" s="450">
        <v>26</v>
      </c>
      <c r="H10" s="498">
        <v>0.76470588235294112</v>
      </c>
      <c r="I10" s="450">
        <v>12227.57</v>
      </c>
      <c r="J10" s="498">
        <v>0.71036172323966085</v>
      </c>
      <c r="K10" s="450">
        <v>8</v>
      </c>
      <c r="L10" s="498">
        <v>0.23529411764705882</v>
      </c>
      <c r="M10" s="450" t="s">
        <v>1</v>
      </c>
      <c r="N10" s="151"/>
    </row>
    <row r="11" spans="1:14" ht="14.4" customHeight="1" x14ac:dyDescent="0.3">
      <c r="A11" s="446" t="s">
        <v>507</v>
      </c>
      <c r="B11" s="447" t="s">
        <v>508</v>
      </c>
      <c r="C11" s="450">
        <v>17213.16</v>
      </c>
      <c r="D11" s="450">
        <v>34</v>
      </c>
      <c r="E11" s="450">
        <v>4985.59</v>
      </c>
      <c r="F11" s="498">
        <v>0.28963827676033921</v>
      </c>
      <c r="G11" s="450">
        <v>26</v>
      </c>
      <c r="H11" s="498">
        <v>0.76470588235294112</v>
      </c>
      <c r="I11" s="450">
        <v>12227.57</v>
      </c>
      <c r="J11" s="498">
        <v>0.71036172323966085</v>
      </c>
      <c r="K11" s="450">
        <v>8</v>
      </c>
      <c r="L11" s="498">
        <v>0.23529411764705882</v>
      </c>
      <c r="M11" s="450" t="s">
        <v>471</v>
      </c>
      <c r="N11" s="151"/>
    </row>
    <row r="12" spans="1:14" ht="14.4" customHeight="1" x14ac:dyDescent="0.3">
      <c r="A12" s="446" t="s">
        <v>465</v>
      </c>
      <c r="B12" s="447" t="s">
        <v>465</v>
      </c>
      <c r="C12" s="450" t="s">
        <v>465</v>
      </c>
      <c r="D12" s="450" t="s">
        <v>465</v>
      </c>
      <c r="E12" s="450" t="s">
        <v>465</v>
      </c>
      <c r="F12" s="498" t="s">
        <v>465</v>
      </c>
      <c r="G12" s="450" t="s">
        <v>465</v>
      </c>
      <c r="H12" s="498" t="s">
        <v>465</v>
      </c>
      <c r="I12" s="450" t="s">
        <v>465</v>
      </c>
      <c r="J12" s="498" t="s">
        <v>465</v>
      </c>
      <c r="K12" s="450" t="s">
        <v>465</v>
      </c>
      <c r="L12" s="498" t="s">
        <v>465</v>
      </c>
      <c r="M12" s="450" t="s">
        <v>472</v>
      </c>
      <c r="N12" s="151"/>
    </row>
    <row r="13" spans="1:14" ht="14.4" customHeight="1" x14ac:dyDescent="0.3">
      <c r="A13" s="446" t="s">
        <v>463</v>
      </c>
      <c r="B13" s="447" t="s">
        <v>509</v>
      </c>
      <c r="C13" s="450">
        <v>17213.16</v>
      </c>
      <c r="D13" s="450">
        <v>34</v>
      </c>
      <c r="E13" s="450">
        <v>4985.59</v>
      </c>
      <c r="F13" s="498">
        <v>0.28963827676033921</v>
      </c>
      <c r="G13" s="450">
        <v>26</v>
      </c>
      <c r="H13" s="498">
        <v>0.76470588235294112</v>
      </c>
      <c r="I13" s="450">
        <v>12227.57</v>
      </c>
      <c r="J13" s="498">
        <v>0.71036172323966085</v>
      </c>
      <c r="K13" s="450">
        <v>8</v>
      </c>
      <c r="L13" s="498">
        <v>0.23529411764705882</v>
      </c>
      <c r="M13" s="450" t="s">
        <v>467</v>
      </c>
      <c r="N13" s="151"/>
    </row>
    <row r="14" spans="1:14" ht="14.4" customHeight="1" x14ac:dyDescent="0.3">
      <c r="A14" s="499" t="s">
        <v>510</v>
      </c>
    </row>
    <row r="15" spans="1:14" ht="14.4" customHeight="1" x14ac:dyDescent="0.3">
      <c r="A15" s="500" t="s">
        <v>511</v>
      </c>
    </row>
    <row r="16" spans="1:14" ht="14.4" customHeight="1" x14ac:dyDescent="0.3">
      <c r="A16" s="499" t="s">
        <v>512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146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4" t="s">
        <v>277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145</v>
      </c>
      <c r="K3" s="379"/>
      <c r="L3" s="379"/>
      <c r="M3" s="381"/>
    </row>
    <row r="4" spans="1:13" ht="14.4" customHeight="1" thickBot="1" x14ac:dyDescent="0.35">
      <c r="A4" s="474" t="s">
        <v>135</v>
      </c>
      <c r="B4" s="475" t="s">
        <v>19</v>
      </c>
      <c r="C4" s="504"/>
      <c r="D4" s="475" t="s">
        <v>20</v>
      </c>
      <c r="E4" s="504"/>
      <c r="F4" s="475" t="s">
        <v>19</v>
      </c>
      <c r="G4" s="478" t="s">
        <v>2</v>
      </c>
      <c r="H4" s="475" t="s">
        <v>20</v>
      </c>
      <c r="I4" s="478" t="s">
        <v>2</v>
      </c>
      <c r="J4" s="475" t="s">
        <v>19</v>
      </c>
      <c r="K4" s="478" t="s">
        <v>2</v>
      </c>
      <c r="L4" s="475" t="s">
        <v>20</v>
      </c>
      <c r="M4" s="479" t="s">
        <v>2</v>
      </c>
    </row>
    <row r="5" spans="1:13" ht="14.4" customHeight="1" x14ac:dyDescent="0.3">
      <c r="A5" s="501" t="s">
        <v>513</v>
      </c>
      <c r="B5" s="492">
        <v>12254.28</v>
      </c>
      <c r="C5" s="457">
        <v>1</v>
      </c>
      <c r="D5" s="505">
        <v>11</v>
      </c>
      <c r="E5" s="508" t="s">
        <v>513</v>
      </c>
      <c r="F5" s="492">
        <v>545.62</v>
      </c>
      <c r="G5" s="480">
        <v>4.4524851725274761E-2</v>
      </c>
      <c r="H5" s="460">
        <v>7</v>
      </c>
      <c r="I5" s="481">
        <v>0.63636363636363635</v>
      </c>
      <c r="J5" s="511">
        <v>11708.66</v>
      </c>
      <c r="K5" s="480">
        <v>0.95547514827472513</v>
      </c>
      <c r="L5" s="460">
        <v>4</v>
      </c>
      <c r="M5" s="481">
        <v>0.36363636363636365</v>
      </c>
    </row>
    <row r="6" spans="1:13" ht="14.4" customHeight="1" x14ac:dyDescent="0.3">
      <c r="A6" s="502" t="s">
        <v>514</v>
      </c>
      <c r="B6" s="493">
        <v>389.42</v>
      </c>
      <c r="C6" s="463">
        <v>1</v>
      </c>
      <c r="D6" s="506">
        <v>2</v>
      </c>
      <c r="E6" s="509" t="s">
        <v>514</v>
      </c>
      <c r="F6" s="493">
        <v>389.42</v>
      </c>
      <c r="G6" s="482">
        <v>1</v>
      </c>
      <c r="H6" s="466">
        <v>2</v>
      </c>
      <c r="I6" s="483">
        <v>1</v>
      </c>
      <c r="J6" s="512"/>
      <c r="K6" s="482">
        <v>0</v>
      </c>
      <c r="L6" s="466"/>
      <c r="M6" s="483">
        <v>0</v>
      </c>
    </row>
    <row r="7" spans="1:13" ht="14.4" customHeight="1" x14ac:dyDescent="0.3">
      <c r="A7" s="502" t="s">
        <v>515</v>
      </c>
      <c r="B7" s="493">
        <v>305.06</v>
      </c>
      <c r="C7" s="463">
        <v>1</v>
      </c>
      <c r="D7" s="506">
        <v>2</v>
      </c>
      <c r="E7" s="509" t="s">
        <v>515</v>
      </c>
      <c r="F7" s="493">
        <v>305.06</v>
      </c>
      <c r="G7" s="482">
        <v>1</v>
      </c>
      <c r="H7" s="466">
        <v>2</v>
      </c>
      <c r="I7" s="483">
        <v>1</v>
      </c>
      <c r="J7" s="512"/>
      <c r="K7" s="482">
        <v>0</v>
      </c>
      <c r="L7" s="466"/>
      <c r="M7" s="483">
        <v>0</v>
      </c>
    </row>
    <row r="8" spans="1:13" ht="14.4" customHeight="1" x14ac:dyDescent="0.3">
      <c r="A8" s="502" t="s">
        <v>516</v>
      </c>
      <c r="B8" s="493">
        <v>3134.5999999999995</v>
      </c>
      <c r="C8" s="463">
        <v>1</v>
      </c>
      <c r="D8" s="506">
        <v>9</v>
      </c>
      <c r="E8" s="509" t="s">
        <v>516</v>
      </c>
      <c r="F8" s="493">
        <v>3134.5999999999995</v>
      </c>
      <c r="G8" s="482">
        <v>1</v>
      </c>
      <c r="H8" s="466">
        <v>9</v>
      </c>
      <c r="I8" s="483">
        <v>1</v>
      </c>
      <c r="J8" s="512"/>
      <c r="K8" s="482">
        <v>0</v>
      </c>
      <c r="L8" s="466"/>
      <c r="M8" s="483">
        <v>0</v>
      </c>
    </row>
    <row r="9" spans="1:13" ht="14.4" customHeight="1" x14ac:dyDescent="0.3">
      <c r="A9" s="502" t="s">
        <v>517</v>
      </c>
      <c r="B9" s="493">
        <v>325.85000000000002</v>
      </c>
      <c r="C9" s="463">
        <v>1</v>
      </c>
      <c r="D9" s="506">
        <v>4</v>
      </c>
      <c r="E9" s="509" t="s">
        <v>517</v>
      </c>
      <c r="F9" s="493">
        <v>325.85000000000002</v>
      </c>
      <c r="G9" s="482">
        <v>1</v>
      </c>
      <c r="H9" s="466">
        <v>3</v>
      </c>
      <c r="I9" s="483">
        <v>0.75</v>
      </c>
      <c r="J9" s="512">
        <v>0</v>
      </c>
      <c r="K9" s="482">
        <v>0</v>
      </c>
      <c r="L9" s="466">
        <v>1</v>
      </c>
      <c r="M9" s="483">
        <v>0.25</v>
      </c>
    </row>
    <row r="10" spans="1:13" ht="14.4" customHeight="1" x14ac:dyDescent="0.3">
      <c r="A10" s="502" t="s">
        <v>518</v>
      </c>
      <c r="B10" s="493">
        <v>160.44999999999999</v>
      </c>
      <c r="C10" s="463">
        <v>1</v>
      </c>
      <c r="D10" s="506">
        <v>3</v>
      </c>
      <c r="E10" s="509" t="s">
        <v>518</v>
      </c>
      <c r="F10" s="493">
        <v>70.540000000000006</v>
      </c>
      <c r="G10" s="482">
        <v>0.43963851667186044</v>
      </c>
      <c r="H10" s="466">
        <v>2</v>
      </c>
      <c r="I10" s="483">
        <v>0.66666666666666663</v>
      </c>
      <c r="J10" s="512">
        <v>89.91</v>
      </c>
      <c r="K10" s="482">
        <v>0.56036148332813962</v>
      </c>
      <c r="L10" s="466">
        <v>1</v>
      </c>
      <c r="M10" s="483">
        <v>0.33333333333333331</v>
      </c>
    </row>
    <row r="11" spans="1:13" ht="14.4" customHeight="1" thickBot="1" x14ac:dyDescent="0.35">
      <c r="A11" s="503" t="s">
        <v>519</v>
      </c>
      <c r="B11" s="494">
        <v>643.5</v>
      </c>
      <c r="C11" s="469">
        <v>1</v>
      </c>
      <c r="D11" s="507">
        <v>3</v>
      </c>
      <c r="E11" s="510" t="s">
        <v>519</v>
      </c>
      <c r="F11" s="494">
        <v>214.5</v>
      </c>
      <c r="G11" s="484">
        <v>0.33333333333333331</v>
      </c>
      <c r="H11" s="472">
        <v>1</v>
      </c>
      <c r="I11" s="485">
        <v>0.33333333333333331</v>
      </c>
      <c r="J11" s="513">
        <v>429</v>
      </c>
      <c r="K11" s="484">
        <v>0.66666666666666663</v>
      </c>
      <c r="L11" s="472">
        <v>2</v>
      </c>
      <c r="M11" s="485">
        <v>0.66666666666666663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4" t="s">
        <v>669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4" t="s">
        <v>277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17213.160000000003</v>
      </c>
      <c r="N3" s="66">
        <f>SUBTOTAL(9,N7:N1048576)</f>
        <v>67</v>
      </c>
      <c r="O3" s="66">
        <f>SUBTOTAL(9,O7:O1048576)</f>
        <v>34</v>
      </c>
      <c r="P3" s="66">
        <f>SUBTOTAL(9,P7:P1048576)</f>
        <v>4985.5900000000011</v>
      </c>
      <c r="Q3" s="67">
        <f>IF(M3=0,0,P3/M3)</f>
        <v>0.28963827676033921</v>
      </c>
      <c r="R3" s="66">
        <f>SUBTOTAL(9,R7:R1048576)</f>
        <v>57</v>
      </c>
      <c r="S3" s="67">
        <f>IF(N3=0,0,R3/N3)</f>
        <v>0.85074626865671643</v>
      </c>
      <c r="T3" s="66">
        <f>SUBTOTAL(9,T7:T1048576)</f>
        <v>26</v>
      </c>
      <c r="U3" s="68">
        <f>IF(O3=0,0,T3/O3)</f>
        <v>0.76470588235294112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8" customFormat="1" ht="14.4" customHeight="1" thickBot="1" x14ac:dyDescent="0.35">
      <c r="A6" s="514" t="s">
        <v>23</v>
      </c>
      <c r="B6" s="515" t="s">
        <v>5</v>
      </c>
      <c r="C6" s="514" t="s">
        <v>24</v>
      </c>
      <c r="D6" s="515" t="s">
        <v>6</v>
      </c>
      <c r="E6" s="515" t="s">
        <v>148</v>
      </c>
      <c r="F6" s="515" t="s">
        <v>25</v>
      </c>
      <c r="G6" s="515" t="s">
        <v>26</v>
      </c>
      <c r="H6" s="515" t="s">
        <v>8</v>
      </c>
      <c r="I6" s="515" t="s">
        <v>10</v>
      </c>
      <c r="J6" s="515" t="s">
        <v>11</v>
      </c>
      <c r="K6" s="515" t="s">
        <v>12</v>
      </c>
      <c r="L6" s="515" t="s">
        <v>27</v>
      </c>
      <c r="M6" s="516" t="s">
        <v>14</v>
      </c>
      <c r="N6" s="517" t="s">
        <v>28</v>
      </c>
      <c r="O6" s="517" t="s">
        <v>28</v>
      </c>
      <c r="P6" s="517" t="s">
        <v>14</v>
      </c>
      <c r="Q6" s="517" t="s">
        <v>2</v>
      </c>
      <c r="R6" s="517" t="s">
        <v>28</v>
      </c>
      <c r="S6" s="517" t="s">
        <v>2</v>
      </c>
      <c r="T6" s="517" t="s">
        <v>28</v>
      </c>
      <c r="U6" s="518" t="s">
        <v>2</v>
      </c>
    </row>
    <row r="7" spans="1:21" ht="14.4" customHeight="1" x14ac:dyDescent="0.3">
      <c r="A7" s="519">
        <v>28</v>
      </c>
      <c r="B7" s="520" t="s">
        <v>499</v>
      </c>
      <c r="C7" s="520" t="s">
        <v>507</v>
      </c>
      <c r="D7" s="521" t="s">
        <v>667</v>
      </c>
      <c r="E7" s="522" t="s">
        <v>513</v>
      </c>
      <c r="F7" s="520" t="s">
        <v>506</v>
      </c>
      <c r="G7" s="520" t="s">
        <v>520</v>
      </c>
      <c r="H7" s="520" t="s">
        <v>465</v>
      </c>
      <c r="I7" s="520" t="s">
        <v>521</v>
      </c>
      <c r="J7" s="520" t="s">
        <v>522</v>
      </c>
      <c r="K7" s="520" t="s">
        <v>523</v>
      </c>
      <c r="L7" s="523">
        <v>0</v>
      </c>
      <c r="M7" s="523">
        <v>0</v>
      </c>
      <c r="N7" s="520">
        <v>2</v>
      </c>
      <c r="O7" s="524">
        <v>1</v>
      </c>
      <c r="P7" s="523">
        <v>0</v>
      </c>
      <c r="Q7" s="525"/>
      <c r="R7" s="520">
        <v>2</v>
      </c>
      <c r="S7" s="525">
        <v>1</v>
      </c>
      <c r="T7" s="524">
        <v>1</v>
      </c>
      <c r="U7" s="122">
        <v>1</v>
      </c>
    </row>
    <row r="8" spans="1:21" ht="14.4" customHeight="1" x14ac:dyDescent="0.3">
      <c r="A8" s="534">
        <v>28</v>
      </c>
      <c r="B8" s="535" t="s">
        <v>499</v>
      </c>
      <c r="C8" s="535" t="s">
        <v>507</v>
      </c>
      <c r="D8" s="536" t="s">
        <v>667</v>
      </c>
      <c r="E8" s="537" t="s">
        <v>513</v>
      </c>
      <c r="F8" s="535" t="s">
        <v>506</v>
      </c>
      <c r="G8" s="535" t="s">
        <v>524</v>
      </c>
      <c r="H8" s="535" t="s">
        <v>465</v>
      </c>
      <c r="I8" s="535" t="s">
        <v>525</v>
      </c>
      <c r="J8" s="535" t="s">
        <v>526</v>
      </c>
      <c r="K8" s="535" t="s">
        <v>527</v>
      </c>
      <c r="L8" s="538">
        <v>63.7</v>
      </c>
      <c r="M8" s="538">
        <v>63.7</v>
      </c>
      <c r="N8" s="535">
        <v>1</v>
      </c>
      <c r="O8" s="539">
        <v>0.5</v>
      </c>
      <c r="P8" s="538">
        <v>63.7</v>
      </c>
      <c r="Q8" s="540">
        <v>1</v>
      </c>
      <c r="R8" s="535">
        <v>1</v>
      </c>
      <c r="S8" s="540">
        <v>1</v>
      </c>
      <c r="T8" s="539">
        <v>0.5</v>
      </c>
      <c r="U8" s="541">
        <v>1</v>
      </c>
    </row>
    <row r="9" spans="1:21" ht="14.4" customHeight="1" x14ac:dyDescent="0.3">
      <c r="A9" s="534">
        <v>28</v>
      </c>
      <c r="B9" s="535" t="s">
        <v>499</v>
      </c>
      <c r="C9" s="535" t="s">
        <v>507</v>
      </c>
      <c r="D9" s="536" t="s">
        <v>667</v>
      </c>
      <c r="E9" s="537" t="s">
        <v>513</v>
      </c>
      <c r="F9" s="535" t="s">
        <v>506</v>
      </c>
      <c r="G9" s="535" t="s">
        <v>528</v>
      </c>
      <c r="H9" s="535" t="s">
        <v>465</v>
      </c>
      <c r="I9" s="535" t="s">
        <v>529</v>
      </c>
      <c r="J9" s="535" t="s">
        <v>530</v>
      </c>
      <c r="K9" s="535" t="s">
        <v>531</v>
      </c>
      <c r="L9" s="538">
        <v>156.77000000000001</v>
      </c>
      <c r="M9" s="538">
        <v>156.77000000000001</v>
      </c>
      <c r="N9" s="535">
        <v>1</v>
      </c>
      <c r="O9" s="539">
        <v>0.5</v>
      </c>
      <c r="P9" s="538">
        <v>156.77000000000001</v>
      </c>
      <c r="Q9" s="540">
        <v>1</v>
      </c>
      <c r="R9" s="535">
        <v>1</v>
      </c>
      <c r="S9" s="540">
        <v>1</v>
      </c>
      <c r="T9" s="539">
        <v>0.5</v>
      </c>
      <c r="U9" s="541">
        <v>1</v>
      </c>
    </row>
    <row r="10" spans="1:21" ht="14.4" customHeight="1" x14ac:dyDescent="0.3">
      <c r="A10" s="534">
        <v>28</v>
      </c>
      <c r="B10" s="535" t="s">
        <v>499</v>
      </c>
      <c r="C10" s="535" t="s">
        <v>507</v>
      </c>
      <c r="D10" s="536" t="s">
        <v>667</v>
      </c>
      <c r="E10" s="537" t="s">
        <v>513</v>
      </c>
      <c r="F10" s="535" t="s">
        <v>506</v>
      </c>
      <c r="G10" s="535" t="s">
        <v>532</v>
      </c>
      <c r="H10" s="535" t="s">
        <v>465</v>
      </c>
      <c r="I10" s="535" t="s">
        <v>533</v>
      </c>
      <c r="J10" s="535" t="s">
        <v>534</v>
      </c>
      <c r="K10" s="535" t="s">
        <v>535</v>
      </c>
      <c r="L10" s="538">
        <v>55.58</v>
      </c>
      <c r="M10" s="538">
        <v>55.58</v>
      </c>
      <c r="N10" s="535">
        <v>1</v>
      </c>
      <c r="O10" s="539">
        <v>0.5</v>
      </c>
      <c r="P10" s="538">
        <v>55.58</v>
      </c>
      <c r="Q10" s="540">
        <v>1</v>
      </c>
      <c r="R10" s="535">
        <v>1</v>
      </c>
      <c r="S10" s="540">
        <v>1</v>
      </c>
      <c r="T10" s="539">
        <v>0.5</v>
      </c>
      <c r="U10" s="541">
        <v>1</v>
      </c>
    </row>
    <row r="11" spans="1:21" ht="14.4" customHeight="1" x14ac:dyDescent="0.3">
      <c r="A11" s="534">
        <v>28</v>
      </c>
      <c r="B11" s="535" t="s">
        <v>499</v>
      </c>
      <c r="C11" s="535" t="s">
        <v>507</v>
      </c>
      <c r="D11" s="536" t="s">
        <v>667</v>
      </c>
      <c r="E11" s="537" t="s">
        <v>513</v>
      </c>
      <c r="F11" s="535" t="s">
        <v>506</v>
      </c>
      <c r="G11" s="535" t="s">
        <v>536</v>
      </c>
      <c r="H11" s="535" t="s">
        <v>465</v>
      </c>
      <c r="I11" s="535" t="s">
        <v>537</v>
      </c>
      <c r="J11" s="535" t="s">
        <v>538</v>
      </c>
      <c r="K11" s="535" t="s">
        <v>539</v>
      </c>
      <c r="L11" s="538">
        <v>63.75</v>
      </c>
      <c r="M11" s="538">
        <v>63.75</v>
      </c>
      <c r="N11" s="535">
        <v>1</v>
      </c>
      <c r="O11" s="539">
        <v>0.5</v>
      </c>
      <c r="P11" s="538"/>
      <c r="Q11" s="540">
        <v>0</v>
      </c>
      <c r="R11" s="535"/>
      <c r="S11" s="540">
        <v>0</v>
      </c>
      <c r="T11" s="539"/>
      <c r="U11" s="541">
        <v>0</v>
      </c>
    </row>
    <row r="12" spans="1:21" ht="14.4" customHeight="1" x14ac:dyDescent="0.3">
      <c r="A12" s="534">
        <v>28</v>
      </c>
      <c r="B12" s="535" t="s">
        <v>499</v>
      </c>
      <c r="C12" s="535" t="s">
        <v>507</v>
      </c>
      <c r="D12" s="536" t="s">
        <v>667</v>
      </c>
      <c r="E12" s="537" t="s">
        <v>513</v>
      </c>
      <c r="F12" s="535" t="s">
        <v>506</v>
      </c>
      <c r="G12" s="535" t="s">
        <v>540</v>
      </c>
      <c r="H12" s="535" t="s">
        <v>465</v>
      </c>
      <c r="I12" s="535" t="s">
        <v>541</v>
      </c>
      <c r="J12" s="535" t="s">
        <v>542</v>
      </c>
      <c r="K12" s="535" t="s">
        <v>543</v>
      </c>
      <c r="L12" s="538">
        <v>26.9</v>
      </c>
      <c r="M12" s="538">
        <v>53.8</v>
      </c>
      <c r="N12" s="535">
        <v>2</v>
      </c>
      <c r="O12" s="539">
        <v>0.5</v>
      </c>
      <c r="P12" s="538">
        <v>53.8</v>
      </c>
      <c r="Q12" s="540">
        <v>1</v>
      </c>
      <c r="R12" s="535">
        <v>2</v>
      </c>
      <c r="S12" s="540">
        <v>1</v>
      </c>
      <c r="T12" s="539">
        <v>0.5</v>
      </c>
      <c r="U12" s="541">
        <v>1</v>
      </c>
    </row>
    <row r="13" spans="1:21" ht="14.4" customHeight="1" x14ac:dyDescent="0.3">
      <c r="A13" s="534">
        <v>28</v>
      </c>
      <c r="B13" s="535" t="s">
        <v>499</v>
      </c>
      <c r="C13" s="535" t="s">
        <v>507</v>
      </c>
      <c r="D13" s="536" t="s">
        <v>667</v>
      </c>
      <c r="E13" s="537" t="s">
        <v>513</v>
      </c>
      <c r="F13" s="535" t="s">
        <v>506</v>
      </c>
      <c r="G13" s="535" t="s">
        <v>544</v>
      </c>
      <c r="H13" s="535" t="s">
        <v>465</v>
      </c>
      <c r="I13" s="535" t="s">
        <v>545</v>
      </c>
      <c r="J13" s="535" t="s">
        <v>546</v>
      </c>
      <c r="K13" s="535" t="s">
        <v>547</v>
      </c>
      <c r="L13" s="538">
        <v>83.79</v>
      </c>
      <c r="M13" s="538">
        <v>83.79</v>
      </c>
      <c r="N13" s="535">
        <v>1</v>
      </c>
      <c r="O13" s="539">
        <v>1</v>
      </c>
      <c r="P13" s="538"/>
      <c r="Q13" s="540">
        <v>0</v>
      </c>
      <c r="R13" s="535"/>
      <c r="S13" s="540">
        <v>0</v>
      </c>
      <c r="T13" s="539"/>
      <c r="U13" s="541">
        <v>0</v>
      </c>
    </row>
    <row r="14" spans="1:21" ht="14.4" customHeight="1" x14ac:dyDescent="0.3">
      <c r="A14" s="534">
        <v>28</v>
      </c>
      <c r="B14" s="535" t="s">
        <v>499</v>
      </c>
      <c r="C14" s="535" t="s">
        <v>507</v>
      </c>
      <c r="D14" s="536" t="s">
        <v>667</v>
      </c>
      <c r="E14" s="537" t="s">
        <v>513</v>
      </c>
      <c r="F14" s="535" t="s">
        <v>506</v>
      </c>
      <c r="G14" s="535" t="s">
        <v>548</v>
      </c>
      <c r="H14" s="535" t="s">
        <v>465</v>
      </c>
      <c r="I14" s="535" t="s">
        <v>549</v>
      </c>
      <c r="J14" s="535" t="s">
        <v>550</v>
      </c>
      <c r="K14" s="535" t="s">
        <v>551</v>
      </c>
      <c r="L14" s="538">
        <v>36.97</v>
      </c>
      <c r="M14" s="538">
        <v>36.97</v>
      </c>
      <c r="N14" s="535">
        <v>1</v>
      </c>
      <c r="O14" s="539">
        <v>0.5</v>
      </c>
      <c r="P14" s="538">
        <v>36.97</v>
      </c>
      <c r="Q14" s="540">
        <v>1</v>
      </c>
      <c r="R14" s="535">
        <v>1</v>
      </c>
      <c r="S14" s="540">
        <v>1</v>
      </c>
      <c r="T14" s="539">
        <v>0.5</v>
      </c>
      <c r="U14" s="541">
        <v>1</v>
      </c>
    </row>
    <row r="15" spans="1:21" ht="14.4" customHeight="1" x14ac:dyDescent="0.3">
      <c r="A15" s="534">
        <v>28</v>
      </c>
      <c r="B15" s="535" t="s">
        <v>499</v>
      </c>
      <c r="C15" s="535" t="s">
        <v>507</v>
      </c>
      <c r="D15" s="536" t="s">
        <v>667</v>
      </c>
      <c r="E15" s="537" t="s">
        <v>513</v>
      </c>
      <c r="F15" s="535" t="s">
        <v>506</v>
      </c>
      <c r="G15" s="535" t="s">
        <v>552</v>
      </c>
      <c r="H15" s="535" t="s">
        <v>465</v>
      </c>
      <c r="I15" s="535" t="s">
        <v>553</v>
      </c>
      <c r="J15" s="535" t="s">
        <v>554</v>
      </c>
      <c r="K15" s="535" t="s">
        <v>555</v>
      </c>
      <c r="L15" s="538">
        <v>0</v>
      </c>
      <c r="M15" s="538">
        <v>0</v>
      </c>
      <c r="N15" s="535">
        <v>1</v>
      </c>
      <c r="O15" s="539">
        <v>0.5</v>
      </c>
      <c r="P15" s="538">
        <v>0</v>
      </c>
      <c r="Q15" s="540"/>
      <c r="R15" s="535">
        <v>1</v>
      </c>
      <c r="S15" s="540">
        <v>1</v>
      </c>
      <c r="T15" s="539">
        <v>0.5</v>
      </c>
      <c r="U15" s="541">
        <v>1</v>
      </c>
    </row>
    <row r="16" spans="1:21" ht="14.4" customHeight="1" x14ac:dyDescent="0.3">
      <c r="A16" s="534">
        <v>28</v>
      </c>
      <c r="B16" s="535" t="s">
        <v>499</v>
      </c>
      <c r="C16" s="535" t="s">
        <v>507</v>
      </c>
      <c r="D16" s="536" t="s">
        <v>667</v>
      </c>
      <c r="E16" s="537" t="s">
        <v>513</v>
      </c>
      <c r="F16" s="535" t="s">
        <v>506</v>
      </c>
      <c r="G16" s="535" t="s">
        <v>556</v>
      </c>
      <c r="H16" s="535" t="s">
        <v>465</v>
      </c>
      <c r="I16" s="535" t="s">
        <v>557</v>
      </c>
      <c r="J16" s="535" t="s">
        <v>558</v>
      </c>
      <c r="K16" s="535" t="s">
        <v>559</v>
      </c>
      <c r="L16" s="538">
        <v>47.53</v>
      </c>
      <c r="M16" s="538">
        <v>47.53</v>
      </c>
      <c r="N16" s="535">
        <v>1</v>
      </c>
      <c r="O16" s="539">
        <v>1</v>
      </c>
      <c r="P16" s="538"/>
      <c r="Q16" s="540">
        <v>0</v>
      </c>
      <c r="R16" s="535"/>
      <c r="S16" s="540">
        <v>0</v>
      </c>
      <c r="T16" s="539"/>
      <c r="U16" s="541">
        <v>0</v>
      </c>
    </row>
    <row r="17" spans="1:21" ht="14.4" customHeight="1" x14ac:dyDescent="0.3">
      <c r="A17" s="534">
        <v>28</v>
      </c>
      <c r="B17" s="535" t="s">
        <v>499</v>
      </c>
      <c r="C17" s="535" t="s">
        <v>507</v>
      </c>
      <c r="D17" s="536" t="s">
        <v>667</v>
      </c>
      <c r="E17" s="537" t="s">
        <v>513</v>
      </c>
      <c r="F17" s="535" t="s">
        <v>506</v>
      </c>
      <c r="G17" s="535" t="s">
        <v>560</v>
      </c>
      <c r="H17" s="535" t="s">
        <v>668</v>
      </c>
      <c r="I17" s="535" t="s">
        <v>561</v>
      </c>
      <c r="J17" s="535" t="s">
        <v>562</v>
      </c>
      <c r="K17" s="535" t="s">
        <v>563</v>
      </c>
      <c r="L17" s="538">
        <v>48.27</v>
      </c>
      <c r="M17" s="538">
        <v>48.27</v>
      </c>
      <c r="N17" s="535">
        <v>1</v>
      </c>
      <c r="O17" s="539">
        <v>0.5</v>
      </c>
      <c r="P17" s="538"/>
      <c r="Q17" s="540">
        <v>0</v>
      </c>
      <c r="R17" s="535"/>
      <c r="S17" s="540">
        <v>0</v>
      </c>
      <c r="T17" s="539"/>
      <c r="U17" s="541">
        <v>0</v>
      </c>
    </row>
    <row r="18" spans="1:21" ht="14.4" customHeight="1" x14ac:dyDescent="0.3">
      <c r="A18" s="534">
        <v>28</v>
      </c>
      <c r="B18" s="535" t="s">
        <v>499</v>
      </c>
      <c r="C18" s="535" t="s">
        <v>507</v>
      </c>
      <c r="D18" s="536" t="s">
        <v>667</v>
      </c>
      <c r="E18" s="537" t="s">
        <v>513</v>
      </c>
      <c r="F18" s="535" t="s">
        <v>506</v>
      </c>
      <c r="G18" s="535" t="s">
        <v>564</v>
      </c>
      <c r="H18" s="535" t="s">
        <v>465</v>
      </c>
      <c r="I18" s="535" t="s">
        <v>565</v>
      </c>
      <c r="J18" s="535" t="s">
        <v>566</v>
      </c>
      <c r="K18" s="535" t="s">
        <v>567</v>
      </c>
      <c r="L18" s="538">
        <v>31.42</v>
      </c>
      <c r="M18" s="538">
        <v>62.84</v>
      </c>
      <c r="N18" s="535">
        <v>2</v>
      </c>
      <c r="O18" s="539">
        <v>0.5</v>
      </c>
      <c r="P18" s="538">
        <v>62.84</v>
      </c>
      <c r="Q18" s="540">
        <v>1</v>
      </c>
      <c r="R18" s="535">
        <v>2</v>
      </c>
      <c r="S18" s="540">
        <v>1</v>
      </c>
      <c r="T18" s="539">
        <v>0.5</v>
      </c>
      <c r="U18" s="541">
        <v>1</v>
      </c>
    </row>
    <row r="19" spans="1:21" ht="14.4" customHeight="1" x14ac:dyDescent="0.3">
      <c r="A19" s="534">
        <v>28</v>
      </c>
      <c r="B19" s="535" t="s">
        <v>499</v>
      </c>
      <c r="C19" s="535" t="s">
        <v>507</v>
      </c>
      <c r="D19" s="536" t="s">
        <v>667</v>
      </c>
      <c r="E19" s="537" t="s">
        <v>513</v>
      </c>
      <c r="F19" s="535" t="s">
        <v>506</v>
      </c>
      <c r="G19" s="535" t="s">
        <v>568</v>
      </c>
      <c r="H19" s="535" t="s">
        <v>465</v>
      </c>
      <c r="I19" s="535" t="s">
        <v>569</v>
      </c>
      <c r="J19" s="535" t="s">
        <v>570</v>
      </c>
      <c r="K19" s="535" t="s">
        <v>571</v>
      </c>
      <c r="L19" s="538">
        <v>68.819999999999993</v>
      </c>
      <c r="M19" s="538">
        <v>68.819999999999993</v>
      </c>
      <c r="N19" s="535">
        <v>1</v>
      </c>
      <c r="O19" s="539">
        <v>0.5</v>
      </c>
      <c r="P19" s="538">
        <v>68.819999999999993</v>
      </c>
      <c r="Q19" s="540">
        <v>1</v>
      </c>
      <c r="R19" s="535">
        <v>1</v>
      </c>
      <c r="S19" s="540">
        <v>1</v>
      </c>
      <c r="T19" s="539">
        <v>0.5</v>
      </c>
      <c r="U19" s="541">
        <v>1</v>
      </c>
    </row>
    <row r="20" spans="1:21" ht="14.4" customHeight="1" x14ac:dyDescent="0.3">
      <c r="A20" s="534">
        <v>28</v>
      </c>
      <c r="B20" s="535" t="s">
        <v>499</v>
      </c>
      <c r="C20" s="535" t="s">
        <v>507</v>
      </c>
      <c r="D20" s="536" t="s">
        <v>667</v>
      </c>
      <c r="E20" s="537" t="s">
        <v>513</v>
      </c>
      <c r="F20" s="535" t="s">
        <v>506</v>
      </c>
      <c r="G20" s="535" t="s">
        <v>572</v>
      </c>
      <c r="H20" s="535" t="s">
        <v>465</v>
      </c>
      <c r="I20" s="535" t="s">
        <v>573</v>
      </c>
      <c r="J20" s="535" t="s">
        <v>574</v>
      </c>
      <c r="K20" s="535" t="s">
        <v>575</v>
      </c>
      <c r="L20" s="538">
        <v>0</v>
      </c>
      <c r="M20" s="538">
        <v>0</v>
      </c>
      <c r="N20" s="535">
        <v>1</v>
      </c>
      <c r="O20" s="539">
        <v>0.5</v>
      </c>
      <c r="P20" s="538">
        <v>0</v>
      </c>
      <c r="Q20" s="540"/>
      <c r="R20" s="535">
        <v>1</v>
      </c>
      <c r="S20" s="540">
        <v>1</v>
      </c>
      <c r="T20" s="539">
        <v>0.5</v>
      </c>
      <c r="U20" s="541">
        <v>1</v>
      </c>
    </row>
    <row r="21" spans="1:21" ht="14.4" customHeight="1" x14ac:dyDescent="0.3">
      <c r="A21" s="534">
        <v>28</v>
      </c>
      <c r="B21" s="535" t="s">
        <v>499</v>
      </c>
      <c r="C21" s="535" t="s">
        <v>507</v>
      </c>
      <c r="D21" s="536" t="s">
        <v>667</v>
      </c>
      <c r="E21" s="537" t="s">
        <v>513</v>
      </c>
      <c r="F21" s="535" t="s">
        <v>506</v>
      </c>
      <c r="G21" s="535" t="s">
        <v>576</v>
      </c>
      <c r="H21" s="535" t="s">
        <v>465</v>
      </c>
      <c r="I21" s="535" t="s">
        <v>577</v>
      </c>
      <c r="J21" s="535" t="s">
        <v>578</v>
      </c>
      <c r="K21" s="535" t="s">
        <v>579</v>
      </c>
      <c r="L21" s="538">
        <v>0</v>
      </c>
      <c r="M21" s="538">
        <v>0</v>
      </c>
      <c r="N21" s="535">
        <v>1</v>
      </c>
      <c r="O21" s="539">
        <v>0.5</v>
      </c>
      <c r="P21" s="538">
        <v>0</v>
      </c>
      <c r="Q21" s="540"/>
      <c r="R21" s="535">
        <v>1</v>
      </c>
      <c r="S21" s="540">
        <v>1</v>
      </c>
      <c r="T21" s="539">
        <v>0.5</v>
      </c>
      <c r="U21" s="541">
        <v>1</v>
      </c>
    </row>
    <row r="22" spans="1:21" ht="14.4" customHeight="1" x14ac:dyDescent="0.3">
      <c r="A22" s="534">
        <v>28</v>
      </c>
      <c r="B22" s="535" t="s">
        <v>499</v>
      </c>
      <c r="C22" s="535" t="s">
        <v>507</v>
      </c>
      <c r="D22" s="536" t="s">
        <v>667</v>
      </c>
      <c r="E22" s="537" t="s">
        <v>513</v>
      </c>
      <c r="F22" s="535" t="s">
        <v>506</v>
      </c>
      <c r="G22" s="535" t="s">
        <v>580</v>
      </c>
      <c r="H22" s="535" t="s">
        <v>465</v>
      </c>
      <c r="I22" s="535" t="s">
        <v>581</v>
      </c>
      <c r="J22" s="535" t="s">
        <v>582</v>
      </c>
      <c r="K22" s="535" t="s">
        <v>559</v>
      </c>
      <c r="L22" s="538">
        <v>47.14</v>
      </c>
      <c r="M22" s="538">
        <v>47.14</v>
      </c>
      <c r="N22" s="535">
        <v>1</v>
      </c>
      <c r="O22" s="539">
        <v>1</v>
      </c>
      <c r="P22" s="538">
        <v>47.14</v>
      </c>
      <c r="Q22" s="540">
        <v>1</v>
      </c>
      <c r="R22" s="535">
        <v>1</v>
      </c>
      <c r="S22" s="540">
        <v>1</v>
      </c>
      <c r="T22" s="539">
        <v>1</v>
      </c>
      <c r="U22" s="541">
        <v>1</v>
      </c>
    </row>
    <row r="23" spans="1:21" ht="14.4" customHeight="1" x14ac:dyDescent="0.3">
      <c r="A23" s="534">
        <v>28</v>
      </c>
      <c r="B23" s="535" t="s">
        <v>499</v>
      </c>
      <c r="C23" s="535" t="s">
        <v>507</v>
      </c>
      <c r="D23" s="536" t="s">
        <v>667</v>
      </c>
      <c r="E23" s="537" t="s">
        <v>513</v>
      </c>
      <c r="F23" s="535" t="s">
        <v>506</v>
      </c>
      <c r="G23" s="535" t="s">
        <v>583</v>
      </c>
      <c r="H23" s="535" t="s">
        <v>465</v>
      </c>
      <c r="I23" s="535" t="s">
        <v>584</v>
      </c>
      <c r="J23" s="535" t="s">
        <v>585</v>
      </c>
      <c r="K23" s="535" t="s">
        <v>586</v>
      </c>
      <c r="L23" s="538">
        <v>11465.32</v>
      </c>
      <c r="M23" s="538">
        <v>11465.32</v>
      </c>
      <c r="N23" s="535">
        <v>1</v>
      </c>
      <c r="O23" s="539">
        <v>1</v>
      </c>
      <c r="P23" s="538"/>
      <c r="Q23" s="540">
        <v>0</v>
      </c>
      <c r="R23" s="535"/>
      <c r="S23" s="540">
        <v>0</v>
      </c>
      <c r="T23" s="539"/>
      <c r="U23" s="541">
        <v>0</v>
      </c>
    </row>
    <row r="24" spans="1:21" ht="14.4" customHeight="1" x14ac:dyDescent="0.3">
      <c r="A24" s="534">
        <v>28</v>
      </c>
      <c r="B24" s="535" t="s">
        <v>499</v>
      </c>
      <c r="C24" s="535" t="s">
        <v>507</v>
      </c>
      <c r="D24" s="536" t="s">
        <v>667</v>
      </c>
      <c r="E24" s="537" t="s">
        <v>514</v>
      </c>
      <c r="F24" s="535" t="s">
        <v>506</v>
      </c>
      <c r="G24" s="535" t="s">
        <v>587</v>
      </c>
      <c r="H24" s="535" t="s">
        <v>668</v>
      </c>
      <c r="I24" s="535" t="s">
        <v>588</v>
      </c>
      <c r="J24" s="535" t="s">
        <v>589</v>
      </c>
      <c r="K24" s="535" t="s">
        <v>590</v>
      </c>
      <c r="L24" s="538">
        <v>154.36000000000001</v>
      </c>
      <c r="M24" s="538">
        <v>308.72000000000003</v>
      </c>
      <c r="N24" s="535">
        <v>2</v>
      </c>
      <c r="O24" s="539">
        <v>1</v>
      </c>
      <c r="P24" s="538">
        <v>308.72000000000003</v>
      </c>
      <c r="Q24" s="540">
        <v>1</v>
      </c>
      <c r="R24" s="535">
        <v>2</v>
      </c>
      <c r="S24" s="540">
        <v>1</v>
      </c>
      <c r="T24" s="539">
        <v>1</v>
      </c>
      <c r="U24" s="541">
        <v>1</v>
      </c>
    </row>
    <row r="25" spans="1:21" ht="14.4" customHeight="1" x14ac:dyDescent="0.3">
      <c r="A25" s="534">
        <v>28</v>
      </c>
      <c r="B25" s="535" t="s">
        <v>499</v>
      </c>
      <c r="C25" s="535" t="s">
        <v>507</v>
      </c>
      <c r="D25" s="536" t="s">
        <v>667</v>
      </c>
      <c r="E25" s="537" t="s">
        <v>514</v>
      </c>
      <c r="F25" s="535" t="s">
        <v>506</v>
      </c>
      <c r="G25" s="535" t="s">
        <v>591</v>
      </c>
      <c r="H25" s="535" t="s">
        <v>465</v>
      </c>
      <c r="I25" s="535" t="s">
        <v>592</v>
      </c>
      <c r="J25" s="535" t="s">
        <v>593</v>
      </c>
      <c r="K25" s="535" t="s">
        <v>594</v>
      </c>
      <c r="L25" s="538">
        <v>80.7</v>
      </c>
      <c r="M25" s="538">
        <v>80.7</v>
      </c>
      <c r="N25" s="535">
        <v>1</v>
      </c>
      <c r="O25" s="539">
        <v>1</v>
      </c>
      <c r="P25" s="538">
        <v>80.7</v>
      </c>
      <c r="Q25" s="540">
        <v>1</v>
      </c>
      <c r="R25" s="535">
        <v>1</v>
      </c>
      <c r="S25" s="540">
        <v>1</v>
      </c>
      <c r="T25" s="539">
        <v>1</v>
      </c>
      <c r="U25" s="541">
        <v>1</v>
      </c>
    </row>
    <row r="26" spans="1:21" ht="14.4" customHeight="1" x14ac:dyDescent="0.3">
      <c r="A26" s="534">
        <v>28</v>
      </c>
      <c r="B26" s="535" t="s">
        <v>499</v>
      </c>
      <c r="C26" s="535" t="s">
        <v>507</v>
      </c>
      <c r="D26" s="536" t="s">
        <v>667</v>
      </c>
      <c r="E26" s="537" t="s">
        <v>515</v>
      </c>
      <c r="F26" s="535" t="s">
        <v>506</v>
      </c>
      <c r="G26" s="535" t="s">
        <v>532</v>
      </c>
      <c r="H26" s="535" t="s">
        <v>465</v>
      </c>
      <c r="I26" s="535" t="s">
        <v>595</v>
      </c>
      <c r="J26" s="535" t="s">
        <v>596</v>
      </c>
      <c r="K26" s="535" t="s">
        <v>597</v>
      </c>
      <c r="L26" s="538">
        <v>89.91</v>
      </c>
      <c r="M26" s="538">
        <v>89.91</v>
      </c>
      <c r="N26" s="535">
        <v>1</v>
      </c>
      <c r="O26" s="539">
        <v>0.5</v>
      </c>
      <c r="P26" s="538">
        <v>89.91</v>
      </c>
      <c r="Q26" s="540">
        <v>1</v>
      </c>
      <c r="R26" s="535">
        <v>1</v>
      </c>
      <c r="S26" s="540">
        <v>1</v>
      </c>
      <c r="T26" s="539">
        <v>0.5</v>
      </c>
      <c r="U26" s="541">
        <v>1</v>
      </c>
    </row>
    <row r="27" spans="1:21" ht="14.4" customHeight="1" x14ac:dyDescent="0.3">
      <c r="A27" s="534">
        <v>28</v>
      </c>
      <c r="B27" s="535" t="s">
        <v>499</v>
      </c>
      <c r="C27" s="535" t="s">
        <v>507</v>
      </c>
      <c r="D27" s="536" t="s">
        <v>667</v>
      </c>
      <c r="E27" s="537" t="s">
        <v>515</v>
      </c>
      <c r="F27" s="535" t="s">
        <v>506</v>
      </c>
      <c r="G27" s="535" t="s">
        <v>544</v>
      </c>
      <c r="H27" s="535" t="s">
        <v>465</v>
      </c>
      <c r="I27" s="535" t="s">
        <v>545</v>
      </c>
      <c r="J27" s="535" t="s">
        <v>546</v>
      </c>
      <c r="K27" s="535" t="s">
        <v>547</v>
      </c>
      <c r="L27" s="538">
        <v>83.79</v>
      </c>
      <c r="M27" s="538">
        <v>83.79</v>
      </c>
      <c r="N27" s="535">
        <v>1</v>
      </c>
      <c r="O27" s="539">
        <v>1</v>
      </c>
      <c r="P27" s="538">
        <v>83.79</v>
      </c>
      <c r="Q27" s="540">
        <v>1</v>
      </c>
      <c r="R27" s="535">
        <v>1</v>
      </c>
      <c r="S27" s="540">
        <v>1</v>
      </c>
      <c r="T27" s="539">
        <v>1</v>
      </c>
      <c r="U27" s="541">
        <v>1</v>
      </c>
    </row>
    <row r="28" spans="1:21" ht="14.4" customHeight="1" x14ac:dyDescent="0.3">
      <c r="A28" s="534">
        <v>28</v>
      </c>
      <c r="B28" s="535" t="s">
        <v>499</v>
      </c>
      <c r="C28" s="535" t="s">
        <v>507</v>
      </c>
      <c r="D28" s="536" t="s">
        <v>667</v>
      </c>
      <c r="E28" s="537" t="s">
        <v>515</v>
      </c>
      <c r="F28" s="535" t="s">
        <v>506</v>
      </c>
      <c r="G28" s="535" t="s">
        <v>598</v>
      </c>
      <c r="H28" s="535" t="s">
        <v>465</v>
      </c>
      <c r="I28" s="535" t="s">
        <v>599</v>
      </c>
      <c r="J28" s="535" t="s">
        <v>600</v>
      </c>
      <c r="K28" s="535" t="s">
        <v>601</v>
      </c>
      <c r="L28" s="538">
        <v>131.36000000000001</v>
      </c>
      <c r="M28" s="538">
        <v>131.36000000000001</v>
      </c>
      <c r="N28" s="535">
        <v>1</v>
      </c>
      <c r="O28" s="539">
        <v>0.5</v>
      </c>
      <c r="P28" s="538">
        <v>131.36000000000001</v>
      </c>
      <c r="Q28" s="540">
        <v>1</v>
      </c>
      <c r="R28" s="535">
        <v>1</v>
      </c>
      <c r="S28" s="540">
        <v>1</v>
      </c>
      <c r="T28" s="539">
        <v>0.5</v>
      </c>
      <c r="U28" s="541">
        <v>1</v>
      </c>
    </row>
    <row r="29" spans="1:21" ht="14.4" customHeight="1" x14ac:dyDescent="0.3">
      <c r="A29" s="534">
        <v>28</v>
      </c>
      <c r="B29" s="535" t="s">
        <v>499</v>
      </c>
      <c r="C29" s="535" t="s">
        <v>507</v>
      </c>
      <c r="D29" s="536" t="s">
        <v>667</v>
      </c>
      <c r="E29" s="537" t="s">
        <v>516</v>
      </c>
      <c r="F29" s="535" t="s">
        <v>506</v>
      </c>
      <c r="G29" s="535" t="s">
        <v>602</v>
      </c>
      <c r="H29" s="535" t="s">
        <v>465</v>
      </c>
      <c r="I29" s="535" t="s">
        <v>603</v>
      </c>
      <c r="J29" s="535" t="s">
        <v>604</v>
      </c>
      <c r="K29" s="535" t="s">
        <v>605</v>
      </c>
      <c r="L29" s="538">
        <v>0</v>
      </c>
      <c r="M29" s="538">
        <v>0</v>
      </c>
      <c r="N29" s="535">
        <v>1</v>
      </c>
      <c r="O29" s="539">
        <v>0.5</v>
      </c>
      <c r="P29" s="538">
        <v>0</v>
      </c>
      <c r="Q29" s="540"/>
      <c r="R29" s="535">
        <v>1</v>
      </c>
      <c r="S29" s="540">
        <v>1</v>
      </c>
      <c r="T29" s="539">
        <v>0.5</v>
      </c>
      <c r="U29" s="541">
        <v>1</v>
      </c>
    </row>
    <row r="30" spans="1:21" ht="14.4" customHeight="1" x14ac:dyDescent="0.3">
      <c r="A30" s="534">
        <v>28</v>
      </c>
      <c r="B30" s="535" t="s">
        <v>499</v>
      </c>
      <c r="C30" s="535" t="s">
        <v>507</v>
      </c>
      <c r="D30" s="536" t="s">
        <v>667</v>
      </c>
      <c r="E30" s="537" t="s">
        <v>516</v>
      </c>
      <c r="F30" s="535" t="s">
        <v>506</v>
      </c>
      <c r="G30" s="535" t="s">
        <v>587</v>
      </c>
      <c r="H30" s="535" t="s">
        <v>465</v>
      </c>
      <c r="I30" s="535" t="s">
        <v>606</v>
      </c>
      <c r="J30" s="535" t="s">
        <v>607</v>
      </c>
      <c r="K30" s="535" t="s">
        <v>608</v>
      </c>
      <c r="L30" s="538">
        <v>154.36000000000001</v>
      </c>
      <c r="M30" s="538">
        <v>308.72000000000003</v>
      </c>
      <c r="N30" s="535">
        <v>2</v>
      </c>
      <c r="O30" s="539">
        <v>0.5</v>
      </c>
      <c r="P30" s="538">
        <v>308.72000000000003</v>
      </c>
      <c r="Q30" s="540">
        <v>1</v>
      </c>
      <c r="R30" s="535">
        <v>2</v>
      </c>
      <c r="S30" s="540">
        <v>1</v>
      </c>
      <c r="T30" s="539">
        <v>0.5</v>
      </c>
      <c r="U30" s="541">
        <v>1</v>
      </c>
    </row>
    <row r="31" spans="1:21" ht="14.4" customHeight="1" x14ac:dyDescent="0.3">
      <c r="A31" s="534">
        <v>28</v>
      </c>
      <c r="B31" s="535" t="s">
        <v>499</v>
      </c>
      <c r="C31" s="535" t="s">
        <v>507</v>
      </c>
      <c r="D31" s="536" t="s">
        <v>667</v>
      </c>
      <c r="E31" s="537" t="s">
        <v>516</v>
      </c>
      <c r="F31" s="535" t="s">
        <v>506</v>
      </c>
      <c r="G31" s="535" t="s">
        <v>609</v>
      </c>
      <c r="H31" s="535" t="s">
        <v>465</v>
      </c>
      <c r="I31" s="535" t="s">
        <v>610</v>
      </c>
      <c r="J31" s="535" t="s">
        <v>611</v>
      </c>
      <c r="K31" s="535" t="s">
        <v>612</v>
      </c>
      <c r="L31" s="538">
        <v>159.71</v>
      </c>
      <c r="M31" s="538">
        <v>958.26</v>
      </c>
      <c r="N31" s="535">
        <v>6</v>
      </c>
      <c r="O31" s="539">
        <v>1.5</v>
      </c>
      <c r="P31" s="538">
        <v>958.26</v>
      </c>
      <c r="Q31" s="540">
        <v>1</v>
      </c>
      <c r="R31" s="535">
        <v>6</v>
      </c>
      <c r="S31" s="540">
        <v>1</v>
      </c>
      <c r="T31" s="539">
        <v>1.5</v>
      </c>
      <c r="U31" s="541">
        <v>1</v>
      </c>
    </row>
    <row r="32" spans="1:21" ht="14.4" customHeight="1" x14ac:dyDescent="0.3">
      <c r="A32" s="534">
        <v>28</v>
      </c>
      <c r="B32" s="535" t="s">
        <v>499</v>
      </c>
      <c r="C32" s="535" t="s">
        <v>507</v>
      </c>
      <c r="D32" s="536" t="s">
        <v>667</v>
      </c>
      <c r="E32" s="537" t="s">
        <v>516</v>
      </c>
      <c r="F32" s="535" t="s">
        <v>506</v>
      </c>
      <c r="G32" s="535" t="s">
        <v>613</v>
      </c>
      <c r="H32" s="535" t="s">
        <v>668</v>
      </c>
      <c r="I32" s="535" t="s">
        <v>614</v>
      </c>
      <c r="J32" s="535" t="s">
        <v>615</v>
      </c>
      <c r="K32" s="535" t="s">
        <v>616</v>
      </c>
      <c r="L32" s="538">
        <v>119.7</v>
      </c>
      <c r="M32" s="538">
        <v>359.1</v>
      </c>
      <c r="N32" s="535">
        <v>3</v>
      </c>
      <c r="O32" s="539">
        <v>1.5</v>
      </c>
      <c r="P32" s="538">
        <v>359.1</v>
      </c>
      <c r="Q32" s="540">
        <v>1</v>
      </c>
      <c r="R32" s="535">
        <v>3</v>
      </c>
      <c r="S32" s="540">
        <v>1</v>
      </c>
      <c r="T32" s="539">
        <v>1.5</v>
      </c>
      <c r="U32" s="541">
        <v>1</v>
      </c>
    </row>
    <row r="33" spans="1:21" ht="14.4" customHeight="1" x14ac:dyDescent="0.3">
      <c r="A33" s="534">
        <v>28</v>
      </c>
      <c r="B33" s="535" t="s">
        <v>499</v>
      </c>
      <c r="C33" s="535" t="s">
        <v>507</v>
      </c>
      <c r="D33" s="536" t="s">
        <v>667</v>
      </c>
      <c r="E33" s="537" t="s">
        <v>516</v>
      </c>
      <c r="F33" s="535" t="s">
        <v>506</v>
      </c>
      <c r="G33" s="535" t="s">
        <v>613</v>
      </c>
      <c r="H33" s="535" t="s">
        <v>668</v>
      </c>
      <c r="I33" s="535" t="s">
        <v>614</v>
      </c>
      <c r="J33" s="535" t="s">
        <v>615</v>
      </c>
      <c r="K33" s="535" t="s">
        <v>616</v>
      </c>
      <c r="L33" s="538">
        <v>70.540000000000006</v>
      </c>
      <c r="M33" s="538">
        <v>211.62</v>
      </c>
      <c r="N33" s="535">
        <v>3</v>
      </c>
      <c r="O33" s="539">
        <v>1</v>
      </c>
      <c r="P33" s="538">
        <v>211.62</v>
      </c>
      <c r="Q33" s="540">
        <v>1</v>
      </c>
      <c r="R33" s="535">
        <v>3</v>
      </c>
      <c r="S33" s="540">
        <v>1</v>
      </c>
      <c r="T33" s="539">
        <v>1</v>
      </c>
      <c r="U33" s="541">
        <v>1</v>
      </c>
    </row>
    <row r="34" spans="1:21" ht="14.4" customHeight="1" x14ac:dyDescent="0.3">
      <c r="A34" s="534">
        <v>28</v>
      </c>
      <c r="B34" s="535" t="s">
        <v>499</v>
      </c>
      <c r="C34" s="535" t="s">
        <v>507</v>
      </c>
      <c r="D34" s="536" t="s">
        <v>667</v>
      </c>
      <c r="E34" s="537" t="s">
        <v>516</v>
      </c>
      <c r="F34" s="535" t="s">
        <v>506</v>
      </c>
      <c r="G34" s="535" t="s">
        <v>617</v>
      </c>
      <c r="H34" s="535" t="s">
        <v>465</v>
      </c>
      <c r="I34" s="535" t="s">
        <v>618</v>
      </c>
      <c r="J34" s="535" t="s">
        <v>619</v>
      </c>
      <c r="K34" s="535" t="s">
        <v>620</v>
      </c>
      <c r="L34" s="538">
        <v>170.52</v>
      </c>
      <c r="M34" s="538">
        <v>170.52</v>
      </c>
      <c r="N34" s="535">
        <v>1</v>
      </c>
      <c r="O34" s="539"/>
      <c r="P34" s="538">
        <v>170.52</v>
      </c>
      <c r="Q34" s="540">
        <v>1</v>
      </c>
      <c r="R34" s="535">
        <v>1</v>
      </c>
      <c r="S34" s="540">
        <v>1</v>
      </c>
      <c r="T34" s="539"/>
      <c r="U34" s="541"/>
    </row>
    <row r="35" spans="1:21" ht="14.4" customHeight="1" x14ac:dyDescent="0.3">
      <c r="A35" s="534">
        <v>28</v>
      </c>
      <c r="B35" s="535" t="s">
        <v>499</v>
      </c>
      <c r="C35" s="535" t="s">
        <v>507</v>
      </c>
      <c r="D35" s="536" t="s">
        <v>667</v>
      </c>
      <c r="E35" s="537" t="s">
        <v>516</v>
      </c>
      <c r="F35" s="535" t="s">
        <v>506</v>
      </c>
      <c r="G35" s="535" t="s">
        <v>617</v>
      </c>
      <c r="H35" s="535" t="s">
        <v>465</v>
      </c>
      <c r="I35" s="535" t="s">
        <v>621</v>
      </c>
      <c r="J35" s="535" t="s">
        <v>619</v>
      </c>
      <c r="K35" s="535" t="s">
        <v>622</v>
      </c>
      <c r="L35" s="538">
        <v>0</v>
      </c>
      <c r="M35" s="538">
        <v>0</v>
      </c>
      <c r="N35" s="535">
        <v>1</v>
      </c>
      <c r="O35" s="539">
        <v>0.5</v>
      </c>
      <c r="P35" s="538">
        <v>0</v>
      </c>
      <c r="Q35" s="540"/>
      <c r="R35" s="535">
        <v>1</v>
      </c>
      <c r="S35" s="540">
        <v>1</v>
      </c>
      <c r="T35" s="539">
        <v>0.5</v>
      </c>
      <c r="U35" s="541">
        <v>1</v>
      </c>
    </row>
    <row r="36" spans="1:21" ht="14.4" customHeight="1" x14ac:dyDescent="0.3">
      <c r="A36" s="534">
        <v>28</v>
      </c>
      <c r="B36" s="535" t="s">
        <v>499</v>
      </c>
      <c r="C36" s="535" t="s">
        <v>507</v>
      </c>
      <c r="D36" s="536" t="s">
        <v>667</v>
      </c>
      <c r="E36" s="537" t="s">
        <v>516</v>
      </c>
      <c r="F36" s="535" t="s">
        <v>506</v>
      </c>
      <c r="G36" s="535" t="s">
        <v>623</v>
      </c>
      <c r="H36" s="535" t="s">
        <v>668</v>
      </c>
      <c r="I36" s="535" t="s">
        <v>624</v>
      </c>
      <c r="J36" s="535" t="s">
        <v>625</v>
      </c>
      <c r="K36" s="535" t="s">
        <v>626</v>
      </c>
      <c r="L36" s="538">
        <v>69.16</v>
      </c>
      <c r="M36" s="538">
        <v>69.16</v>
      </c>
      <c r="N36" s="535">
        <v>1</v>
      </c>
      <c r="O36" s="539">
        <v>0.5</v>
      </c>
      <c r="P36" s="538">
        <v>69.16</v>
      </c>
      <c r="Q36" s="540">
        <v>1</v>
      </c>
      <c r="R36" s="535">
        <v>1</v>
      </c>
      <c r="S36" s="540">
        <v>1</v>
      </c>
      <c r="T36" s="539">
        <v>0.5</v>
      </c>
      <c r="U36" s="541">
        <v>1</v>
      </c>
    </row>
    <row r="37" spans="1:21" ht="14.4" customHeight="1" x14ac:dyDescent="0.3">
      <c r="A37" s="534">
        <v>28</v>
      </c>
      <c r="B37" s="535" t="s">
        <v>499</v>
      </c>
      <c r="C37" s="535" t="s">
        <v>507</v>
      </c>
      <c r="D37" s="536" t="s">
        <v>667</v>
      </c>
      <c r="E37" s="537" t="s">
        <v>516</v>
      </c>
      <c r="F37" s="535" t="s">
        <v>506</v>
      </c>
      <c r="G37" s="535" t="s">
        <v>627</v>
      </c>
      <c r="H37" s="535" t="s">
        <v>465</v>
      </c>
      <c r="I37" s="535" t="s">
        <v>628</v>
      </c>
      <c r="J37" s="535" t="s">
        <v>629</v>
      </c>
      <c r="K37" s="535" t="s">
        <v>630</v>
      </c>
      <c r="L37" s="538">
        <v>0</v>
      </c>
      <c r="M37" s="538">
        <v>0</v>
      </c>
      <c r="N37" s="535">
        <v>1</v>
      </c>
      <c r="O37" s="539"/>
      <c r="P37" s="538">
        <v>0</v>
      </c>
      <c r="Q37" s="540"/>
      <c r="R37" s="535">
        <v>1</v>
      </c>
      <c r="S37" s="540">
        <v>1</v>
      </c>
      <c r="T37" s="539"/>
      <c r="U37" s="541"/>
    </row>
    <row r="38" spans="1:21" ht="14.4" customHeight="1" x14ac:dyDescent="0.3">
      <c r="A38" s="534">
        <v>28</v>
      </c>
      <c r="B38" s="535" t="s">
        <v>499</v>
      </c>
      <c r="C38" s="535" t="s">
        <v>507</v>
      </c>
      <c r="D38" s="536" t="s">
        <v>667</v>
      </c>
      <c r="E38" s="537" t="s">
        <v>516</v>
      </c>
      <c r="F38" s="535" t="s">
        <v>506</v>
      </c>
      <c r="G38" s="535" t="s">
        <v>532</v>
      </c>
      <c r="H38" s="535" t="s">
        <v>465</v>
      </c>
      <c r="I38" s="535" t="s">
        <v>631</v>
      </c>
      <c r="J38" s="535" t="s">
        <v>534</v>
      </c>
      <c r="K38" s="535" t="s">
        <v>632</v>
      </c>
      <c r="L38" s="538">
        <v>48.09</v>
      </c>
      <c r="M38" s="538">
        <v>192.36</v>
      </c>
      <c r="N38" s="535">
        <v>4</v>
      </c>
      <c r="O38" s="539">
        <v>1</v>
      </c>
      <c r="P38" s="538">
        <v>192.36</v>
      </c>
      <c r="Q38" s="540">
        <v>1</v>
      </c>
      <c r="R38" s="535">
        <v>4</v>
      </c>
      <c r="S38" s="540">
        <v>1</v>
      </c>
      <c r="T38" s="539">
        <v>1</v>
      </c>
      <c r="U38" s="541">
        <v>1</v>
      </c>
    </row>
    <row r="39" spans="1:21" ht="14.4" customHeight="1" x14ac:dyDescent="0.3">
      <c r="A39" s="534">
        <v>28</v>
      </c>
      <c r="B39" s="535" t="s">
        <v>499</v>
      </c>
      <c r="C39" s="535" t="s">
        <v>507</v>
      </c>
      <c r="D39" s="536" t="s">
        <v>667</v>
      </c>
      <c r="E39" s="537" t="s">
        <v>516</v>
      </c>
      <c r="F39" s="535" t="s">
        <v>506</v>
      </c>
      <c r="G39" s="535" t="s">
        <v>564</v>
      </c>
      <c r="H39" s="535" t="s">
        <v>465</v>
      </c>
      <c r="I39" s="535" t="s">
        <v>565</v>
      </c>
      <c r="J39" s="535" t="s">
        <v>566</v>
      </c>
      <c r="K39" s="535" t="s">
        <v>567</v>
      </c>
      <c r="L39" s="538">
        <v>31.42</v>
      </c>
      <c r="M39" s="538">
        <v>31.42</v>
      </c>
      <c r="N39" s="535">
        <v>1</v>
      </c>
      <c r="O39" s="539">
        <v>0.5</v>
      </c>
      <c r="P39" s="538">
        <v>31.42</v>
      </c>
      <c r="Q39" s="540">
        <v>1</v>
      </c>
      <c r="R39" s="535">
        <v>1</v>
      </c>
      <c r="S39" s="540">
        <v>1</v>
      </c>
      <c r="T39" s="539">
        <v>0.5</v>
      </c>
      <c r="U39" s="541">
        <v>1</v>
      </c>
    </row>
    <row r="40" spans="1:21" ht="14.4" customHeight="1" x14ac:dyDescent="0.3">
      <c r="A40" s="534">
        <v>28</v>
      </c>
      <c r="B40" s="535" t="s">
        <v>499</v>
      </c>
      <c r="C40" s="535" t="s">
        <v>507</v>
      </c>
      <c r="D40" s="536" t="s">
        <v>667</v>
      </c>
      <c r="E40" s="537" t="s">
        <v>516</v>
      </c>
      <c r="F40" s="535" t="s">
        <v>506</v>
      </c>
      <c r="G40" s="535" t="s">
        <v>633</v>
      </c>
      <c r="H40" s="535" t="s">
        <v>465</v>
      </c>
      <c r="I40" s="535" t="s">
        <v>634</v>
      </c>
      <c r="J40" s="535" t="s">
        <v>635</v>
      </c>
      <c r="K40" s="535" t="s">
        <v>636</v>
      </c>
      <c r="L40" s="538">
        <v>416.72</v>
      </c>
      <c r="M40" s="538">
        <v>833.44</v>
      </c>
      <c r="N40" s="535">
        <v>2</v>
      </c>
      <c r="O40" s="539">
        <v>1.5</v>
      </c>
      <c r="P40" s="538">
        <v>833.44</v>
      </c>
      <c r="Q40" s="540">
        <v>1</v>
      </c>
      <c r="R40" s="535">
        <v>2</v>
      </c>
      <c r="S40" s="540">
        <v>1</v>
      </c>
      <c r="T40" s="539">
        <v>1.5</v>
      </c>
      <c r="U40" s="541">
        <v>1</v>
      </c>
    </row>
    <row r="41" spans="1:21" ht="14.4" customHeight="1" x14ac:dyDescent="0.3">
      <c r="A41" s="534">
        <v>28</v>
      </c>
      <c r="B41" s="535" t="s">
        <v>499</v>
      </c>
      <c r="C41" s="535" t="s">
        <v>507</v>
      </c>
      <c r="D41" s="536" t="s">
        <v>667</v>
      </c>
      <c r="E41" s="537" t="s">
        <v>517</v>
      </c>
      <c r="F41" s="535" t="s">
        <v>506</v>
      </c>
      <c r="G41" s="535" t="s">
        <v>637</v>
      </c>
      <c r="H41" s="535" t="s">
        <v>465</v>
      </c>
      <c r="I41" s="535" t="s">
        <v>638</v>
      </c>
      <c r="J41" s="535" t="s">
        <v>639</v>
      </c>
      <c r="K41" s="535" t="s">
        <v>640</v>
      </c>
      <c r="L41" s="538">
        <v>64.12</v>
      </c>
      <c r="M41" s="538">
        <v>64.12</v>
      </c>
      <c r="N41" s="535">
        <v>1</v>
      </c>
      <c r="O41" s="539">
        <v>0.5</v>
      </c>
      <c r="P41" s="538">
        <v>64.12</v>
      </c>
      <c r="Q41" s="540">
        <v>1</v>
      </c>
      <c r="R41" s="535">
        <v>1</v>
      </c>
      <c r="S41" s="540">
        <v>1</v>
      </c>
      <c r="T41" s="539">
        <v>0.5</v>
      </c>
      <c r="U41" s="541">
        <v>1</v>
      </c>
    </row>
    <row r="42" spans="1:21" ht="14.4" customHeight="1" x14ac:dyDescent="0.3">
      <c r="A42" s="534">
        <v>28</v>
      </c>
      <c r="B42" s="535" t="s">
        <v>499</v>
      </c>
      <c r="C42" s="535" t="s">
        <v>507</v>
      </c>
      <c r="D42" s="536" t="s">
        <v>667</v>
      </c>
      <c r="E42" s="537" t="s">
        <v>517</v>
      </c>
      <c r="F42" s="535" t="s">
        <v>506</v>
      </c>
      <c r="G42" s="535" t="s">
        <v>641</v>
      </c>
      <c r="H42" s="535" t="s">
        <v>465</v>
      </c>
      <c r="I42" s="535" t="s">
        <v>642</v>
      </c>
      <c r="J42" s="535" t="s">
        <v>643</v>
      </c>
      <c r="K42" s="535" t="s">
        <v>644</v>
      </c>
      <c r="L42" s="538">
        <v>0</v>
      </c>
      <c r="M42" s="538">
        <v>0</v>
      </c>
      <c r="N42" s="535">
        <v>1</v>
      </c>
      <c r="O42" s="539">
        <v>1</v>
      </c>
      <c r="P42" s="538"/>
      <c r="Q42" s="540"/>
      <c r="R42" s="535"/>
      <c r="S42" s="540">
        <v>0</v>
      </c>
      <c r="T42" s="539"/>
      <c r="U42" s="541">
        <v>0</v>
      </c>
    </row>
    <row r="43" spans="1:21" ht="14.4" customHeight="1" x14ac:dyDescent="0.3">
      <c r="A43" s="534">
        <v>28</v>
      </c>
      <c r="B43" s="535" t="s">
        <v>499</v>
      </c>
      <c r="C43" s="535" t="s">
        <v>507</v>
      </c>
      <c r="D43" s="536" t="s">
        <v>667</v>
      </c>
      <c r="E43" s="537" t="s">
        <v>517</v>
      </c>
      <c r="F43" s="535" t="s">
        <v>506</v>
      </c>
      <c r="G43" s="535" t="s">
        <v>645</v>
      </c>
      <c r="H43" s="535" t="s">
        <v>465</v>
      </c>
      <c r="I43" s="535" t="s">
        <v>646</v>
      </c>
      <c r="J43" s="535" t="s">
        <v>647</v>
      </c>
      <c r="K43" s="535" t="s">
        <v>648</v>
      </c>
      <c r="L43" s="538">
        <v>30.17</v>
      </c>
      <c r="M43" s="538">
        <v>60.34</v>
      </c>
      <c r="N43" s="535">
        <v>2</v>
      </c>
      <c r="O43" s="539">
        <v>1</v>
      </c>
      <c r="P43" s="538">
        <v>60.34</v>
      </c>
      <c r="Q43" s="540">
        <v>1</v>
      </c>
      <c r="R43" s="535">
        <v>2</v>
      </c>
      <c r="S43" s="540">
        <v>1</v>
      </c>
      <c r="T43" s="539">
        <v>1</v>
      </c>
      <c r="U43" s="541">
        <v>1</v>
      </c>
    </row>
    <row r="44" spans="1:21" ht="14.4" customHeight="1" x14ac:dyDescent="0.3">
      <c r="A44" s="534">
        <v>28</v>
      </c>
      <c r="B44" s="535" t="s">
        <v>499</v>
      </c>
      <c r="C44" s="535" t="s">
        <v>507</v>
      </c>
      <c r="D44" s="536" t="s">
        <v>667</v>
      </c>
      <c r="E44" s="537" t="s">
        <v>517</v>
      </c>
      <c r="F44" s="535" t="s">
        <v>506</v>
      </c>
      <c r="G44" s="535" t="s">
        <v>649</v>
      </c>
      <c r="H44" s="535" t="s">
        <v>668</v>
      </c>
      <c r="I44" s="535" t="s">
        <v>650</v>
      </c>
      <c r="J44" s="535" t="s">
        <v>651</v>
      </c>
      <c r="K44" s="535" t="s">
        <v>652</v>
      </c>
      <c r="L44" s="538">
        <v>63.75</v>
      </c>
      <c r="M44" s="538">
        <v>63.75</v>
      </c>
      <c r="N44" s="535">
        <v>1</v>
      </c>
      <c r="O44" s="539">
        <v>0.5</v>
      </c>
      <c r="P44" s="538">
        <v>63.75</v>
      </c>
      <c r="Q44" s="540">
        <v>1</v>
      </c>
      <c r="R44" s="535">
        <v>1</v>
      </c>
      <c r="S44" s="540">
        <v>1</v>
      </c>
      <c r="T44" s="539">
        <v>0.5</v>
      </c>
      <c r="U44" s="541">
        <v>1</v>
      </c>
    </row>
    <row r="45" spans="1:21" ht="14.4" customHeight="1" x14ac:dyDescent="0.3">
      <c r="A45" s="534">
        <v>28</v>
      </c>
      <c r="B45" s="535" t="s">
        <v>499</v>
      </c>
      <c r="C45" s="535" t="s">
        <v>507</v>
      </c>
      <c r="D45" s="536" t="s">
        <v>667</v>
      </c>
      <c r="E45" s="537" t="s">
        <v>517</v>
      </c>
      <c r="F45" s="535" t="s">
        <v>506</v>
      </c>
      <c r="G45" s="535" t="s">
        <v>568</v>
      </c>
      <c r="H45" s="535" t="s">
        <v>465</v>
      </c>
      <c r="I45" s="535" t="s">
        <v>569</v>
      </c>
      <c r="J45" s="535" t="s">
        <v>570</v>
      </c>
      <c r="K45" s="535" t="s">
        <v>571</v>
      </c>
      <c r="L45" s="538">
        <v>68.819999999999993</v>
      </c>
      <c r="M45" s="538">
        <v>137.63999999999999</v>
      </c>
      <c r="N45" s="535">
        <v>2</v>
      </c>
      <c r="O45" s="539">
        <v>1</v>
      </c>
      <c r="P45" s="538">
        <v>137.63999999999999</v>
      </c>
      <c r="Q45" s="540">
        <v>1</v>
      </c>
      <c r="R45" s="535">
        <v>2</v>
      </c>
      <c r="S45" s="540">
        <v>1</v>
      </c>
      <c r="T45" s="539">
        <v>1</v>
      </c>
      <c r="U45" s="541">
        <v>1</v>
      </c>
    </row>
    <row r="46" spans="1:21" ht="14.4" customHeight="1" x14ac:dyDescent="0.3">
      <c r="A46" s="534">
        <v>28</v>
      </c>
      <c r="B46" s="535" t="s">
        <v>499</v>
      </c>
      <c r="C46" s="535" t="s">
        <v>507</v>
      </c>
      <c r="D46" s="536" t="s">
        <v>667</v>
      </c>
      <c r="E46" s="537" t="s">
        <v>518</v>
      </c>
      <c r="F46" s="535" t="s">
        <v>506</v>
      </c>
      <c r="G46" s="535" t="s">
        <v>613</v>
      </c>
      <c r="H46" s="535" t="s">
        <v>668</v>
      </c>
      <c r="I46" s="535" t="s">
        <v>614</v>
      </c>
      <c r="J46" s="535" t="s">
        <v>615</v>
      </c>
      <c r="K46" s="535" t="s">
        <v>616</v>
      </c>
      <c r="L46" s="538">
        <v>70.540000000000006</v>
      </c>
      <c r="M46" s="538">
        <v>70.540000000000006</v>
      </c>
      <c r="N46" s="535">
        <v>1</v>
      </c>
      <c r="O46" s="539">
        <v>0.5</v>
      </c>
      <c r="P46" s="538">
        <v>70.540000000000006</v>
      </c>
      <c r="Q46" s="540">
        <v>1</v>
      </c>
      <c r="R46" s="535">
        <v>1</v>
      </c>
      <c r="S46" s="540">
        <v>1</v>
      </c>
      <c r="T46" s="539">
        <v>0.5</v>
      </c>
      <c r="U46" s="541">
        <v>1</v>
      </c>
    </row>
    <row r="47" spans="1:21" ht="14.4" customHeight="1" x14ac:dyDescent="0.3">
      <c r="A47" s="534">
        <v>28</v>
      </c>
      <c r="B47" s="535" t="s">
        <v>499</v>
      </c>
      <c r="C47" s="535" t="s">
        <v>507</v>
      </c>
      <c r="D47" s="536" t="s">
        <v>667</v>
      </c>
      <c r="E47" s="537" t="s">
        <v>518</v>
      </c>
      <c r="F47" s="535" t="s">
        <v>506</v>
      </c>
      <c r="G47" s="535" t="s">
        <v>653</v>
      </c>
      <c r="H47" s="535" t="s">
        <v>465</v>
      </c>
      <c r="I47" s="535" t="s">
        <v>654</v>
      </c>
      <c r="J47" s="535" t="s">
        <v>655</v>
      </c>
      <c r="K47" s="535" t="s">
        <v>656</v>
      </c>
      <c r="L47" s="538">
        <v>0</v>
      </c>
      <c r="M47" s="538">
        <v>0</v>
      </c>
      <c r="N47" s="535">
        <v>1</v>
      </c>
      <c r="O47" s="539">
        <v>1</v>
      </c>
      <c r="P47" s="538">
        <v>0</v>
      </c>
      <c r="Q47" s="540"/>
      <c r="R47" s="535">
        <v>1</v>
      </c>
      <c r="S47" s="540">
        <v>1</v>
      </c>
      <c r="T47" s="539">
        <v>1</v>
      </c>
      <c r="U47" s="541">
        <v>1</v>
      </c>
    </row>
    <row r="48" spans="1:21" ht="14.4" customHeight="1" x14ac:dyDescent="0.3">
      <c r="A48" s="534">
        <v>28</v>
      </c>
      <c r="B48" s="535" t="s">
        <v>499</v>
      </c>
      <c r="C48" s="535" t="s">
        <v>507</v>
      </c>
      <c r="D48" s="536" t="s">
        <v>667</v>
      </c>
      <c r="E48" s="537" t="s">
        <v>518</v>
      </c>
      <c r="F48" s="535" t="s">
        <v>506</v>
      </c>
      <c r="G48" s="535" t="s">
        <v>532</v>
      </c>
      <c r="H48" s="535" t="s">
        <v>465</v>
      </c>
      <c r="I48" s="535" t="s">
        <v>595</v>
      </c>
      <c r="J48" s="535" t="s">
        <v>596</v>
      </c>
      <c r="K48" s="535" t="s">
        <v>597</v>
      </c>
      <c r="L48" s="538">
        <v>89.91</v>
      </c>
      <c r="M48" s="538">
        <v>89.91</v>
      </c>
      <c r="N48" s="535">
        <v>1</v>
      </c>
      <c r="O48" s="539">
        <v>1</v>
      </c>
      <c r="P48" s="538"/>
      <c r="Q48" s="540">
        <v>0</v>
      </c>
      <c r="R48" s="535"/>
      <c r="S48" s="540">
        <v>0</v>
      </c>
      <c r="T48" s="539"/>
      <c r="U48" s="541">
        <v>0</v>
      </c>
    </row>
    <row r="49" spans="1:21" ht="14.4" customHeight="1" x14ac:dyDescent="0.3">
      <c r="A49" s="534">
        <v>28</v>
      </c>
      <c r="B49" s="535" t="s">
        <v>499</v>
      </c>
      <c r="C49" s="535" t="s">
        <v>507</v>
      </c>
      <c r="D49" s="536" t="s">
        <v>667</v>
      </c>
      <c r="E49" s="537" t="s">
        <v>518</v>
      </c>
      <c r="F49" s="535" t="s">
        <v>506</v>
      </c>
      <c r="G49" s="535" t="s">
        <v>657</v>
      </c>
      <c r="H49" s="535" t="s">
        <v>465</v>
      </c>
      <c r="I49" s="535" t="s">
        <v>658</v>
      </c>
      <c r="J49" s="535" t="s">
        <v>659</v>
      </c>
      <c r="K49" s="535" t="s">
        <v>660</v>
      </c>
      <c r="L49" s="538">
        <v>0</v>
      </c>
      <c r="M49" s="538">
        <v>0</v>
      </c>
      <c r="N49" s="535">
        <v>1</v>
      </c>
      <c r="O49" s="539">
        <v>0.5</v>
      </c>
      <c r="P49" s="538">
        <v>0</v>
      </c>
      <c r="Q49" s="540"/>
      <c r="R49" s="535">
        <v>1</v>
      </c>
      <c r="S49" s="540">
        <v>1</v>
      </c>
      <c r="T49" s="539">
        <v>0.5</v>
      </c>
      <c r="U49" s="541">
        <v>1</v>
      </c>
    </row>
    <row r="50" spans="1:21" ht="14.4" customHeight="1" x14ac:dyDescent="0.3">
      <c r="A50" s="534">
        <v>28</v>
      </c>
      <c r="B50" s="535" t="s">
        <v>499</v>
      </c>
      <c r="C50" s="535" t="s">
        <v>507</v>
      </c>
      <c r="D50" s="536" t="s">
        <v>667</v>
      </c>
      <c r="E50" s="537" t="s">
        <v>519</v>
      </c>
      <c r="F50" s="535" t="s">
        <v>506</v>
      </c>
      <c r="G50" s="535" t="s">
        <v>661</v>
      </c>
      <c r="H50" s="535" t="s">
        <v>465</v>
      </c>
      <c r="I50" s="535" t="s">
        <v>662</v>
      </c>
      <c r="J50" s="535" t="s">
        <v>663</v>
      </c>
      <c r="K50" s="535" t="s">
        <v>664</v>
      </c>
      <c r="L50" s="538">
        <v>214.5</v>
      </c>
      <c r="M50" s="538">
        <v>643.5</v>
      </c>
      <c r="N50" s="535">
        <v>3</v>
      </c>
      <c r="O50" s="539">
        <v>2</v>
      </c>
      <c r="P50" s="538">
        <v>214.5</v>
      </c>
      <c r="Q50" s="540">
        <v>0.33333333333333331</v>
      </c>
      <c r="R50" s="535">
        <v>1</v>
      </c>
      <c r="S50" s="540">
        <v>0.33333333333333331</v>
      </c>
      <c r="T50" s="539">
        <v>1</v>
      </c>
      <c r="U50" s="541">
        <v>0.5</v>
      </c>
    </row>
    <row r="51" spans="1:21" ht="14.4" customHeight="1" thickBot="1" x14ac:dyDescent="0.35">
      <c r="A51" s="526">
        <v>28</v>
      </c>
      <c r="B51" s="527" t="s">
        <v>499</v>
      </c>
      <c r="C51" s="527" t="s">
        <v>507</v>
      </c>
      <c r="D51" s="528" t="s">
        <v>667</v>
      </c>
      <c r="E51" s="529" t="s">
        <v>519</v>
      </c>
      <c r="F51" s="527" t="s">
        <v>506</v>
      </c>
      <c r="G51" s="527" t="s">
        <v>633</v>
      </c>
      <c r="H51" s="527" t="s">
        <v>465</v>
      </c>
      <c r="I51" s="527" t="s">
        <v>665</v>
      </c>
      <c r="J51" s="527" t="s">
        <v>635</v>
      </c>
      <c r="K51" s="527" t="s">
        <v>666</v>
      </c>
      <c r="L51" s="530">
        <v>0</v>
      </c>
      <c r="M51" s="530">
        <v>0</v>
      </c>
      <c r="N51" s="527">
        <v>1</v>
      </c>
      <c r="O51" s="531">
        <v>1</v>
      </c>
      <c r="P51" s="530"/>
      <c r="Q51" s="532"/>
      <c r="R51" s="527"/>
      <c r="S51" s="532">
        <v>0</v>
      </c>
      <c r="T51" s="531"/>
      <c r="U51" s="533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670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277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542" t="s">
        <v>162</v>
      </c>
      <c r="B4" s="543" t="s">
        <v>14</v>
      </c>
      <c r="C4" s="544" t="s">
        <v>2</v>
      </c>
      <c r="D4" s="543" t="s">
        <v>14</v>
      </c>
      <c r="E4" s="544" t="s">
        <v>2</v>
      </c>
      <c r="F4" s="545" t="s">
        <v>14</v>
      </c>
    </row>
    <row r="5" spans="1:6" ht="14.4" customHeight="1" x14ac:dyDescent="0.3">
      <c r="A5" s="558" t="s">
        <v>517</v>
      </c>
      <c r="B5" s="116"/>
      <c r="C5" s="525">
        <v>0</v>
      </c>
      <c r="D5" s="116">
        <v>63.75</v>
      </c>
      <c r="E5" s="525">
        <v>1</v>
      </c>
      <c r="F5" s="546">
        <v>63.75</v>
      </c>
    </row>
    <row r="6" spans="1:6" ht="14.4" customHeight="1" x14ac:dyDescent="0.3">
      <c r="A6" s="559" t="s">
        <v>513</v>
      </c>
      <c r="B6" s="547"/>
      <c r="C6" s="540">
        <v>0</v>
      </c>
      <c r="D6" s="547">
        <v>48.27</v>
      </c>
      <c r="E6" s="540">
        <v>1</v>
      </c>
      <c r="F6" s="548">
        <v>48.27</v>
      </c>
    </row>
    <row r="7" spans="1:6" ht="14.4" customHeight="1" x14ac:dyDescent="0.3">
      <c r="A7" s="559" t="s">
        <v>518</v>
      </c>
      <c r="B7" s="547"/>
      <c r="C7" s="540">
        <v>0</v>
      </c>
      <c r="D7" s="547">
        <v>70.540000000000006</v>
      </c>
      <c r="E7" s="540">
        <v>1</v>
      </c>
      <c r="F7" s="548">
        <v>70.540000000000006</v>
      </c>
    </row>
    <row r="8" spans="1:6" ht="14.4" customHeight="1" x14ac:dyDescent="0.3">
      <c r="A8" s="559" t="s">
        <v>514</v>
      </c>
      <c r="B8" s="547"/>
      <c r="C8" s="540">
        <v>0</v>
      </c>
      <c r="D8" s="547">
        <v>308.72000000000003</v>
      </c>
      <c r="E8" s="540">
        <v>1</v>
      </c>
      <c r="F8" s="548">
        <v>308.72000000000003</v>
      </c>
    </row>
    <row r="9" spans="1:6" ht="14.4" customHeight="1" thickBot="1" x14ac:dyDescent="0.35">
      <c r="A9" s="560" t="s">
        <v>516</v>
      </c>
      <c r="B9" s="551"/>
      <c r="C9" s="552">
        <v>0</v>
      </c>
      <c r="D9" s="551">
        <v>639.88</v>
      </c>
      <c r="E9" s="552">
        <v>1</v>
      </c>
      <c r="F9" s="553">
        <v>639.88</v>
      </c>
    </row>
    <row r="10" spans="1:6" ht="14.4" customHeight="1" thickBot="1" x14ac:dyDescent="0.35">
      <c r="A10" s="554" t="s">
        <v>3</v>
      </c>
      <c r="B10" s="555"/>
      <c r="C10" s="556">
        <v>0</v>
      </c>
      <c r="D10" s="555">
        <v>1131.1599999999999</v>
      </c>
      <c r="E10" s="556">
        <v>1</v>
      </c>
      <c r="F10" s="557">
        <v>1131.1599999999999</v>
      </c>
    </row>
    <row r="11" spans="1:6" ht="14.4" customHeight="1" thickBot="1" x14ac:dyDescent="0.35"/>
    <row r="12" spans="1:6" ht="14.4" customHeight="1" x14ac:dyDescent="0.3">
      <c r="A12" s="558" t="s">
        <v>671</v>
      </c>
      <c r="B12" s="116"/>
      <c r="C12" s="525">
        <v>0</v>
      </c>
      <c r="D12" s="116">
        <v>63.75</v>
      </c>
      <c r="E12" s="525">
        <v>1</v>
      </c>
      <c r="F12" s="546">
        <v>63.75</v>
      </c>
    </row>
    <row r="13" spans="1:6" ht="14.4" customHeight="1" x14ac:dyDescent="0.3">
      <c r="A13" s="559" t="s">
        <v>672</v>
      </c>
      <c r="B13" s="547"/>
      <c r="C13" s="540">
        <v>0</v>
      </c>
      <c r="D13" s="547">
        <v>48.27</v>
      </c>
      <c r="E13" s="540">
        <v>1</v>
      </c>
      <c r="F13" s="548">
        <v>48.27</v>
      </c>
    </row>
    <row r="14" spans="1:6" ht="14.4" customHeight="1" x14ac:dyDescent="0.3">
      <c r="A14" s="559" t="s">
        <v>673</v>
      </c>
      <c r="B14" s="547"/>
      <c r="C14" s="540">
        <v>0</v>
      </c>
      <c r="D14" s="547">
        <v>69.16</v>
      </c>
      <c r="E14" s="540">
        <v>1</v>
      </c>
      <c r="F14" s="548">
        <v>69.16</v>
      </c>
    </row>
    <row r="15" spans="1:6" ht="14.4" customHeight="1" x14ac:dyDescent="0.3">
      <c r="A15" s="559" t="s">
        <v>674</v>
      </c>
      <c r="B15" s="547"/>
      <c r="C15" s="540">
        <v>0</v>
      </c>
      <c r="D15" s="547">
        <v>308.72000000000003</v>
      </c>
      <c r="E15" s="540">
        <v>1</v>
      </c>
      <c r="F15" s="548">
        <v>308.72000000000003</v>
      </c>
    </row>
    <row r="16" spans="1:6" ht="14.4" customHeight="1" thickBot="1" x14ac:dyDescent="0.35">
      <c r="A16" s="560" t="s">
        <v>675</v>
      </c>
      <c r="B16" s="551"/>
      <c r="C16" s="552">
        <v>0</v>
      </c>
      <c r="D16" s="551">
        <v>641.26</v>
      </c>
      <c r="E16" s="552">
        <v>1</v>
      </c>
      <c r="F16" s="553">
        <v>641.26</v>
      </c>
    </row>
    <row r="17" spans="1:6" ht="14.4" customHeight="1" thickBot="1" x14ac:dyDescent="0.35">
      <c r="A17" s="554" t="s">
        <v>3</v>
      </c>
      <c r="B17" s="555"/>
      <c r="C17" s="556">
        <v>0</v>
      </c>
      <c r="D17" s="555">
        <v>1131.1600000000001</v>
      </c>
      <c r="E17" s="556">
        <v>1</v>
      </c>
      <c r="F17" s="557">
        <v>1131.1600000000001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{6BD336D6-73CF-4EA5-9A6D-085FC9B88F13}</x14:id>
        </ext>
      </extLst>
    </cfRule>
  </conditionalFormatting>
  <conditionalFormatting sqref="F12:F1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{820E6DAD-C4CE-4E2A-A802-738F248677C0}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BD336D6-73CF-4EA5-9A6D-085FC9B88F1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820E6DAD-C4CE-4E2A-A802-738F248677C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F12:F16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681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277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12</v>
      </c>
      <c r="J3" s="43">
        <f>SUBTOTAL(9,J6:J1048576)</f>
        <v>1131.1600000000001</v>
      </c>
      <c r="K3" s="44">
        <f>IF(M3=0,0,J3/M3)</f>
        <v>1</v>
      </c>
      <c r="L3" s="43">
        <f>SUBTOTAL(9,L6:L1048576)</f>
        <v>12</v>
      </c>
      <c r="M3" s="45">
        <f>SUBTOTAL(9,M6:M1048576)</f>
        <v>1131.1600000000001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562" t="s">
        <v>135</v>
      </c>
      <c r="B5" s="563" t="s">
        <v>131</v>
      </c>
      <c r="C5" s="563" t="s">
        <v>71</v>
      </c>
      <c r="D5" s="563" t="s">
        <v>132</v>
      </c>
      <c r="E5" s="563" t="s">
        <v>133</v>
      </c>
      <c r="F5" s="564" t="s">
        <v>28</v>
      </c>
      <c r="G5" s="564" t="s">
        <v>14</v>
      </c>
      <c r="H5" s="544" t="s">
        <v>134</v>
      </c>
      <c r="I5" s="543" t="s">
        <v>28</v>
      </c>
      <c r="J5" s="564" t="s">
        <v>14</v>
      </c>
      <c r="K5" s="544" t="s">
        <v>134</v>
      </c>
      <c r="L5" s="543" t="s">
        <v>28</v>
      </c>
      <c r="M5" s="565" t="s">
        <v>14</v>
      </c>
    </row>
    <row r="6" spans="1:13" ht="14.4" customHeight="1" x14ac:dyDescent="0.3">
      <c r="A6" s="519" t="s">
        <v>517</v>
      </c>
      <c r="B6" s="520" t="s">
        <v>676</v>
      </c>
      <c r="C6" s="520" t="s">
        <v>650</v>
      </c>
      <c r="D6" s="520" t="s">
        <v>651</v>
      </c>
      <c r="E6" s="520" t="s">
        <v>652</v>
      </c>
      <c r="F6" s="116"/>
      <c r="G6" s="116"/>
      <c r="H6" s="525">
        <v>0</v>
      </c>
      <c r="I6" s="116">
        <v>1</v>
      </c>
      <c r="J6" s="116">
        <v>63.75</v>
      </c>
      <c r="K6" s="525">
        <v>1</v>
      </c>
      <c r="L6" s="116">
        <v>1</v>
      </c>
      <c r="M6" s="546">
        <v>63.75</v>
      </c>
    </row>
    <row r="7" spans="1:13" ht="14.4" customHeight="1" x14ac:dyDescent="0.3">
      <c r="A7" s="534" t="s">
        <v>513</v>
      </c>
      <c r="B7" s="535" t="s">
        <v>677</v>
      </c>
      <c r="C7" s="535" t="s">
        <v>561</v>
      </c>
      <c r="D7" s="535" t="s">
        <v>562</v>
      </c>
      <c r="E7" s="535" t="s">
        <v>563</v>
      </c>
      <c r="F7" s="547"/>
      <c r="G7" s="547"/>
      <c r="H7" s="540">
        <v>0</v>
      </c>
      <c r="I7" s="547">
        <v>1</v>
      </c>
      <c r="J7" s="547">
        <v>48.27</v>
      </c>
      <c r="K7" s="540">
        <v>1</v>
      </c>
      <c r="L7" s="547">
        <v>1</v>
      </c>
      <c r="M7" s="548">
        <v>48.27</v>
      </c>
    </row>
    <row r="8" spans="1:13" ht="14.4" customHeight="1" x14ac:dyDescent="0.3">
      <c r="A8" s="534" t="s">
        <v>514</v>
      </c>
      <c r="B8" s="535" t="s">
        <v>678</v>
      </c>
      <c r="C8" s="535" t="s">
        <v>588</v>
      </c>
      <c r="D8" s="535" t="s">
        <v>589</v>
      </c>
      <c r="E8" s="535" t="s">
        <v>590</v>
      </c>
      <c r="F8" s="547"/>
      <c r="G8" s="547"/>
      <c r="H8" s="540">
        <v>0</v>
      </c>
      <c r="I8" s="547">
        <v>2</v>
      </c>
      <c r="J8" s="547">
        <v>308.72000000000003</v>
      </c>
      <c r="K8" s="540">
        <v>1</v>
      </c>
      <c r="L8" s="547">
        <v>2</v>
      </c>
      <c r="M8" s="548">
        <v>308.72000000000003</v>
      </c>
    </row>
    <row r="9" spans="1:13" ht="14.4" customHeight="1" x14ac:dyDescent="0.3">
      <c r="A9" s="534" t="s">
        <v>518</v>
      </c>
      <c r="B9" s="535" t="s">
        <v>679</v>
      </c>
      <c r="C9" s="535" t="s">
        <v>614</v>
      </c>
      <c r="D9" s="535" t="s">
        <v>615</v>
      </c>
      <c r="E9" s="535" t="s">
        <v>616</v>
      </c>
      <c r="F9" s="547"/>
      <c r="G9" s="547"/>
      <c r="H9" s="540">
        <v>0</v>
      </c>
      <c r="I9" s="547">
        <v>1</v>
      </c>
      <c r="J9" s="547">
        <v>70.540000000000006</v>
      </c>
      <c r="K9" s="540">
        <v>1</v>
      </c>
      <c r="L9" s="547">
        <v>1</v>
      </c>
      <c r="M9" s="548">
        <v>70.540000000000006</v>
      </c>
    </row>
    <row r="10" spans="1:13" ht="14.4" customHeight="1" x14ac:dyDescent="0.3">
      <c r="A10" s="534" t="s">
        <v>516</v>
      </c>
      <c r="B10" s="535" t="s">
        <v>679</v>
      </c>
      <c r="C10" s="535" t="s">
        <v>614</v>
      </c>
      <c r="D10" s="535" t="s">
        <v>615</v>
      </c>
      <c r="E10" s="535" t="s">
        <v>616</v>
      </c>
      <c r="F10" s="547"/>
      <c r="G10" s="547"/>
      <c r="H10" s="540">
        <v>0</v>
      </c>
      <c r="I10" s="547">
        <v>6</v>
      </c>
      <c r="J10" s="547">
        <v>570.72</v>
      </c>
      <c r="K10" s="540">
        <v>1</v>
      </c>
      <c r="L10" s="547">
        <v>6</v>
      </c>
      <c r="M10" s="548">
        <v>570.72</v>
      </c>
    </row>
    <row r="11" spans="1:13" ht="14.4" customHeight="1" thickBot="1" x14ac:dyDescent="0.35">
      <c r="A11" s="526" t="s">
        <v>516</v>
      </c>
      <c r="B11" s="527" t="s">
        <v>680</v>
      </c>
      <c r="C11" s="527" t="s">
        <v>624</v>
      </c>
      <c r="D11" s="527" t="s">
        <v>625</v>
      </c>
      <c r="E11" s="527" t="s">
        <v>626</v>
      </c>
      <c r="F11" s="549"/>
      <c r="G11" s="549"/>
      <c r="H11" s="532">
        <v>0</v>
      </c>
      <c r="I11" s="549">
        <v>1</v>
      </c>
      <c r="J11" s="549">
        <v>69.16</v>
      </c>
      <c r="K11" s="532">
        <v>1</v>
      </c>
      <c r="L11" s="549">
        <v>1</v>
      </c>
      <c r="M11" s="550">
        <v>69.16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139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277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2013</v>
      </c>
      <c r="D3" s="293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239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6" t="s">
        <v>463</v>
      </c>
      <c r="B5" s="447" t="s">
        <v>464</v>
      </c>
      <c r="C5" s="448" t="s">
        <v>465</v>
      </c>
      <c r="D5" s="448" t="s">
        <v>465</v>
      </c>
      <c r="E5" s="448"/>
      <c r="F5" s="448" t="s">
        <v>465</v>
      </c>
      <c r="G5" s="448" t="s">
        <v>465</v>
      </c>
      <c r="H5" s="448" t="s">
        <v>465</v>
      </c>
      <c r="I5" s="449" t="s">
        <v>465</v>
      </c>
      <c r="J5" s="450" t="s">
        <v>69</v>
      </c>
    </row>
    <row r="6" spans="1:10" ht="14.4" customHeight="1" x14ac:dyDescent="0.3">
      <c r="A6" s="446" t="s">
        <v>463</v>
      </c>
      <c r="B6" s="447" t="s">
        <v>290</v>
      </c>
      <c r="C6" s="448">
        <v>1326.2126299999998</v>
      </c>
      <c r="D6" s="448">
        <v>1771.7015400000009</v>
      </c>
      <c r="E6" s="448"/>
      <c r="F6" s="448">
        <v>2158.0312599999997</v>
      </c>
      <c r="G6" s="448">
        <v>3163.4999003574153</v>
      </c>
      <c r="H6" s="448">
        <v>-1005.4686403574156</v>
      </c>
      <c r="I6" s="449">
        <v>0.68216574299755262</v>
      </c>
      <c r="J6" s="450" t="s">
        <v>1</v>
      </c>
    </row>
    <row r="7" spans="1:10" ht="14.4" customHeight="1" x14ac:dyDescent="0.3">
      <c r="A7" s="446" t="s">
        <v>463</v>
      </c>
      <c r="B7" s="447" t="s">
        <v>291</v>
      </c>
      <c r="C7" s="448">
        <v>70.530850000000001</v>
      </c>
      <c r="D7" s="448">
        <v>119.27100999999999</v>
      </c>
      <c r="E7" s="448"/>
      <c r="F7" s="448">
        <v>203.14586</v>
      </c>
      <c r="G7" s="448">
        <v>183.74999586594302</v>
      </c>
      <c r="H7" s="448">
        <v>19.395864134056978</v>
      </c>
      <c r="I7" s="449">
        <v>1.1055557255533626</v>
      </c>
      <c r="J7" s="450" t="s">
        <v>1</v>
      </c>
    </row>
    <row r="8" spans="1:10" ht="14.4" customHeight="1" x14ac:dyDescent="0.3">
      <c r="A8" s="446" t="s">
        <v>463</v>
      </c>
      <c r="B8" s="447" t="s">
        <v>292</v>
      </c>
      <c r="C8" s="448">
        <v>16.742239999999001</v>
      </c>
      <c r="D8" s="448">
        <v>9.1995599999999982</v>
      </c>
      <c r="E8" s="448"/>
      <c r="F8" s="448">
        <v>6.2835500000000009</v>
      </c>
      <c r="G8" s="448">
        <v>17.999999433042749</v>
      </c>
      <c r="H8" s="448">
        <v>-11.716449433042747</v>
      </c>
      <c r="I8" s="449">
        <v>0.34908612210649492</v>
      </c>
      <c r="J8" s="450" t="s">
        <v>1</v>
      </c>
    </row>
    <row r="9" spans="1:10" ht="14.4" customHeight="1" x14ac:dyDescent="0.3">
      <c r="A9" s="446" t="s">
        <v>463</v>
      </c>
      <c r="B9" s="447" t="s">
        <v>293</v>
      </c>
      <c r="C9" s="448">
        <v>110.44437000000002</v>
      </c>
      <c r="D9" s="448">
        <v>111.86216999999999</v>
      </c>
      <c r="E9" s="448"/>
      <c r="F9" s="448">
        <v>88.106700000000004</v>
      </c>
      <c r="G9" s="448">
        <v>197.99999376347924</v>
      </c>
      <c r="H9" s="448">
        <v>-109.89329376347924</v>
      </c>
      <c r="I9" s="449">
        <v>0.44498334734923178</v>
      </c>
      <c r="J9" s="450" t="s">
        <v>1</v>
      </c>
    </row>
    <row r="10" spans="1:10" ht="14.4" customHeight="1" x14ac:dyDescent="0.3">
      <c r="A10" s="446" t="s">
        <v>463</v>
      </c>
      <c r="B10" s="447" t="s">
        <v>294</v>
      </c>
      <c r="C10" s="448" t="s">
        <v>465</v>
      </c>
      <c r="D10" s="448">
        <v>8.1699999999999995E-2</v>
      </c>
      <c r="E10" s="448"/>
      <c r="F10" s="448">
        <v>8.1600000000000006E-2</v>
      </c>
      <c r="G10" s="448">
        <v>6.1274998069499993E-2</v>
      </c>
      <c r="H10" s="448">
        <v>2.0325001930500013E-2</v>
      </c>
      <c r="I10" s="449">
        <v>1.3317013883451578</v>
      </c>
      <c r="J10" s="450" t="s">
        <v>1</v>
      </c>
    </row>
    <row r="11" spans="1:10" ht="14.4" customHeight="1" x14ac:dyDescent="0.3">
      <c r="A11" s="446" t="s">
        <v>463</v>
      </c>
      <c r="B11" s="447" t="s">
        <v>296</v>
      </c>
      <c r="C11" s="448">
        <v>5.3172499999989995</v>
      </c>
      <c r="D11" s="448">
        <v>5.2883199999999997</v>
      </c>
      <c r="E11" s="448"/>
      <c r="F11" s="448">
        <v>2.4590000000000001</v>
      </c>
      <c r="G11" s="448">
        <v>10.49999966927475</v>
      </c>
      <c r="H11" s="448">
        <v>-8.0409996692747505</v>
      </c>
      <c r="I11" s="449">
        <v>0.2341904835669244</v>
      </c>
      <c r="J11" s="450" t="s">
        <v>1</v>
      </c>
    </row>
    <row r="12" spans="1:10" ht="14.4" customHeight="1" x14ac:dyDescent="0.3">
      <c r="A12" s="446" t="s">
        <v>463</v>
      </c>
      <c r="B12" s="447" t="s">
        <v>297</v>
      </c>
      <c r="C12" s="448">
        <v>10.793939999998001</v>
      </c>
      <c r="D12" s="448">
        <v>9.4032400000000003</v>
      </c>
      <c r="E12" s="448"/>
      <c r="F12" s="448">
        <v>10.617039999999999</v>
      </c>
      <c r="G12" s="448">
        <v>11.999999622028501</v>
      </c>
      <c r="H12" s="448">
        <v>-1.3829596220285012</v>
      </c>
      <c r="I12" s="449">
        <v>0.88475336120096282</v>
      </c>
      <c r="J12" s="450" t="s">
        <v>1</v>
      </c>
    </row>
    <row r="13" spans="1:10" ht="14.4" customHeight="1" x14ac:dyDescent="0.3">
      <c r="A13" s="446" t="s">
        <v>463</v>
      </c>
      <c r="B13" s="447" t="s">
        <v>466</v>
      </c>
      <c r="C13" s="448">
        <v>1540.0412799999956</v>
      </c>
      <c r="D13" s="448">
        <v>2026.8075400000009</v>
      </c>
      <c r="E13" s="448"/>
      <c r="F13" s="448">
        <v>2468.7250099999997</v>
      </c>
      <c r="G13" s="448">
        <v>3585.8111637092534</v>
      </c>
      <c r="H13" s="448">
        <v>-1117.0861537092537</v>
      </c>
      <c r="I13" s="449">
        <v>0.68847044567909943</v>
      </c>
      <c r="J13" s="450" t="s">
        <v>467</v>
      </c>
    </row>
    <row r="15" spans="1:10" ht="14.4" customHeight="1" x14ac:dyDescent="0.3">
      <c r="A15" s="446" t="s">
        <v>463</v>
      </c>
      <c r="B15" s="447" t="s">
        <v>464</v>
      </c>
      <c r="C15" s="448" t="s">
        <v>465</v>
      </c>
      <c r="D15" s="448" t="s">
        <v>465</v>
      </c>
      <c r="E15" s="448"/>
      <c r="F15" s="448" t="s">
        <v>465</v>
      </c>
      <c r="G15" s="448" t="s">
        <v>465</v>
      </c>
      <c r="H15" s="448" t="s">
        <v>465</v>
      </c>
      <c r="I15" s="449" t="s">
        <v>465</v>
      </c>
      <c r="J15" s="450" t="s">
        <v>69</v>
      </c>
    </row>
    <row r="16" spans="1:10" ht="14.4" customHeight="1" x14ac:dyDescent="0.3">
      <c r="A16" s="446" t="s">
        <v>468</v>
      </c>
      <c r="B16" s="447" t="s">
        <v>469</v>
      </c>
      <c r="C16" s="448" t="s">
        <v>465</v>
      </c>
      <c r="D16" s="448" t="s">
        <v>465</v>
      </c>
      <c r="E16" s="448"/>
      <c r="F16" s="448" t="s">
        <v>465</v>
      </c>
      <c r="G16" s="448" t="s">
        <v>465</v>
      </c>
      <c r="H16" s="448" t="s">
        <v>465</v>
      </c>
      <c r="I16" s="449" t="s">
        <v>465</v>
      </c>
      <c r="J16" s="450" t="s">
        <v>0</v>
      </c>
    </row>
    <row r="17" spans="1:10" ht="14.4" customHeight="1" x14ac:dyDescent="0.3">
      <c r="A17" s="446" t="s">
        <v>468</v>
      </c>
      <c r="B17" s="447" t="s">
        <v>290</v>
      </c>
      <c r="C17" s="448">
        <v>5.8669200000000004</v>
      </c>
      <c r="D17" s="448">
        <v>0</v>
      </c>
      <c r="E17" s="448"/>
      <c r="F17" s="448" t="s">
        <v>465</v>
      </c>
      <c r="G17" s="448" t="s">
        <v>465</v>
      </c>
      <c r="H17" s="448" t="s">
        <v>465</v>
      </c>
      <c r="I17" s="449" t="s">
        <v>465</v>
      </c>
      <c r="J17" s="450" t="s">
        <v>1</v>
      </c>
    </row>
    <row r="18" spans="1:10" ht="14.4" customHeight="1" x14ac:dyDescent="0.3">
      <c r="A18" s="446" t="s">
        <v>468</v>
      </c>
      <c r="B18" s="447" t="s">
        <v>291</v>
      </c>
      <c r="C18" s="448" t="s">
        <v>465</v>
      </c>
      <c r="D18" s="448" t="s">
        <v>465</v>
      </c>
      <c r="E18" s="448"/>
      <c r="F18" s="448">
        <v>7.8891999999999998</v>
      </c>
      <c r="G18" s="448">
        <v>0</v>
      </c>
      <c r="H18" s="448">
        <v>7.8891999999999998</v>
      </c>
      <c r="I18" s="449" t="s">
        <v>465</v>
      </c>
      <c r="J18" s="450" t="s">
        <v>1</v>
      </c>
    </row>
    <row r="19" spans="1:10" ht="14.4" customHeight="1" x14ac:dyDescent="0.3">
      <c r="A19" s="446" t="s">
        <v>468</v>
      </c>
      <c r="B19" s="447" t="s">
        <v>292</v>
      </c>
      <c r="C19" s="448">
        <v>14.36131</v>
      </c>
      <c r="D19" s="448">
        <v>6.8710499999999994</v>
      </c>
      <c r="E19" s="448"/>
      <c r="F19" s="448">
        <v>3.1656300000000002</v>
      </c>
      <c r="G19" s="448">
        <v>13.055312931399749</v>
      </c>
      <c r="H19" s="448">
        <v>-9.889682931399749</v>
      </c>
      <c r="I19" s="449">
        <v>0.24247829344528712</v>
      </c>
      <c r="J19" s="450" t="s">
        <v>1</v>
      </c>
    </row>
    <row r="20" spans="1:10" ht="14.4" customHeight="1" x14ac:dyDescent="0.3">
      <c r="A20" s="446" t="s">
        <v>468</v>
      </c>
      <c r="B20" s="447" t="s">
        <v>293</v>
      </c>
      <c r="C20" s="448">
        <v>22.514060000000001</v>
      </c>
      <c r="D20" s="448">
        <v>13.64358</v>
      </c>
      <c r="E20" s="448"/>
      <c r="F20" s="448">
        <v>6.2872200000000005</v>
      </c>
      <c r="G20" s="448">
        <v>16.934415774927</v>
      </c>
      <c r="H20" s="448">
        <v>-10.647195774926999</v>
      </c>
      <c r="I20" s="449">
        <v>0.3712687868044921</v>
      </c>
      <c r="J20" s="450" t="s">
        <v>1</v>
      </c>
    </row>
    <row r="21" spans="1:10" ht="14.4" customHeight="1" x14ac:dyDescent="0.3">
      <c r="A21" s="446" t="s">
        <v>468</v>
      </c>
      <c r="B21" s="447" t="s">
        <v>294</v>
      </c>
      <c r="C21" s="448" t="s">
        <v>465</v>
      </c>
      <c r="D21" s="448">
        <v>8.1699999999999995E-2</v>
      </c>
      <c r="E21" s="448"/>
      <c r="F21" s="448">
        <v>8.1600000000000006E-2</v>
      </c>
      <c r="G21" s="448">
        <v>6.1274998069499993E-2</v>
      </c>
      <c r="H21" s="448">
        <v>2.0325001930500013E-2</v>
      </c>
      <c r="I21" s="449">
        <v>1.3317013883451578</v>
      </c>
      <c r="J21" s="450" t="s">
        <v>1</v>
      </c>
    </row>
    <row r="22" spans="1:10" ht="14.4" customHeight="1" x14ac:dyDescent="0.3">
      <c r="A22" s="446" t="s">
        <v>468</v>
      </c>
      <c r="B22" s="447" t="s">
        <v>296</v>
      </c>
      <c r="C22" s="448">
        <v>4.8392499999999998</v>
      </c>
      <c r="D22" s="448">
        <v>4.8333199999999996</v>
      </c>
      <c r="E22" s="448"/>
      <c r="F22" s="448">
        <v>2.1520000000000001</v>
      </c>
      <c r="G22" s="448">
        <v>9.6770115398984995</v>
      </c>
      <c r="H22" s="448">
        <v>-7.5250115398984994</v>
      </c>
      <c r="I22" s="449">
        <v>0.222382704735575</v>
      </c>
      <c r="J22" s="450" t="s">
        <v>1</v>
      </c>
    </row>
    <row r="23" spans="1:10" ht="14.4" customHeight="1" x14ac:dyDescent="0.3">
      <c r="A23" s="446" t="s">
        <v>468</v>
      </c>
      <c r="B23" s="447" t="s">
        <v>297</v>
      </c>
      <c r="C23" s="448">
        <v>4.6864399999990001</v>
      </c>
      <c r="D23" s="448">
        <v>3.4365999999999999</v>
      </c>
      <c r="E23" s="448"/>
      <c r="F23" s="448">
        <v>4.0431999999999997</v>
      </c>
      <c r="G23" s="448">
        <v>4.3186315528987498</v>
      </c>
      <c r="H23" s="448">
        <v>-0.2754315528987501</v>
      </c>
      <c r="I23" s="449">
        <v>0.93622249327709495</v>
      </c>
      <c r="J23" s="450" t="s">
        <v>1</v>
      </c>
    </row>
    <row r="24" spans="1:10" ht="14.4" customHeight="1" x14ac:dyDescent="0.3">
      <c r="A24" s="446" t="s">
        <v>468</v>
      </c>
      <c r="B24" s="447" t="s">
        <v>470</v>
      </c>
      <c r="C24" s="448">
        <v>52.267979999999</v>
      </c>
      <c r="D24" s="448">
        <v>28.866250000000001</v>
      </c>
      <c r="E24" s="448"/>
      <c r="F24" s="448">
        <v>23.618850000000002</v>
      </c>
      <c r="G24" s="448">
        <v>44.046646797193503</v>
      </c>
      <c r="H24" s="448">
        <v>-20.427796797193501</v>
      </c>
      <c r="I24" s="449">
        <v>0.53622356563825679</v>
      </c>
      <c r="J24" s="450" t="s">
        <v>471</v>
      </c>
    </row>
    <row r="25" spans="1:10" ht="14.4" customHeight="1" x14ac:dyDescent="0.3">
      <c r="A25" s="446" t="s">
        <v>465</v>
      </c>
      <c r="B25" s="447" t="s">
        <v>465</v>
      </c>
      <c r="C25" s="448" t="s">
        <v>465</v>
      </c>
      <c r="D25" s="448" t="s">
        <v>465</v>
      </c>
      <c r="E25" s="448"/>
      <c r="F25" s="448" t="s">
        <v>465</v>
      </c>
      <c r="G25" s="448" t="s">
        <v>465</v>
      </c>
      <c r="H25" s="448" t="s">
        <v>465</v>
      </c>
      <c r="I25" s="449" t="s">
        <v>465</v>
      </c>
      <c r="J25" s="450" t="s">
        <v>472</v>
      </c>
    </row>
    <row r="26" spans="1:10" ht="14.4" customHeight="1" x14ac:dyDescent="0.3">
      <c r="A26" s="446" t="s">
        <v>473</v>
      </c>
      <c r="B26" s="447" t="s">
        <v>474</v>
      </c>
      <c r="C26" s="448" t="s">
        <v>465</v>
      </c>
      <c r="D26" s="448" t="s">
        <v>465</v>
      </c>
      <c r="E26" s="448"/>
      <c r="F26" s="448" t="s">
        <v>465</v>
      </c>
      <c r="G26" s="448" t="s">
        <v>465</v>
      </c>
      <c r="H26" s="448" t="s">
        <v>465</v>
      </c>
      <c r="I26" s="449" t="s">
        <v>465</v>
      </c>
      <c r="J26" s="450" t="s">
        <v>0</v>
      </c>
    </row>
    <row r="27" spans="1:10" ht="14.4" customHeight="1" x14ac:dyDescent="0.3">
      <c r="A27" s="446" t="s">
        <v>473</v>
      </c>
      <c r="B27" s="447" t="s">
        <v>290</v>
      </c>
      <c r="C27" s="448">
        <v>1320.3457099999998</v>
      </c>
      <c r="D27" s="448">
        <v>1771.7015400000009</v>
      </c>
      <c r="E27" s="448"/>
      <c r="F27" s="448">
        <v>2158.0312599999997</v>
      </c>
      <c r="G27" s="448">
        <v>3163.4999003574153</v>
      </c>
      <c r="H27" s="448">
        <v>-1005.4686403574156</v>
      </c>
      <c r="I27" s="449">
        <v>0.68216574299755262</v>
      </c>
      <c r="J27" s="450" t="s">
        <v>1</v>
      </c>
    </row>
    <row r="28" spans="1:10" ht="14.4" customHeight="1" x14ac:dyDescent="0.3">
      <c r="A28" s="446" t="s">
        <v>473</v>
      </c>
      <c r="B28" s="447" t="s">
        <v>291</v>
      </c>
      <c r="C28" s="448">
        <v>70.530850000000001</v>
      </c>
      <c r="D28" s="448">
        <v>119.27100999999999</v>
      </c>
      <c r="E28" s="448"/>
      <c r="F28" s="448">
        <v>195.25666000000001</v>
      </c>
      <c r="G28" s="448">
        <v>183.74999586594302</v>
      </c>
      <c r="H28" s="448">
        <v>11.50666413405699</v>
      </c>
      <c r="I28" s="449">
        <v>1.0626213028187048</v>
      </c>
      <c r="J28" s="450" t="s">
        <v>1</v>
      </c>
    </row>
    <row r="29" spans="1:10" ht="14.4" customHeight="1" x14ac:dyDescent="0.3">
      <c r="A29" s="446" t="s">
        <v>473</v>
      </c>
      <c r="B29" s="447" t="s">
        <v>292</v>
      </c>
      <c r="C29" s="448">
        <v>2.3809299999989997</v>
      </c>
      <c r="D29" s="448">
        <v>2.3285099999999996</v>
      </c>
      <c r="E29" s="448"/>
      <c r="F29" s="448">
        <v>3.1179200000000007</v>
      </c>
      <c r="G29" s="448">
        <v>4.9446865016430008</v>
      </c>
      <c r="H29" s="448">
        <v>-1.8267665016430001</v>
      </c>
      <c r="I29" s="449">
        <v>0.63055969250305166</v>
      </c>
      <c r="J29" s="450" t="s">
        <v>1</v>
      </c>
    </row>
    <row r="30" spans="1:10" ht="14.4" customHeight="1" x14ac:dyDescent="0.3">
      <c r="A30" s="446" t="s">
        <v>473</v>
      </c>
      <c r="B30" s="447" t="s">
        <v>293</v>
      </c>
      <c r="C30" s="448">
        <v>87.93031000000002</v>
      </c>
      <c r="D30" s="448">
        <v>98.218589999999992</v>
      </c>
      <c r="E30" s="448"/>
      <c r="F30" s="448">
        <v>81.819479999999999</v>
      </c>
      <c r="G30" s="448">
        <v>181.06557798855223</v>
      </c>
      <c r="H30" s="448">
        <v>-99.246097988552236</v>
      </c>
      <c r="I30" s="449">
        <v>0.45187760649444364</v>
      </c>
      <c r="J30" s="450" t="s">
        <v>1</v>
      </c>
    </row>
    <row r="31" spans="1:10" ht="14.4" customHeight="1" x14ac:dyDescent="0.3">
      <c r="A31" s="446" t="s">
        <v>473</v>
      </c>
      <c r="B31" s="447" t="s">
        <v>296</v>
      </c>
      <c r="C31" s="448">
        <v>0.477999999999</v>
      </c>
      <c r="D31" s="448">
        <v>0.45499999999999996</v>
      </c>
      <c r="E31" s="448"/>
      <c r="F31" s="448">
        <v>0.30700000000000005</v>
      </c>
      <c r="G31" s="448">
        <v>0.82298812937624999</v>
      </c>
      <c r="H31" s="448">
        <v>-0.51598812937624994</v>
      </c>
      <c r="I31" s="449">
        <v>0.37303089685227669</v>
      </c>
      <c r="J31" s="450" t="s">
        <v>1</v>
      </c>
    </row>
    <row r="32" spans="1:10" ht="14.4" customHeight="1" x14ac:dyDescent="0.3">
      <c r="A32" s="446" t="s">
        <v>473</v>
      </c>
      <c r="B32" s="447" t="s">
        <v>297</v>
      </c>
      <c r="C32" s="448">
        <v>6.1074999999990007</v>
      </c>
      <c r="D32" s="448">
        <v>5.9666399999999999</v>
      </c>
      <c r="E32" s="448"/>
      <c r="F32" s="448">
        <v>6.5738400000000006</v>
      </c>
      <c r="G32" s="448">
        <v>7.6813680691297499</v>
      </c>
      <c r="H32" s="448">
        <v>-1.1075280691297493</v>
      </c>
      <c r="I32" s="449">
        <v>0.85581630001812614</v>
      </c>
      <c r="J32" s="450" t="s">
        <v>1</v>
      </c>
    </row>
    <row r="33" spans="1:10" ht="14.4" customHeight="1" x14ac:dyDescent="0.3">
      <c r="A33" s="446" t="s">
        <v>473</v>
      </c>
      <c r="B33" s="447" t="s">
        <v>475</v>
      </c>
      <c r="C33" s="448">
        <v>1487.7732999999967</v>
      </c>
      <c r="D33" s="448">
        <v>1997.9412900000009</v>
      </c>
      <c r="E33" s="448"/>
      <c r="F33" s="448">
        <v>2445.1061599999998</v>
      </c>
      <c r="G33" s="448">
        <v>3541.7645169120601</v>
      </c>
      <c r="H33" s="448">
        <v>-1096.6583569120603</v>
      </c>
      <c r="I33" s="449">
        <v>0.69036384218220181</v>
      </c>
      <c r="J33" s="450" t="s">
        <v>471</v>
      </c>
    </row>
    <row r="34" spans="1:10" ht="14.4" customHeight="1" x14ac:dyDescent="0.3">
      <c r="A34" s="446" t="s">
        <v>465</v>
      </c>
      <c r="B34" s="447" t="s">
        <v>465</v>
      </c>
      <c r="C34" s="448" t="s">
        <v>465</v>
      </c>
      <c r="D34" s="448" t="s">
        <v>465</v>
      </c>
      <c r="E34" s="448"/>
      <c r="F34" s="448" t="s">
        <v>465</v>
      </c>
      <c r="G34" s="448" t="s">
        <v>465</v>
      </c>
      <c r="H34" s="448" t="s">
        <v>465</v>
      </c>
      <c r="I34" s="449" t="s">
        <v>465</v>
      </c>
      <c r="J34" s="450" t="s">
        <v>472</v>
      </c>
    </row>
    <row r="35" spans="1:10" ht="14.4" customHeight="1" x14ac:dyDescent="0.3">
      <c r="A35" s="446" t="s">
        <v>463</v>
      </c>
      <c r="B35" s="447" t="s">
        <v>466</v>
      </c>
      <c r="C35" s="448">
        <v>1540.0412799999956</v>
      </c>
      <c r="D35" s="448">
        <v>2026.8075400000009</v>
      </c>
      <c r="E35" s="448"/>
      <c r="F35" s="448">
        <v>2468.7250099999997</v>
      </c>
      <c r="G35" s="448">
        <v>3585.8111637092538</v>
      </c>
      <c r="H35" s="448">
        <v>-1117.0861537092542</v>
      </c>
      <c r="I35" s="449">
        <v>0.68847044567909932</v>
      </c>
      <c r="J35" s="450" t="s">
        <v>467</v>
      </c>
    </row>
  </sheetData>
  <mergeCells count="3">
    <mergeCell ref="A1:I1"/>
    <mergeCell ref="F3:I3"/>
    <mergeCell ref="C4:D4"/>
  </mergeCells>
  <conditionalFormatting sqref="F14 F36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5">
    <cfRule type="expression" dxfId="11" priority="5">
      <formula>$H15&gt;0</formula>
    </cfRule>
  </conditionalFormatting>
  <conditionalFormatting sqref="A15:A35">
    <cfRule type="expression" dxfId="10" priority="2">
      <formula>AND($J15&lt;&gt;"mezeraKL",$J15&lt;&gt;"")</formula>
    </cfRule>
  </conditionalFormatting>
  <conditionalFormatting sqref="I15:I35">
    <cfRule type="expression" dxfId="9" priority="6">
      <formula>$I15&gt;1</formula>
    </cfRule>
  </conditionalFormatting>
  <conditionalFormatting sqref="B15:B35">
    <cfRule type="expression" dxfId="8" priority="1">
      <formula>OR($J15="NS",$J15="SumaNS",$J15="Účet")</formula>
    </cfRule>
  </conditionalFormatting>
  <conditionalFormatting sqref="A15:D35 F15:I35">
    <cfRule type="expression" dxfId="7" priority="8">
      <formula>AND($J15&lt;&gt;"",$J15&lt;&gt;"mezeraKL")</formula>
    </cfRule>
  </conditionalFormatting>
  <conditionalFormatting sqref="B15:D35 F15:I35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5 F15:I35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9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1" t="s">
        <v>1055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4" t="s">
        <v>277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22.352644767430249</v>
      </c>
      <c r="J3" s="98">
        <f>SUBTOTAL(9,J5:J1048576)</f>
        <v>111101</v>
      </c>
      <c r="K3" s="99">
        <f>SUBTOTAL(9,K5:K1048576)</f>
        <v>2483401.186306268</v>
      </c>
    </row>
    <row r="4" spans="1:11" s="208" customFormat="1" ht="14.4" customHeight="1" thickBot="1" x14ac:dyDescent="0.35">
      <c r="A4" s="451" t="s">
        <v>4</v>
      </c>
      <c r="B4" s="452" t="s">
        <v>5</v>
      </c>
      <c r="C4" s="452" t="s">
        <v>0</v>
      </c>
      <c r="D4" s="452" t="s">
        <v>6</v>
      </c>
      <c r="E4" s="452" t="s">
        <v>7</v>
      </c>
      <c r="F4" s="452" t="s">
        <v>1</v>
      </c>
      <c r="G4" s="452" t="s">
        <v>71</v>
      </c>
      <c r="H4" s="453" t="s">
        <v>11</v>
      </c>
      <c r="I4" s="454" t="s">
        <v>142</v>
      </c>
      <c r="J4" s="454" t="s">
        <v>13</v>
      </c>
      <c r="K4" s="455" t="s">
        <v>156</v>
      </c>
    </row>
    <row r="5" spans="1:11" ht="14.4" customHeight="1" x14ac:dyDescent="0.3">
      <c r="A5" s="519" t="s">
        <v>463</v>
      </c>
      <c r="B5" s="520" t="s">
        <v>499</v>
      </c>
      <c r="C5" s="523" t="s">
        <v>468</v>
      </c>
      <c r="D5" s="566" t="s">
        <v>500</v>
      </c>
      <c r="E5" s="523" t="s">
        <v>1041</v>
      </c>
      <c r="F5" s="566" t="s">
        <v>1042</v>
      </c>
      <c r="G5" s="523" t="s">
        <v>682</v>
      </c>
      <c r="H5" s="523" t="s">
        <v>683</v>
      </c>
      <c r="I5" s="116">
        <v>4.3</v>
      </c>
      <c r="J5" s="116">
        <v>24</v>
      </c>
      <c r="K5" s="546">
        <v>103.2</v>
      </c>
    </row>
    <row r="6" spans="1:11" ht="14.4" customHeight="1" x14ac:dyDescent="0.3">
      <c r="A6" s="534" t="s">
        <v>463</v>
      </c>
      <c r="B6" s="535" t="s">
        <v>499</v>
      </c>
      <c r="C6" s="538" t="s">
        <v>468</v>
      </c>
      <c r="D6" s="567" t="s">
        <v>500</v>
      </c>
      <c r="E6" s="538" t="s">
        <v>1041</v>
      </c>
      <c r="F6" s="567" t="s">
        <v>1042</v>
      </c>
      <c r="G6" s="538" t="s">
        <v>684</v>
      </c>
      <c r="H6" s="538" t="s">
        <v>685</v>
      </c>
      <c r="I6" s="547">
        <v>5.63</v>
      </c>
      <c r="J6" s="547">
        <v>24</v>
      </c>
      <c r="K6" s="548">
        <v>135.05000000000001</v>
      </c>
    </row>
    <row r="7" spans="1:11" ht="14.4" customHeight="1" x14ac:dyDescent="0.3">
      <c r="A7" s="534" t="s">
        <v>463</v>
      </c>
      <c r="B7" s="535" t="s">
        <v>499</v>
      </c>
      <c r="C7" s="538" t="s">
        <v>468</v>
      </c>
      <c r="D7" s="567" t="s">
        <v>500</v>
      </c>
      <c r="E7" s="538" t="s">
        <v>1041</v>
      </c>
      <c r="F7" s="567" t="s">
        <v>1042</v>
      </c>
      <c r="G7" s="538" t="s">
        <v>686</v>
      </c>
      <c r="H7" s="538" t="s">
        <v>687</v>
      </c>
      <c r="I7" s="547">
        <v>1.84</v>
      </c>
      <c r="J7" s="547">
        <v>40</v>
      </c>
      <c r="K7" s="548">
        <v>73.599999999999994</v>
      </c>
    </row>
    <row r="8" spans="1:11" ht="14.4" customHeight="1" x14ac:dyDescent="0.3">
      <c r="A8" s="534" t="s">
        <v>463</v>
      </c>
      <c r="B8" s="535" t="s">
        <v>499</v>
      </c>
      <c r="C8" s="538" t="s">
        <v>468</v>
      </c>
      <c r="D8" s="567" t="s">
        <v>500</v>
      </c>
      <c r="E8" s="538" t="s">
        <v>1041</v>
      </c>
      <c r="F8" s="567" t="s">
        <v>1042</v>
      </c>
      <c r="G8" s="538" t="s">
        <v>688</v>
      </c>
      <c r="H8" s="538" t="s">
        <v>689</v>
      </c>
      <c r="I8" s="547">
        <v>2.39</v>
      </c>
      <c r="J8" s="547">
        <v>40</v>
      </c>
      <c r="K8" s="548">
        <v>95.6</v>
      </c>
    </row>
    <row r="9" spans="1:11" ht="14.4" customHeight="1" x14ac:dyDescent="0.3">
      <c r="A9" s="534" t="s">
        <v>463</v>
      </c>
      <c r="B9" s="535" t="s">
        <v>499</v>
      </c>
      <c r="C9" s="538" t="s">
        <v>468</v>
      </c>
      <c r="D9" s="567" t="s">
        <v>500</v>
      </c>
      <c r="E9" s="538" t="s">
        <v>1041</v>
      </c>
      <c r="F9" s="567" t="s">
        <v>1042</v>
      </c>
      <c r="G9" s="538" t="s">
        <v>690</v>
      </c>
      <c r="H9" s="538" t="s">
        <v>691</v>
      </c>
      <c r="I9" s="547">
        <v>0.58000000000000007</v>
      </c>
      <c r="J9" s="547">
        <v>1000</v>
      </c>
      <c r="K9" s="548">
        <v>580</v>
      </c>
    </row>
    <row r="10" spans="1:11" ht="14.4" customHeight="1" x14ac:dyDescent="0.3">
      <c r="A10" s="534" t="s">
        <v>463</v>
      </c>
      <c r="B10" s="535" t="s">
        <v>499</v>
      </c>
      <c r="C10" s="538" t="s">
        <v>468</v>
      </c>
      <c r="D10" s="567" t="s">
        <v>500</v>
      </c>
      <c r="E10" s="538" t="s">
        <v>1041</v>
      </c>
      <c r="F10" s="567" t="s">
        <v>1042</v>
      </c>
      <c r="G10" s="538" t="s">
        <v>692</v>
      </c>
      <c r="H10" s="538" t="s">
        <v>693</v>
      </c>
      <c r="I10" s="547">
        <v>2.95</v>
      </c>
      <c r="J10" s="547">
        <v>20</v>
      </c>
      <c r="K10" s="548">
        <v>59</v>
      </c>
    </row>
    <row r="11" spans="1:11" ht="14.4" customHeight="1" x14ac:dyDescent="0.3">
      <c r="A11" s="534" t="s">
        <v>463</v>
      </c>
      <c r="B11" s="535" t="s">
        <v>499</v>
      </c>
      <c r="C11" s="538" t="s">
        <v>468</v>
      </c>
      <c r="D11" s="567" t="s">
        <v>500</v>
      </c>
      <c r="E11" s="538" t="s">
        <v>1041</v>
      </c>
      <c r="F11" s="567" t="s">
        <v>1042</v>
      </c>
      <c r="G11" s="538" t="s">
        <v>694</v>
      </c>
      <c r="H11" s="538" t="s">
        <v>695</v>
      </c>
      <c r="I11" s="547">
        <v>8.5299999999999994</v>
      </c>
      <c r="J11" s="547">
        <v>2</v>
      </c>
      <c r="K11" s="548">
        <v>17.059999999999999</v>
      </c>
    </row>
    <row r="12" spans="1:11" ht="14.4" customHeight="1" x14ac:dyDescent="0.3">
      <c r="A12" s="534" t="s">
        <v>463</v>
      </c>
      <c r="B12" s="535" t="s">
        <v>499</v>
      </c>
      <c r="C12" s="538" t="s">
        <v>468</v>
      </c>
      <c r="D12" s="567" t="s">
        <v>500</v>
      </c>
      <c r="E12" s="538" t="s">
        <v>1041</v>
      </c>
      <c r="F12" s="567" t="s">
        <v>1042</v>
      </c>
      <c r="G12" s="538" t="s">
        <v>696</v>
      </c>
      <c r="H12" s="538" t="s">
        <v>697</v>
      </c>
      <c r="I12" s="547">
        <v>8.1999999999999993</v>
      </c>
      <c r="J12" s="547">
        <v>2</v>
      </c>
      <c r="K12" s="548">
        <v>16.399999999999999</v>
      </c>
    </row>
    <row r="13" spans="1:11" ht="14.4" customHeight="1" x14ac:dyDescent="0.3">
      <c r="A13" s="534" t="s">
        <v>463</v>
      </c>
      <c r="B13" s="535" t="s">
        <v>499</v>
      </c>
      <c r="C13" s="538" t="s">
        <v>468</v>
      </c>
      <c r="D13" s="567" t="s">
        <v>500</v>
      </c>
      <c r="E13" s="538" t="s">
        <v>1041</v>
      </c>
      <c r="F13" s="567" t="s">
        <v>1042</v>
      </c>
      <c r="G13" s="538" t="s">
        <v>698</v>
      </c>
      <c r="H13" s="538" t="s">
        <v>699</v>
      </c>
      <c r="I13" s="547">
        <v>28.457999999999998</v>
      </c>
      <c r="J13" s="547">
        <v>40</v>
      </c>
      <c r="K13" s="548">
        <v>1135.55</v>
      </c>
    </row>
    <row r="14" spans="1:11" ht="14.4" customHeight="1" x14ac:dyDescent="0.3">
      <c r="A14" s="534" t="s">
        <v>463</v>
      </c>
      <c r="B14" s="535" t="s">
        <v>499</v>
      </c>
      <c r="C14" s="538" t="s">
        <v>468</v>
      </c>
      <c r="D14" s="567" t="s">
        <v>500</v>
      </c>
      <c r="E14" s="538" t="s">
        <v>1041</v>
      </c>
      <c r="F14" s="567" t="s">
        <v>1042</v>
      </c>
      <c r="G14" s="538" t="s">
        <v>700</v>
      </c>
      <c r="H14" s="538" t="s">
        <v>701</v>
      </c>
      <c r="I14" s="547">
        <v>0.88</v>
      </c>
      <c r="J14" s="547">
        <v>4</v>
      </c>
      <c r="K14" s="548">
        <v>3.52</v>
      </c>
    </row>
    <row r="15" spans="1:11" ht="14.4" customHeight="1" x14ac:dyDescent="0.3">
      <c r="A15" s="534" t="s">
        <v>463</v>
      </c>
      <c r="B15" s="535" t="s">
        <v>499</v>
      </c>
      <c r="C15" s="538" t="s">
        <v>468</v>
      </c>
      <c r="D15" s="567" t="s">
        <v>500</v>
      </c>
      <c r="E15" s="538" t="s">
        <v>1041</v>
      </c>
      <c r="F15" s="567" t="s">
        <v>1042</v>
      </c>
      <c r="G15" s="538" t="s">
        <v>702</v>
      </c>
      <c r="H15" s="538" t="s">
        <v>703</v>
      </c>
      <c r="I15" s="547">
        <v>1.25</v>
      </c>
      <c r="J15" s="547">
        <v>100</v>
      </c>
      <c r="K15" s="548">
        <v>125</v>
      </c>
    </row>
    <row r="16" spans="1:11" ht="14.4" customHeight="1" x14ac:dyDescent="0.3">
      <c r="A16" s="534" t="s">
        <v>463</v>
      </c>
      <c r="B16" s="535" t="s">
        <v>499</v>
      </c>
      <c r="C16" s="538" t="s">
        <v>468</v>
      </c>
      <c r="D16" s="567" t="s">
        <v>500</v>
      </c>
      <c r="E16" s="538" t="s">
        <v>1041</v>
      </c>
      <c r="F16" s="567" t="s">
        <v>1042</v>
      </c>
      <c r="G16" s="538" t="s">
        <v>704</v>
      </c>
      <c r="H16" s="538" t="s">
        <v>705</v>
      </c>
      <c r="I16" s="547">
        <v>8.58</v>
      </c>
      <c r="J16" s="547">
        <v>12</v>
      </c>
      <c r="K16" s="548">
        <v>102.96</v>
      </c>
    </row>
    <row r="17" spans="1:11" ht="14.4" customHeight="1" x14ac:dyDescent="0.3">
      <c r="A17" s="534" t="s">
        <v>463</v>
      </c>
      <c r="B17" s="535" t="s">
        <v>499</v>
      </c>
      <c r="C17" s="538" t="s">
        <v>468</v>
      </c>
      <c r="D17" s="567" t="s">
        <v>500</v>
      </c>
      <c r="E17" s="538" t="s">
        <v>1041</v>
      </c>
      <c r="F17" s="567" t="s">
        <v>1042</v>
      </c>
      <c r="G17" s="538" t="s">
        <v>706</v>
      </c>
      <c r="H17" s="538" t="s">
        <v>707</v>
      </c>
      <c r="I17" s="547">
        <v>13.02</v>
      </c>
      <c r="J17" s="547">
        <v>1</v>
      </c>
      <c r="K17" s="548">
        <v>13.02</v>
      </c>
    </row>
    <row r="18" spans="1:11" ht="14.4" customHeight="1" x14ac:dyDescent="0.3">
      <c r="A18" s="534" t="s">
        <v>463</v>
      </c>
      <c r="B18" s="535" t="s">
        <v>499</v>
      </c>
      <c r="C18" s="538" t="s">
        <v>468</v>
      </c>
      <c r="D18" s="567" t="s">
        <v>500</v>
      </c>
      <c r="E18" s="538" t="s">
        <v>1041</v>
      </c>
      <c r="F18" s="567" t="s">
        <v>1042</v>
      </c>
      <c r="G18" s="538" t="s">
        <v>708</v>
      </c>
      <c r="H18" s="538" t="s">
        <v>709</v>
      </c>
      <c r="I18" s="547">
        <v>28.934285714285711</v>
      </c>
      <c r="J18" s="547">
        <v>8</v>
      </c>
      <c r="K18" s="548">
        <v>231.87</v>
      </c>
    </row>
    <row r="19" spans="1:11" ht="14.4" customHeight="1" x14ac:dyDescent="0.3">
      <c r="A19" s="534" t="s">
        <v>463</v>
      </c>
      <c r="B19" s="535" t="s">
        <v>499</v>
      </c>
      <c r="C19" s="538" t="s">
        <v>468</v>
      </c>
      <c r="D19" s="567" t="s">
        <v>500</v>
      </c>
      <c r="E19" s="538" t="s">
        <v>1041</v>
      </c>
      <c r="F19" s="567" t="s">
        <v>1042</v>
      </c>
      <c r="G19" s="538" t="s">
        <v>710</v>
      </c>
      <c r="H19" s="538" t="s">
        <v>711</v>
      </c>
      <c r="I19" s="547">
        <v>1.29</v>
      </c>
      <c r="J19" s="547">
        <v>20</v>
      </c>
      <c r="K19" s="548">
        <v>25.8</v>
      </c>
    </row>
    <row r="20" spans="1:11" ht="14.4" customHeight="1" x14ac:dyDescent="0.3">
      <c r="A20" s="534" t="s">
        <v>463</v>
      </c>
      <c r="B20" s="535" t="s">
        <v>499</v>
      </c>
      <c r="C20" s="538" t="s">
        <v>468</v>
      </c>
      <c r="D20" s="567" t="s">
        <v>500</v>
      </c>
      <c r="E20" s="538" t="s">
        <v>1041</v>
      </c>
      <c r="F20" s="567" t="s">
        <v>1042</v>
      </c>
      <c r="G20" s="538" t="s">
        <v>712</v>
      </c>
      <c r="H20" s="538" t="s">
        <v>713</v>
      </c>
      <c r="I20" s="547">
        <v>1.17</v>
      </c>
      <c r="J20" s="547">
        <v>30</v>
      </c>
      <c r="K20" s="548">
        <v>35.1</v>
      </c>
    </row>
    <row r="21" spans="1:11" ht="14.4" customHeight="1" x14ac:dyDescent="0.3">
      <c r="A21" s="534" t="s">
        <v>463</v>
      </c>
      <c r="B21" s="535" t="s">
        <v>499</v>
      </c>
      <c r="C21" s="538" t="s">
        <v>468</v>
      </c>
      <c r="D21" s="567" t="s">
        <v>500</v>
      </c>
      <c r="E21" s="538" t="s">
        <v>1041</v>
      </c>
      <c r="F21" s="567" t="s">
        <v>1042</v>
      </c>
      <c r="G21" s="538" t="s">
        <v>714</v>
      </c>
      <c r="H21" s="538" t="s">
        <v>715</v>
      </c>
      <c r="I21" s="547">
        <v>1.59</v>
      </c>
      <c r="J21" s="547">
        <v>40</v>
      </c>
      <c r="K21" s="548">
        <v>63.54</v>
      </c>
    </row>
    <row r="22" spans="1:11" ht="14.4" customHeight="1" x14ac:dyDescent="0.3">
      <c r="A22" s="534" t="s">
        <v>463</v>
      </c>
      <c r="B22" s="535" t="s">
        <v>499</v>
      </c>
      <c r="C22" s="538" t="s">
        <v>468</v>
      </c>
      <c r="D22" s="567" t="s">
        <v>500</v>
      </c>
      <c r="E22" s="538" t="s">
        <v>1041</v>
      </c>
      <c r="F22" s="567" t="s">
        <v>1042</v>
      </c>
      <c r="G22" s="538" t="s">
        <v>716</v>
      </c>
      <c r="H22" s="538" t="s">
        <v>717</v>
      </c>
      <c r="I22" s="547">
        <v>11.74</v>
      </c>
      <c r="J22" s="547">
        <v>2</v>
      </c>
      <c r="K22" s="548">
        <v>23.48</v>
      </c>
    </row>
    <row r="23" spans="1:11" ht="14.4" customHeight="1" x14ac:dyDescent="0.3">
      <c r="A23" s="534" t="s">
        <v>463</v>
      </c>
      <c r="B23" s="535" t="s">
        <v>499</v>
      </c>
      <c r="C23" s="538" t="s">
        <v>468</v>
      </c>
      <c r="D23" s="567" t="s">
        <v>500</v>
      </c>
      <c r="E23" s="538" t="s">
        <v>1041</v>
      </c>
      <c r="F23" s="567" t="s">
        <v>1042</v>
      </c>
      <c r="G23" s="538" t="s">
        <v>718</v>
      </c>
      <c r="H23" s="538" t="s">
        <v>719</v>
      </c>
      <c r="I23" s="547">
        <v>14.09</v>
      </c>
      <c r="J23" s="547">
        <v>2</v>
      </c>
      <c r="K23" s="548">
        <v>28.18</v>
      </c>
    </row>
    <row r="24" spans="1:11" ht="14.4" customHeight="1" x14ac:dyDescent="0.3">
      <c r="A24" s="534" t="s">
        <v>463</v>
      </c>
      <c r="B24" s="535" t="s">
        <v>499</v>
      </c>
      <c r="C24" s="538" t="s">
        <v>468</v>
      </c>
      <c r="D24" s="567" t="s">
        <v>500</v>
      </c>
      <c r="E24" s="538" t="s">
        <v>1041</v>
      </c>
      <c r="F24" s="567" t="s">
        <v>1042</v>
      </c>
      <c r="G24" s="538" t="s">
        <v>720</v>
      </c>
      <c r="H24" s="538" t="s">
        <v>721</v>
      </c>
      <c r="I24" s="547">
        <v>7.1</v>
      </c>
      <c r="J24" s="547">
        <v>4</v>
      </c>
      <c r="K24" s="548">
        <v>28.4</v>
      </c>
    </row>
    <row r="25" spans="1:11" ht="14.4" customHeight="1" x14ac:dyDescent="0.3">
      <c r="A25" s="534" t="s">
        <v>463</v>
      </c>
      <c r="B25" s="535" t="s">
        <v>499</v>
      </c>
      <c r="C25" s="538" t="s">
        <v>468</v>
      </c>
      <c r="D25" s="567" t="s">
        <v>500</v>
      </c>
      <c r="E25" s="538" t="s">
        <v>1041</v>
      </c>
      <c r="F25" s="567" t="s">
        <v>1042</v>
      </c>
      <c r="G25" s="538" t="s">
        <v>722</v>
      </c>
      <c r="H25" s="538" t="s">
        <v>723</v>
      </c>
      <c r="I25" s="547">
        <v>9.41</v>
      </c>
      <c r="J25" s="547">
        <v>2</v>
      </c>
      <c r="K25" s="548">
        <v>18.82</v>
      </c>
    </row>
    <row r="26" spans="1:11" ht="14.4" customHeight="1" x14ac:dyDescent="0.3">
      <c r="A26" s="534" t="s">
        <v>463</v>
      </c>
      <c r="B26" s="535" t="s">
        <v>499</v>
      </c>
      <c r="C26" s="538" t="s">
        <v>468</v>
      </c>
      <c r="D26" s="567" t="s">
        <v>500</v>
      </c>
      <c r="E26" s="538" t="s">
        <v>1041</v>
      </c>
      <c r="F26" s="567" t="s">
        <v>1042</v>
      </c>
      <c r="G26" s="538" t="s">
        <v>724</v>
      </c>
      <c r="H26" s="538" t="s">
        <v>725</v>
      </c>
      <c r="I26" s="547">
        <v>8.2799999999999994</v>
      </c>
      <c r="J26" s="547">
        <v>2</v>
      </c>
      <c r="K26" s="548">
        <v>16.559999999999999</v>
      </c>
    </row>
    <row r="27" spans="1:11" ht="14.4" customHeight="1" x14ac:dyDescent="0.3">
      <c r="A27" s="534" t="s">
        <v>463</v>
      </c>
      <c r="B27" s="535" t="s">
        <v>499</v>
      </c>
      <c r="C27" s="538" t="s">
        <v>468</v>
      </c>
      <c r="D27" s="567" t="s">
        <v>500</v>
      </c>
      <c r="E27" s="538" t="s">
        <v>1041</v>
      </c>
      <c r="F27" s="567" t="s">
        <v>1042</v>
      </c>
      <c r="G27" s="538" t="s">
        <v>726</v>
      </c>
      <c r="H27" s="538" t="s">
        <v>727</v>
      </c>
      <c r="I27" s="547">
        <v>5.92</v>
      </c>
      <c r="J27" s="547">
        <v>4</v>
      </c>
      <c r="K27" s="548">
        <v>23.68</v>
      </c>
    </row>
    <row r="28" spans="1:11" ht="14.4" customHeight="1" x14ac:dyDescent="0.3">
      <c r="A28" s="534" t="s">
        <v>463</v>
      </c>
      <c r="B28" s="535" t="s">
        <v>499</v>
      </c>
      <c r="C28" s="538" t="s">
        <v>468</v>
      </c>
      <c r="D28" s="567" t="s">
        <v>500</v>
      </c>
      <c r="E28" s="538" t="s">
        <v>1041</v>
      </c>
      <c r="F28" s="567" t="s">
        <v>1042</v>
      </c>
      <c r="G28" s="538" t="s">
        <v>728</v>
      </c>
      <c r="H28" s="538" t="s">
        <v>729</v>
      </c>
      <c r="I28" s="547">
        <v>2.59</v>
      </c>
      <c r="J28" s="547">
        <v>81</v>
      </c>
      <c r="K28" s="548">
        <v>210.24</v>
      </c>
    </row>
    <row r="29" spans="1:11" ht="14.4" customHeight="1" x14ac:dyDescent="0.3">
      <c r="A29" s="534" t="s">
        <v>463</v>
      </c>
      <c r="B29" s="535" t="s">
        <v>499</v>
      </c>
      <c r="C29" s="538" t="s">
        <v>468</v>
      </c>
      <c r="D29" s="567" t="s">
        <v>500</v>
      </c>
      <c r="E29" s="538" t="s">
        <v>1043</v>
      </c>
      <c r="F29" s="567" t="s">
        <v>1044</v>
      </c>
      <c r="G29" s="538" t="s">
        <v>730</v>
      </c>
      <c r="H29" s="538" t="s">
        <v>731</v>
      </c>
      <c r="I29" s="547">
        <v>94.38</v>
      </c>
      <c r="J29" s="547">
        <v>1</v>
      </c>
      <c r="K29" s="548">
        <v>94.38</v>
      </c>
    </row>
    <row r="30" spans="1:11" ht="14.4" customHeight="1" x14ac:dyDescent="0.3">
      <c r="A30" s="534" t="s">
        <v>463</v>
      </c>
      <c r="B30" s="535" t="s">
        <v>499</v>
      </c>
      <c r="C30" s="538" t="s">
        <v>468</v>
      </c>
      <c r="D30" s="567" t="s">
        <v>500</v>
      </c>
      <c r="E30" s="538" t="s">
        <v>1043</v>
      </c>
      <c r="F30" s="567" t="s">
        <v>1044</v>
      </c>
      <c r="G30" s="538" t="s">
        <v>732</v>
      </c>
      <c r="H30" s="538" t="s">
        <v>733</v>
      </c>
      <c r="I30" s="547">
        <v>2.37</v>
      </c>
      <c r="J30" s="547">
        <v>10</v>
      </c>
      <c r="K30" s="548">
        <v>23.7</v>
      </c>
    </row>
    <row r="31" spans="1:11" ht="14.4" customHeight="1" x14ac:dyDescent="0.3">
      <c r="A31" s="534" t="s">
        <v>463</v>
      </c>
      <c r="B31" s="535" t="s">
        <v>499</v>
      </c>
      <c r="C31" s="538" t="s">
        <v>468</v>
      </c>
      <c r="D31" s="567" t="s">
        <v>500</v>
      </c>
      <c r="E31" s="538" t="s">
        <v>1043</v>
      </c>
      <c r="F31" s="567" t="s">
        <v>1044</v>
      </c>
      <c r="G31" s="538" t="s">
        <v>734</v>
      </c>
      <c r="H31" s="538" t="s">
        <v>735</v>
      </c>
      <c r="I31" s="547">
        <v>1.99</v>
      </c>
      <c r="J31" s="547">
        <v>20</v>
      </c>
      <c r="K31" s="548">
        <v>39.799999999999997</v>
      </c>
    </row>
    <row r="32" spans="1:11" ht="14.4" customHeight="1" x14ac:dyDescent="0.3">
      <c r="A32" s="534" t="s">
        <v>463</v>
      </c>
      <c r="B32" s="535" t="s">
        <v>499</v>
      </c>
      <c r="C32" s="538" t="s">
        <v>468</v>
      </c>
      <c r="D32" s="567" t="s">
        <v>500</v>
      </c>
      <c r="E32" s="538" t="s">
        <v>1043</v>
      </c>
      <c r="F32" s="567" t="s">
        <v>1044</v>
      </c>
      <c r="G32" s="538" t="s">
        <v>736</v>
      </c>
      <c r="H32" s="538" t="s">
        <v>737</v>
      </c>
      <c r="I32" s="547">
        <v>2.0059999999999998</v>
      </c>
      <c r="J32" s="547">
        <v>600</v>
      </c>
      <c r="K32" s="548">
        <v>1206</v>
      </c>
    </row>
    <row r="33" spans="1:11" ht="14.4" customHeight="1" x14ac:dyDescent="0.3">
      <c r="A33" s="534" t="s">
        <v>463</v>
      </c>
      <c r="B33" s="535" t="s">
        <v>499</v>
      </c>
      <c r="C33" s="538" t="s">
        <v>468</v>
      </c>
      <c r="D33" s="567" t="s">
        <v>500</v>
      </c>
      <c r="E33" s="538" t="s">
        <v>1043</v>
      </c>
      <c r="F33" s="567" t="s">
        <v>1044</v>
      </c>
      <c r="G33" s="538" t="s">
        <v>738</v>
      </c>
      <c r="H33" s="538" t="s">
        <v>739</v>
      </c>
      <c r="I33" s="547">
        <v>1.8</v>
      </c>
      <c r="J33" s="547">
        <v>50</v>
      </c>
      <c r="K33" s="548">
        <v>90</v>
      </c>
    </row>
    <row r="34" spans="1:11" ht="14.4" customHeight="1" x14ac:dyDescent="0.3">
      <c r="A34" s="534" t="s">
        <v>463</v>
      </c>
      <c r="B34" s="535" t="s">
        <v>499</v>
      </c>
      <c r="C34" s="538" t="s">
        <v>468</v>
      </c>
      <c r="D34" s="567" t="s">
        <v>500</v>
      </c>
      <c r="E34" s="538" t="s">
        <v>1043</v>
      </c>
      <c r="F34" s="567" t="s">
        <v>1044</v>
      </c>
      <c r="G34" s="538" t="s">
        <v>740</v>
      </c>
      <c r="H34" s="538" t="s">
        <v>741</v>
      </c>
      <c r="I34" s="547">
        <v>2.4539999999999997</v>
      </c>
      <c r="J34" s="547">
        <v>450</v>
      </c>
      <c r="K34" s="548">
        <v>1102.5</v>
      </c>
    </row>
    <row r="35" spans="1:11" ht="14.4" customHeight="1" x14ac:dyDescent="0.3">
      <c r="A35" s="534" t="s">
        <v>463</v>
      </c>
      <c r="B35" s="535" t="s">
        <v>499</v>
      </c>
      <c r="C35" s="538" t="s">
        <v>468</v>
      </c>
      <c r="D35" s="567" t="s">
        <v>500</v>
      </c>
      <c r="E35" s="538" t="s">
        <v>1043</v>
      </c>
      <c r="F35" s="567" t="s">
        <v>1044</v>
      </c>
      <c r="G35" s="538" t="s">
        <v>742</v>
      </c>
      <c r="H35" s="538" t="s">
        <v>743</v>
      </c>
      <c r="I35" s="547">
        <v>1.1250000000000001E-2</v>
      </c>
      <c r="J35" s="547">
        <v>1200</v>
      </c>
      <c r="K35" s="548">
        <v>14</v>
      </c>
    </row>
    <row r="36" spans="1:11" ht="14.4" customHeight="1" x14ac:dyDescent="0.3">
      <c r="A36" s="534" t="s">
        <v>463</v>
      </c>
      <c r="B36" s="535" t="s">
        <v>499</v>
      </c>
      <c r="C36" s="538" t="s">
        <v>468</v>
      </c>
      <c r="D36" s="567" t="s">
        <v>500</v>
      </c>
      <c r="E36" s="538" t="s">
        <v>1043</v>
      </c>
      <c r="F36" s="567" t="s">
        <v>1044</v>
      </c>
      <c r="G36" s="538" t="s">
        <v>744</v>
      </c>
      <c r="H36" s="538" t="s">
        <v>745</v>
      </c>
      <c r="I36" s="547">
        <v>2.17</v>
      </c>
      <c r="J36" s="547">
        <v>10</v>
      </c>
      <c r="K36" s="548">
        <v>21.7</v>
      </c>
    </row>
    <row r="37" spans="1:11" ht="14.4" customHeight="1" x14ac:dyDescent="0.3">
      <c r="A37" s="534" t="s">
        <v>463</v>
      </c>
      <c r="B37" s="535" t="s">
        <v>499</v>
      </c>
      <c r="C37" s="538" t="s">
        <v>468</v>
      </c>
      <c r="D37" s="567" t="s">
        <v>500</v>
      </c>
      <c r="E37" s="538" t="s">
        <v>1043</v>
      </c>
      <c r="F37" s="567" t="s">
        <v>1044</v>
      </c>
      <c r="G37" s="538" t="s">
        <v>744</v>
      </c>
      <c r="H37" s="538" t="s">
        <v>746</v>
      </c>
      <c r="I37" s="547">
        <v>2.16</v>
      </c>
      <c r="J37" s="547">
        <v>20</v>
      </c>
      <c r="K37" s="548">
        <v>43.2</v>
      </c>
    </row>
    <row r="38" spans="1:11" ht="14.4" customHeight="1" x14ac:dyDescent="0.3">
      <c r="A38" s="534" t="s">
        <v>463</v>
      </c>
      <c r="B38" s="535" t="s">
        <v>499</v>
      </c>
      <c r="C38" s="538" t="s">
        <v>468</v>
      </c>
      <c r="D38" s="567" t="s">
        <v>500</v>
      </c>
      <c r="E38" s="538" t="s">
        <v>1043</v>
      </c>
      <c r="F38" s="567" t="s">
        <v>1044</v>
      </c>
      <c r="G38" s="538" t="s">
        <v>747</v>
      </c>
      <c r="H38" s="538" t="s">
        <v>748</v>
      </c>
      <c r="I38" s="547">
        <v>2.6349999999999998</v>
      </c>
      <c r="J38" s="547">
        <v>100</v>
      </c>
      <c r="K38" s="548">
        <v>263.5</v>
      </c>
    </row>
    <row r="39" spans="1:11" ht="14.4" customHeight="1" x14ac:dyDescent="0.3">
      <c r="A39" s="534" t="s">
        <v>463</v>
      </c>
      <c r="B39" s="535" t="s">
        <v>499</v>
      </c>
      <c r="C39" s="538" t="s">
        <v>468</v>
      </c>
      <c r="D39" s="567" t="s">
        <v>500</v>
      </c>
      <c r="E39" s="538" t="s">
        <v>1043</v>
      </c>
      <c r="F39" s="567" t="s">
        <v>1044</v>
      </c>
      <c r="G39" s="538" t="s">
        <v>749</v>
      </c>
      <c r="H39" s="538" t="s">
        <v>750</v>
      </c>
      <c r="I39" s="547">
        <v>17.98</v>
      </c>
      <c r="J39" s="547">
        <v>5</v>
      </c>
      <c r="K39" s="548">
        <v>89.9</v>
      </c>
    </row>
    <row r="40" spans="1:11" ht="14.4" customHeight="1" x14ac:dyDescent="0.3">
      <c r="A40" s="534" t="s">
        <v>463</v>
      </c>
      <c r="B40" s="535" t="s">
        <v>499</v>
      </c>
      <c r="C40" s="538" t="s">
        <v>468</v>
      </c>
      <c r="D40" s="567" t="s">
        <v>500</v>
      </c>
      <c r="E40" s="538" t="s">
        <v>1043</v>
      </c>
      <c r="F40" s="567" t="s">
        <v>1044</v>
      </c>
      <c r="G40" s="538" t="s">
        <v>751</v>
      </c>
      <c r="H40" s="538" t="s">
        <v>752</v>
      </c>
      <c r="I40" s="547">
        <v>17.98</v>
      </c>
      <c r="J40" s="547">
        <v>5</v>
      </c>
      <c r="K40" s="548">
        <v>89.9</v>
      </c>
    </row>
    <row r="41" spans="1:11" ht="14.4" customHeight="1" x14ac:dyDescent="0.3">
      <c r="A41" s="534" t="s">
        <v>463</v>
      </c>
      <c r="B41" s="535" t="s">
        <v>499</v>
      </c>
      <c r="C41" s="538" t="s">
        <v>468</v>
      </c>
      <c r="D41" s="567" t="s">
        <v>500</v>
      </c>
      <c r="E41" s="538" t="s">
        <v>1043</v>
      </c>
      <c r="F41" s="567" t="s">
        <v>1044</v>
      </c>
      <c r="G41" s="538" t="s">
        <v>753</v>
      </c>
      <c r="H41" s="538" t="s">
        <v>754</v>
      </c>
      <c r="I41" s="547">
        <v>15.00375</v>
      </c>
      <c r="J41" s="547">
        <v>120</v>
      </c>
      <c r="K41" s="548">
        <v>1800.3999999999999</v>
      </c>
    </row>
    <row r="42" spans="1:11" ht="14.4" customHeight="1" x14ac:dyDescent="0.3">
      <c r="A42" s="534" t="s">
        <v>463</v>
      </c>
      <c r="B42" s="535" t="s">
        <v>499</v>
      </c>
      <c r="C42" s="538" t="s">
        <v>468</v>
      </c>
      <c r="D42" s="567" t="s">
        <v>500</v>
      </c>
      <c r="E42" s="538" t="s">
        <v>1043</v>
      </c>
      <c r="F42" s="567" t="s">
        <v>1044</v>
      </c>
      <c r="G42" s="538" t="s">
        <v>755</v>
      </c>
      <c r="H42" s="538" t="s">
        <v>756</v>
      </c>
      <c r="I42" s="547">
        <v>12.1</v>
      </c>
      <c r="J42" s="547">
        <v>45</v>
      </c>
      <c r="K42" s="548">
        <v>544.5</v>
      </c>
    </row>
    <row r="43" spans="1:11" ht="14.4" customHeight="1" x14ac:dyDescent="0.3">
      <c r="A43" s="534" t="s">
        <v>463</v>
      </c>
      <c r="B43" s="535" t="s">
        <v>499</v>
      </c>
      <c r="C43" s="538" t="s">
        <v>468</v>
      </c>
      <c r="D43" s="567" t="s">
        <v>500</v>
      </c>
      <c r="E43" s="538" t="s">
        <v>1043</v>
      </c>
      <c r="F43" s="567" t="s">
        <v>1044</v>
      </c>
      <c r="G43" s="538" t="s">
        <v>757</v>
      </c>
      <c r="H43" s="538" t="s">
        <v>758</v>
      </c>
      <c r="I43" s="547">
        <v>25.53</v>
      </c>
      <c r="J43" s="547">
        <v>28</v>
      </c>
      <c r="K43" s="548">
        <v>714.83999999999992</v>
      </c>
    </row>
    <row r="44" spans="1:11" ht="14.4" customHeight="1" x14ac:dyDescent="0.3">
      <c r="A44" s="534" t="s">
        <v>463</v>
      </c>
      <c r="B44" s="535" t="s">
        <v>499</v>
      </c>
      <c r="C44" s="538" t="s">
        <v>468</v>
      </c>
      <c r="D44" s="567" t="s">
        <v>500</v>
      </c>
      <c r="E44" s="538" t="s">
        <v>1043</v>
      </c>
      <c r="F44" s="567" t="s">
        <v>1044</v>
      </c>
      <c r="G44" s="538" t="s">
        <v>759</v>
      </c>
      <c r="H44" s="538" t="s">
        <v>760</v>
      </c>
      <c r="I44" s="547">
        <v>2.29</v>
      </c>
      <c r="J44" s="547">
        <v>50</v>
      </c>
      <c r="K44" s="548">
        <v>114.5</v>
      </c>
    </row>
    <row r="45" spans="1:11" ht="14.4" customHeight="1" x14ac:dyDescent="0.3">
      <c r="A45" s="534" t="s">
        <v>463</v>
      </c>
      <c r="B45" s="535" t="s">
        <v>499</v>
      </c>
      <c r="C45" s="538" t="s">
        <v>468</v>
      </c>
      <c r="D45" s="567" t="s">
        <v>500</v>
      </c>
      <c r="E45" s="538" t="s">
        <v>1043</v>
      </c>
      <c r="F45" s="567" t="s">
        <v>1044</v>
      </c>
      <c r="G45" s="538" t="s">
        <v>761</v>
      </c>
      <c r="H45" s="538" t="s">
        <v>762</v>
      </c>
      <c r="I45" s="547">
        <v>3.44</v>
      </c>
      <c r="J45" s="547">
        <v>10</v>
      </c>
      <c r="K45" s="548">
        <v>34.4</v>
      </c>
    </row>
    <row r="46" spans="1:11" ht="14.4" customHeight="1" x14ac:dyDescent="0.3">
      <c r="A46" s="534" t="s">
        <v>463</v>
      </c>
      <c r="B46" s="535" t="s">
        <v>499</v>
      </c>
      <c r="C46" s="538" t="s">
        <v>468</v>
      </c>
      <c r="D46" s="567" t="s">
        <v>500</v>
      </c>
      <c r="E46" s="538" t="s">
        <v>1045</v>
      </c>
      <c r="F46" s="567" t="s">
        <v>1046</v>
      </c>
      <c r="G46" s="538" t="s">
        <v>763</v>
      </c>
      <c r="H46" s="538" t="s">
        <v>764</v>
      </c>
      <c r="I46" s="547">
        <v>39.450000000000003</v>
      </c>
      <c r="J46" s="547">
        <v>200</v>
      </c>
      <c r="K46" s="548">
        <v>7889.2</v>
      </c>
    </row>
    <row r="47" spans="1:11" ht="14.4" customHeight="1" x14ac:dyDescent="0.3">
      <c r="A47" s="534" t="s">
        <v>463</v>
      </c>
      <c r="B47" s="535" t="s">
        <v>499</v>
      </c>
      <c r="C47" s="538" t="s">
        <v>468</v>
      </c>
      <c r="D47" s="567" t="s">
        <v>500</v>
      </c>
      <c r="E47" s="538" t="s">
        <v>1047</v>
      </c>
      <c r="F47" s="567" t="s">
        <v>1048</v>
      </c>
      <c r="G47" s="538" t="s">
        <v>765</v>
      </c>
      <c r="H47" s="538" t="s">
        <v>766</v>
      </c>
      <c r="I47" s="547">
        <v>8.16</v>
      </c>
      <c r="J47" s="547">
        <v>10</v>
      </c>
      <c r="K47" s="548">
        <v>81.599999999999994</v>
      </c>
    </row>
    <row r="48" spans="1:11" ht="14.4" customHeight="1" x14ac:dyDescent="0.3">
      <c r="A48" s="534" t="s">
        <v>463</v>
      </c>
      <c r="B48" s="535" t="s">
        <v>499</v>
      </c>
      <c r="C48" s="538" t="s">
        <v>468</v>
      </c>
      <c r="D48" s="567" t="s">
        <v>500</v>
      </c>
      <c r="E48" s="538" t="s">
        <v>1049</v>
      </c>
      <c r="F48" s="567" t="s">
        <v>1050</v>
      </c>
      <c r="G48" s="538" t="s">
        <v>767</v>
      </c>
      <c r="H48" s="538" t="s">
        <v>768</v>
      </c>
      <c r="I48" s="547">
        <v>1.7950000000000002</v>
      </c>
      <c r="J48" s="547">
        <v>1200</v>
      </c>
      <c r="K48" s="548">
        <v>2152</v>
      </c>
    </row>
    <row r="49" spans="1:11" ht="14.4" customHeight="1" x14ac:dyDescent="0.3">
      <c r="A49" s="534" t="s">
        <v>463</v>
      </c>
      <c r="B49" s="535" t="s">
        <v>499</v>
      </c>
      <c r="C49" s="538" t="s">
        <v>468</v>
      </c>
      <c r="D49" s="567" t="s">
        <v>500</v>
      </c>
      <c r="E49" s="538" t="s">
        <v>1051</v>
      </c>
      <c r="F49" s="567" t="s">
        <v>1052</v>
      </c>
      <c r="G49" s="538" t="s">
        <v>769</v>
      </c>
      <c r="H49" s="538" t="s">
        <v>770</v>
      </c>
      <c r="I49" s="547">
        <v>0.7242857142857142</v>
      </c>
      <c r="J49" s="547">
        <v>1800</v>
      </c>
      <c r="K49" s="548">
        <v>1304.2</v>
      </c>
    </row>
    <row r="50" spans="1:11" ht="14.4" customHeight="1" x14ac:dyDescent="0.3">
      <c r="A50" s="534" t="s">
        <v>463</v>
      </c>
      <c r="B50" s="535" t="s">
        <v>499</v>
      </c>
      <c r="C50" s="538" t="s">
        <v>468</v>
      </c>
      <c r="D50" s="567" t="s">
        <v>500</v>
      </c>
      <c r="E50" s="538" t="s">
        <v>1051</v>
      </c>
      <c r="F50" s="567" t="s">
        <v>1052</v>
      </c>
      <c r="G50" s="538" t="s">
        <v>771</v>
      </c>
      <c r="H50" s="538" t="s">
        <v>772</v>
      </c>
      <c r="I50" s="547">
        <v>0.73</v>
      </c>
      <c r="J50" s="547">
        <v>400</v>
      </c>
      <c r="K50" s="548">
        <v>291.2</v>
      </c>
    </row>
    <row r="51" spans="1:11" ht="14.4" customHeight="1" x14ac:dyDescent="0.3">
      <c r="A51" s="534" t="s">
        <v>463</v>
      </c>
      <c r="B51" s="535" t="s">
        <v>499</v>
      </c>
      <c r="C51" s="538" t="s">
        <v>468</v>
      </c>
      <c r="D51" s="567" t="s">
        <v>500</v>
      </c>
      <c r="E51" s="538" t="s">
        <v>1051</v>
      </c>
      <c r="F51" s="567" t="s">
        <v>1052</v>
      </c>
      <c r="G51" s="538" t="s">
        <v>773</v>
      </c>
      <c r="H51" s="538" t="s">
        <v>774</v>
      </c>
      <c r="I51" s="547">
        <v>7.5</v>
      </c>
      <c r="J51" s="547">
        <v>80</v>
      </c>
      <c r="K51" s="548">
        <v>600</v>
      </c>
    </row>
    <row r="52" spans="1:11" ht="14.4" customHeight="1" x14ac:dyDescent="0.3">
      <c r="A52" s="534" t="s">
        <v>463</v>
      </c>
      <c r="B52" s="535" t="s">
        <v>499</v>
      </c>
      <c r="C52" s="538" t="s">
        <v>468</v>
      </c>
      <c r="D52" s="567" t="s">
        <v>500</v>
      </c>
      <c r="E52" s="538" t="s">
        <v>1051</v>
      </c>
      <c r="F52" s="567" t="s">
        <v>1052</v>
      </c>
      <c r="G52" s="538" t="s">
        <v>775</v>
      </c>
      <c r="H52" s="538" t="s">
        <v>776</v>
      </c>
      <c r="I52" s="547">
        <v>0.71</v>
      </c>
      <c r="J52" s="547">
        <v>1400</v>
      </c>
      <c r="K52" s="548">
        <v>994</v>
      </c>
    </row>
    <row r="53" spans="1:11" ht="14.4" customHeight="1" x14ac:dyDescent="0.3">
      <c r="A53" s="534" t="s">
        <v>463</v>
      </c>
      <c r="B53" s="535" t="s">
        <v>499</v>
      </c>
      <c r="C53" s="538" t="s">
        <v>468</v>
      </c>
      <c r="D53" s="567" t="s">
        <v>500</v>
      </c>
      <c r="E53" s="538" t="s">
        <v>1051</v>
      </c>
      <c r="F53" s="567" t="s">
        <v>1052</v>
      </c>
      <c r="G53" s="538" t="s">
        <v>777</v>
      </c>
      <c r="H53" s="538" t="s">
        <v>778</v>
      </c>
      <c r="I53" s="547">
        <v>0.71</v>
      </c>
      <c r="J53" s="547">
        <v>1200</v>
      </c>
      <c r="K53" s="548">
        <v>853.8</v>
      </c>
    </row>
    <row r="54" spans="1:11" ht="14.4" customHeight="1" x14ac:dyDescent="0.3">
      <c r="A54" s="534" t="s">
        <v>463</v>
      </c>
      <c r="B54" s="535" t="s">
        <v>499</v>
      </c>
      <c r="C54" s="538" t="s">
        <v>473</v>
      </c>
      <c r="D54" s="567" t="s">
        <v>501</v>
      </c>
      <c r="E54" s="538" t="s">
        <v>1041</v>
      </c>
      <c r="F54" s="567" t="s">
        <v>1042</v>
      </c>
      <c r="G54" s="538" t="s">
        <v>690</v>
      </c>
      <c r="H54" s="538" t="s">
        <v>691</v>
      </c>
      <c r="I54" s="547">
        <v>0.56400000000000006</v>
      </c>
      <c r="J54" s="547">
        <v>2500</v>
      </c>
      <c r="K54" s="548">
        <v>1410</v>
      </c>
    </row>
    <row r="55" spans="1:11" ht="14.4" customHeight="1" x14ac:dyDescent="0.3">
      <c r="A55" s="534" t="s">
        <v>463</v>
      </c>
      <c r="B55" s="535" t="s">
        <v>499</v>
      </c>
      <c r="C55" s="538" t="s">
        <v>473</v>
      </c>
      <c r="D55" s="567" t="s">
        <v>501</v>
      </c>
      <c r="E55" s="538" t="s">
        <v>1041</v>
      </c>
      <c r="F55" s="567" t="s">
        <v>1042</v>
      </c>
      <c r="G55" s="538" t="s">
        <v>698</v>
      </c>
      <c r="H55" s="538" t="s">
        <v>699</v>
      </c>
      <c r="I55" s="547">
        <v>27.823333333333334</v>
      </c>
      <c r="J55" s="547">
        <v>21</v>
      </c>
      <c r="K55" s="548">
        <v>585.64</v>
      </c>
    </row>
    <row r="56" spans="1:11" ht="14.4" customHeight="1" x14ac:dyDescent="0.3">
      <c r="A56" s="534" t="s">
        <v>463</v>
      </c>
      <c r="B56" s="535" t="s">
        <v>499</v>
      </c>
      <c r="C56" s="538" t="s">
        <v>473</v>
      </c>
      <c r="D56" s="567" t="s">
        <v>501</v>
      </c>
      <c r="E56" s="538" t="s">
        <v>1041</v>
      </c>
      <c r="F56" s="567" t="s">
        <v>1042</v>
      </c>
      <c r="G56" s="538" t="s">
        <v>702</v>
      </c>
      <c r="H56" s="538" t="s">
        <v>703</v>
      </c>
      <c r="I56" s="547">
        <v>1.3033333333333332</v>
      </c>
      <c r="J56" s="547">
        <v>300</v>
      </c>
      <c r="K56" s="548">
        <v>391</v>
      </c>
    </row>
    <row r="57" spans="1:11" ht="14.4" customHeight="1" x14ac:dyDescent="0.3">
      <c r="A57" s="534" t="s">
        <v>463</v>
      </c>
      <c r="B57" s="535" t="s">
        <v>499</v>
      </c>
      <c r="C57" s="538" t="s">
        <v>473</v>
      </c>
      <c r="D57" s="567" t="s">
        <v>501</v>
      </c>
      <c r="E57" s="538" t="s">
        <v>1041</v>
      </c>
      <c r="F57" s="567" t="s">
        <v>1042</v>
      </c>
      <c r="G57" s="538" t="s">
        <v>702</v>
      </c>
      <c r="H57" s="538" t="s">
        <v>779</v>
      </c>
      <c r="I57" s="547">
        <v>1.41</v>
      </c>
      <c r="J57" s="547">
        <v>100</v>
      </c>
      <c r="K57" s="548">
        <v>141</v>
      </c>
    </row>
    <row r="58" spans="1:11" ht="14.4" customHeight="1" x14ac:dyDescent="0.3">
      <c r="A58" s="534" t="s">
        <v>463</v>
      </c>
      <c r="B58" s="535" t="s">
        <v>499</v>
      </c>
      <c r="C58" s="538" t="s">
        <v>473</v>
      </c>
      <c r="D58" s="567" t="s">
        <v>501</v>
      </c>
      <c r="E58" s="538" t="s">
        <v>1041</v>
      </c>
      <c r="F58" s="567" t="s">
        <v>1042</v>
      </c>
      <c r="G58" s="538" t="s">
        <v>780</v>
      </c>
      <c r="H58" s="538" t="s">
        <v>781</v>
      </c>
      <c r="I58" s="547">
        <v>98.38</v>
      </c>
      <c r="J58" s="547">
        <v>6</v>
      </c>
      <c r="K58" s="548">
        <v>590.28</v>
      </c>
    </row>
    <row r="59" spans="1:11" ht="14.4" customHeight="1" x14ac:dyDescent="0.3">
      <c r="A59" s="534" t="s">
        <v>463</v>
      </c>
      <c r="B59" s="535" t="s">
        <v>499</v>
      </c>
      <c r="C59" s="538" t="s">
        <v>473</v>
      </c>
      <c r="D59" s="567" t="s">
        <v>501</v>
      </c>
      <c r="E59" s="538" t="s">
        <v>1043</v>
      </c>
      <c r="F59" s="567" t="s">
        <v>1044</v>
      </c>
      <c r="G59" s="538" t="s">
        <v>782</v>
      </c>
      <c r="H59" s="538" t="s">
        <v>783</v>
      </c>
      <c r="I59" s="547">
        <v>0.47799999999999992</v>
      </c>
      <c r="J59" s="547">
        <v>700</v>
      </c>
      <c r="K59" s="548">
        <v>334</v>
      </c>
    </row>
    <row r="60" spans="1:11" ht="14.4" customHeight="1" x14ac:dyDescent="0.3">
      <c r="A60" s="534" t="s">
        <v>463</v>
      </c>
      <c r="B60" s="535" t="s">
        <v>499</v>
      </c>
      <c r="C60" s="538" t="s">
        <v>473</v>
      </c>
      <c r="D60" s="567" t="s">
        <v>501</v>
      </c>
      <c r="E60" s="538" t="s">
        <v>1043</v>
      </c>
      <c r="F60" s="567" t="s">
        <v>1044</v>
      </c>
      <c r="G60" s="538" t="s">
        <v>784</v>
      </c>
      <c r="H60" s="538" t="s">
        <v>785</v>
      </c>
      <c r="I60" s="547">
        <v>1.84</v>
      </c>
      <c r="J60" s="547">
        <v>1400</v>
      </c>
      <c r="K60" s="548">
        <v>2576</v>
      </c>
    </row>
    <row r="61" spans="1:11" ht="14.4" customHeight="1" x14ac:dyDescent="0.3">
      <c r="A61" s="534" t="s">
        <v>463</v>
      </c>
      <c r="B61" s="535" t="s">
        <v>499</v>
      </c>
      <c r="C61" s="538" t="s">
        <v>473</v>
      </c>
      <c r="D61" s="567" t="s">
        <v>501</v>
      </c>
      <c r="E61" s="538" t="s">
        <v>1043</v>
      </c>
      <c r="F61" s="567" t="s">
        <v>1044</v>
      </c>
      <c r="G61" s="538" t="s">
        <v>786</v>
      </c>
      <c r="H61" s="538" t="s">
        <v>787</v>
      </c>
      <c r="I61" s="547">
        <v>0.6</v>
      </c>
      <c r="J61" s="547">
        <v>800</v>
      </c>
      <c r="K61" s="548">
        <v>480</v>
      </c>
    </row>
    <row r="62" spans="1:11" ht="14.4" customHeight="1" x14ac:dyDescent="0.3">
      <c r="A62" s="534" t="s">
        <v>463</v>
      </c>
      <c r="B62" s="535" t="s">
        <v>499</v>
      </c>
      <c r="C62" s="538" t="s">
        <v>473</v>
      </c>
      <c r="D62" s="567" t="s">
        <v>501</v>
      </c>
      <c r="E62" s="538" t="s">
        <v>1043</v>
      </c>
      <c r="F62" s="567" t="s">
        <v>1044</v>
      </c>
      <c r="G62" s="538" t="s">
        <v>788</v>
      </c>
      <c r="H62" s="538" t="s">
        <v>789</v>
      </c>
      <c r="I62" s="547">
        <v>4.24</v>
      </c>
      <c r="J62" s="547">
        <v>50</v>
      </c>
      <c r="K62" s="548">
        <v>212</v>
      </c>
    </row>
    <row r="63" spans="1:11" ht="14.4" customHeight="1" x14ac:dyDescent="0.3">
      <c r="A63" s="534" t="s">
        <v>463</v>
      </c>
      <c r="B63" s="535" t="s">
        <v>499</v>
      </c>
      <c r="C63" s="538" t="s">
        <v>473</v>
      </c>
      <c r="D63" s="567" t="s">
        <v>501</v>
      </c>
      <c r="E63" s="538" t="s">
        <v>1043</v>
      </c>
      <c r="F63" s="567" t="s">
        <v>1044</v>
      </c>
      <c r="G63" s="538" t="s">
        <v>788</v>
      </c>
      <c r="H63" s="538" t="s">
        <v>790</v>
      </c>
      <c r="I63" s="547">
        <v>4.2300000000000004</v>
      </c>
      <c r="J63" s="547">
        <v>50</v>
      </c>
      <c r="K63" s="548">
        <v>211.5</v>
      </c>
    </row>
    <row r="64" spans="1:11" ht="14.4" customHeight="1" x14ac:dyDescent="0.3">
      <c r="A64" s="534" t="s">
        <v>463</v>
      </c>
      <c r="B64" s="535" t="s">
        <v>499</v>
      </c>
      <c r="C64" s="538" t="s">
        <v>473</v>
      </c>
      <c r="D64" s="567" t="s">
        <v>501</v>
      </c>
      <c r="E64" s="538" t="s">
        <v>1043</v>
      </c>
      <c r="F64" s="567" t="s">
        <v>1044</v>
      </c>
      <c r="G64" s="538" t="s">
        <v>753</v>
      </c>
      <c r="H64" s="538" t="s">
        <v>754</v>
      </c>
      <c r="I64" s="547">
        <v>15.002857142857144</v>
      </c>
      <c r="J64" s="547">
        <v>60</v>
      </c>
      <c r="K64" s="548">
        <v>900.2</v>
      </c>
    </row>
    <row r="65" spans="1:11" ht="14.4" customHeight="1" x14ac:dyDescent="0.3">
      <c r="A65" s="534" t="s">
        <v>463</v>
      </c>
      <c r="B65" s="535" t="s">
        <v>499</v>
      </c>
      <c r="C65" s="538" t="s">
        <v>473</v>
      </c>
      <c r="D65" s="567" t="s">
        <v>501</v>
      </c>
      <c r="E65" s="538" t="s">
        <v>1043</v>
      </c>
      <c r="F65" s="567" t="s">
        <v>1044</v>
      </c>
      <c r="G65" s="538" t="s">
        <v>757</v>
      </c>
      <c r="H65" s="538" t="s">
        <v>758</v>
      </c>
      <c r="I65" s="547">
        <v>25.53125</v>
      </c>
      <c r="J65" s="547">
        <v>58</v>
      </c>
      <c r="K65" s="548">
        <v>1480.85</v>
      </c>
    </row>
    <row r="66" spans="1:11" ht="14.4" customHeight="1" x14ac:dyDescent="0.3">
      <c r="A66" s="534" t="s">
        <v>463</v>
      </c>
      <c r="B66" s="535" t="s">
        <v>499</v>
      </c>
      <c r="C66" s="538" t="s">
        <v>473</v>
      </c>
      <c r="D66" s="567" t="s">
        <v>501</v>
      </c>
      <c r="E66" s="538" t="s">
        <v>1043</v>
      </c>
      <c r="F66" s="567" t="s">
        <v>1044</v>
      </c>
      <c r="G66" s="538" t="s">
        <v>791</v>
      </c>
      <c r="H66" s="538" t="s">
        <v>792</v>
      </c>
      <c r="I66" s="547">
        <v>2</v>
      </c>
      <c r="J66" s="547">
        <v>600</v>
      </c>
      <c r="K66" s="548">
        <v>1201.53</v>
      </c>
    </row>
    <row r="67" spans="1:11" ht="14.4" customHeight="1" x14ac:dyDescent="0.3">
      <c r="A67" s="534" t="s">
        <v>463</v>
      </c>
      <c r="B67" s="535" t="s">
        <v>499</v>
      </c>
      <c r="C67" s="538" t="s">
        <v>473</v>
      </c>
      <c r="D67" s="567" t="s">
        <v>501</v>
      </c>
      <c r="E67" s="538" t="s">
        <v>1043</v>
      </c>
      <c r="F67" s="567" t="s">
        <v>1044</v>
      </c>
      <c r="G67" s="538" t="s">
        <v>791</v>
      </c>
      <c r="H67" s="538" t="s">
        <v>793</v>
      </c>
      <c r="I67" s="547">
        <v>2</v>
      </c>
      <c r="J67" s="547">
        <v>400</v>
      </c>
      <c r="K67" s="548">
        <v>801.02</v>
      </c>
    </row>
    <row r="68" spans="1:11" ht="14.4" customHeight="1" x14ac:dyDescent="0.3">
      <c r="A68" s="534" t="s">
        <v>463</v>
      </c>
      <c r="B68" s="535" t="s">
        <v>499</v>
      </c>
      <c r="C68" s="538" t="s">
        <v>473</v>
      </c>
      <c r="D68" s="567" t="s">
        <v>501</v>
      </c>
      <c r="E68" s="538" t="s">
        <v>1043</v>
      </c>
      <c r="F68" s="567" t="s">
        <v>1044</v>
      </c>
      <c r="G68" s="538" t="s">
        <v>794</v>
      </c>
      <c r="H68" s="538" t="s">
        <v>795</v>
      </c>
      <c r="I68" s="547">
        <v>3.63</v>
      </c>
      <c r="J68" s="547">
        <v>480</v>
      </c>
      <c r="K68" s="548">
        <v>1742.4</v>
      </c>
    </row>
    <row r="69" spans="1:11" ht="14.4" customHeight="1" x14ac:dyDescent="0.3">
      <c r="A69" s="534" t="s">
        <v>463</v>
      </c>
      <c r="B69" s="535" t="s">
        <v>499</v>
      </c>
      <c r="C69" s="538" t="s">
        <v>473</v>
      </c>
      <c r="D69" s="567" t="s">
        <v>501</v>
      </c>
      <c r="E69" s="538" t="s">
        <v>1043</v>
      </c>
      <c r="F69" s="567" t="s">
        <v>1044</v>
      </c>
      <c r="G69" s="538" t="s">
        <v>796</v>
      </c>
      <c r="H69" s="538" t="s">
        <v>797</v>
      </c>
      <c r="I69" s="547">
        <v>60.954999999999998</v>
      </c>
      <c r="J69" s="547">
        <v>80</v>
      </c>
      <c r="K69" s="548">
        <v>4876.3</v>
      </c>
    </row>
    <row r="70" spans="1:11" ht="14.4" customHeight="1" x14ac:dyDescent="0.3">
      <c r="A70" s="534" t="s">
        <v>463</v>
      </c>
      <c r="B70" s="535" t="s">
        <v>499</v>
      </c>
      <c r="C70" s="538" t="s">
        <v>473</v>
      </c>
      <c r="D70" s="567" t="s">
        <v>501</v>
      </c>
      <c r="E70" s="538" t="s">
        <v>1043</v>
      </c>
      <c r="F70" s="567" t="s">
        <v>1044</v>
      </c>
      <c r="G70" s="538" t="s">
        <v>798</v>
      </c>
      <c r="H70" s="538" t="s">
        <v>799</v>
      </c>
      <c r="I70" s="547">
        <v>68.73</v>
      </c>
      <c r="J70" s="547">
        <v>200</v>
      </c>
      <c r="K70" s="548">
        <v>13745.6</v>
      </c>
    </row>
    <row r="71" spans="1:11" ht="14.4" customHeight="1" x14ac:dyDescent="0.3">
      <c r="A71" s="534" t="s">
        <v>463</v>
      </c>
      <c r="B71" s="535" t="s">
        <v>499</v>
      </c>
      <c r="C71" s="538" t="s">
        <v>473</v>
      </c>
      <c r="D71" s="567" t="s">
        <v>501</v>
      </c>
      <c r="E71" s="538" t="s">
        <v>1043</v>
      </c>
      <c r="F71" s="567" t="s">
        <v>1044</v>
      </c>
      <c r="G71" s="538" t="s">
        <v>800</v>
      </c>
      <c r="H71" s="538" t="s">
        <v>801</v>
      </c>
      <c r="I71" s="547">
        <v>3570</v>
      </c>
      <c r="J71" s="547">
        <v>1</v>
      </c>
      <c r="K71" s="548">
        <v>3570</v>
      </c>
    </row>
    <row r="72" spans="1:11" ht="14.4" customHeight="1" x14ac:dyDescent="0.3">
      <c r="A72" s="534" t="s">
        <v>463</v>
      </c>
      <c r="B72" s="535" t="s">
        <v>499</v>
      </c>
      <c r="C72" s="538" t="s">
        <v>473</v>
      </c>
      <c r="D72" s="567" t="s">
        <v>501</v>
      </c>
      <c r="E72" s="538" t="s">
        <v>1043</v>
      </c>
      <c r="F72" s="567" t="s">
        <v>1044</v>
      </c>
      <c r="G72" s="538" t="s">
        <v>802</v>
      </c>
      <c r="H72" s="538" t="s">
        <v>803</v>
      </c>
      <c r="I72" s="547">
        <v>5.6</v>
      </c>
      <c r="J72" s="547">
        <v>500</v>
      </c>
      <c r="K72" s="548">
        <v>2797.52</v>
      </c>
    </row>
    <row r="73" spans="1:11" ht="14.4" customHeight="1" x14ac:dyDescent="0.3">
      <c r="A73" s="534" t="s">
        <v>463</v>
      </c>
      <c r="B73" s="535" t="s">
        <v>499</v>
      </c>
      <c r="C73" s="538" t="s">
        <v>473</v>
      </c>
      <c r="D73" s="567" t="s">
        <v>501</v>
      </c>
      <c r="E73" s="538" t="s">
        <v>1043</v>
      </c>
      <c r="F73" s="567" t="s">
        <v>1044</v>
      </c>
      <c r="G73" s="538" t="s">
        <v>804</v>
      </c>
      <c r="H73" s="538" t="s">
        <v>805</v>
      </c>
      <c r="I73" s="547">
        <v>183.72</v>
      </c>
      <c r="J73" s="547">
        <v>1</v>
      </c>
      <c r="K73" s="548">
        <v>183.72</v>
      </c>
    </row>
    <row r="74" spans="1:11" ht="14.4" customHeight="1" x14ac:dyDescent="0.3">
      <c r="A74" s="534" t="s">
        <v>463</v>
      </c>
      <c r="B74" s="535" t="s">
        <v>499</v>
      </c>
      <c r="C74" s="538" t="s">
        <v>473</v>
      </c>
      <c r="D74" s="567" t="s">
        <v>501</v>
      </c>
      <c r="E74" s="538" t="s">
        <v>1043</v>
      </c>
      <c r="F74" s="567" t="s">
        <v>1044</v>
      </c>
      <c r="G74" s="538" t="s">
        <v>806</v>
      </c>
      <c r="H74" s="538" t="s">
        <v>807</v>
      </c>
      <c r="I74" s="547">
        <v>11.38</v>
      </c>
      <c r="J74" s="547">
        <v>200</v>
      </c>
      <c r="K74" s="548">
        <v>2275</v>
      </c>
    </row>
    <row r="75" spans="1:11" ht="14.4" customHeight="1" x14ac:dyDescent="0.3">
      <c r="A75" s="534" t="s">
        <v>463</v>
      </c>
      <c r="B75" s="535" t="s">
        <v>499</v>
      </c>
      <c r="C75" s="538" t="s">
        <v>473</v>
      </c>
      <c r="D75" s="567" t="s">
        <v>501</v>
      </c>
      <c r="E75" s="538" t="s">
        <v>1043</v>
      </c>
      <c r="F75" s="567" t="s">
        <v>1044</v>
      </c>
      <c r="G75" s="538" t="s">
        <v>808</v>
      </c>
      <c r="H75" s="538" t="s">
        <v>809</v>
      </c>
      <c r="I75" s="547">
        <v>1.2</v>
      </c>
      <c r="J75" s="547">
        <v>400</v>
      </c>
      <c r="K75" s="548">
        <v>479.32</v>
      </c>
    </row>
    <row r="76" spans="1:11" ht="14.4" customHeight="1" x14ac:dyDescent="0.3">
      <c r="A76" s="534" t="s">
        <v>463</v>
      </c>
      <c r="B76" s="535" t="s">
        <v>499</v>
      </c>
      <c r="C76" s="538" t="s">
        <v>473</v>
      </c>
      <c r="D76" s="567" t="s">
        <v>501</v>
      </c>
      <c r="E76" s="538" t="s">
        <v>1043</v>
      </c>
      <c r="F76" s="567" t="s">
        <v>1044</v>
      </c>
      <c r="G76" s="538" t="s">
        <v>810</v>
      </c>
      <c r="H76" s="538" t="s">
        <v>811</v>
      </c>
      <c r="I76" s="547">
        <v>23488.52</v>
      </c>
      <c r="J76" s="547">
        <v>1</v>
      </c>
      <c r="K76" s="548">
        <v>23488.52</v>
      </c>
    </row>
    <row r="77" spans="1:11" ht="14.4" customHeight="1" x14ac:dyDescent="0.3">
      <c r="A77" s="534" t="s">
        <v>463</v>
      </c>
      <c r="B77" s="535" t="s">
        <v>499</v>
      </c>
      <c r="C77" s="538" t="s">
        <v>473</v>
      </c>
      <c r="D77" s="567" t="s">
        <v>501</v>
      </c>
      <c r="E77" s="538" t="s">
        <v>1043</v>
      </c>
      <c r="F77" s="567" t="s">
        <v>1044</v>
      </c>
      <c r="G77" s="538" t="s">
        <v>812</v>
      </c>
      <c r="H77" s="538" t="s">
        <v>813</v>
      </c>
      <c r="I77" s="547">
        <v>2498.02</v>
      </c>
      <c r="J77" s="547">
        <v>5</v>
      </c>
      <c r="K77" s="548">
        <v>12490.1</v>
      </c>
    </row>
    <row r="78" spans="1:11" ht="14.4" customHeight="1" x14ac:dyDescent="0.3">
      <c r="A78" s="534" t="s">
        <v>463</v>
      </c>
      <c r="B78" s="535" t="s">
        <v>499</v>
      </c>
      <c r="C78" s="538" t="s">
        <v>473</v>
      </c>
      <c r="D78" s="567" t="s">
        <v>501</v>
      </c>
      <c r="E78" s="538" t="s">
        <v>1043</v>
      </c>
      <c r="F78" s="567" t="s">
        <v>1044</v>
      </c>
      <c r="G78" s="538" t="s">
        <v>814</v>
      </c>
      <c r="H78" s="538" t="s">
        <v>815</v>
      </c>
      <c r="I78" s="547">
        <v>7973.9</v>
      </c>
      <c r="J78" s="547">
        <v>1</v>
      </c>
      <c r="K78" s="548">
        <v>7973.9</v>
      </c>
    </row>
    <row r="79" spans="1:11" ht="14.4" customHeight="1" x14ac:dyDescent="0.3">
      <c r="A79" s="534" t="s">
        <v>463</v>
      </c>
      <c r="B79" s="535" t="s">
        <v>499</v>
      </c>
      <c r="C79" s="538" t="s">
        <v>473</v>
      </c>
      <c r="D79" s="567" t="s">
        <v>501</v>
      </c>
      <c r="E79" s="538" t="s">
        <v>1045</v>
      </c>
      <c r="F79" s="567" t="s">
        <v>1046</v>
      </c>
      <c r="G79" s="538" t="s">
        <v>816</v>
      </c>
      <c r="H79" s="538" t="s">
        <v>817</v>
      </c>
      <c r="I79" s="547">
        <v>1.84</v>
      </c>
      <c r="J79" s="547">
        <v>1024</v>
      </c>
      <c r="K79" s="548">
        <v>1887.6</v>
      </c>
    </row>
    <row r="80" spans="1:11" ht="14.4" customHeight="1" x14ac:dyDescent="0.3">
      <c r="A80" s="534" t="s">
        <v>463</v>
      </c>
      <c r="B80" s="535" t="s">
        <v>499</v>
      </c>
      <c r="C80" s="538" t="s">
        <v>473</v>
      </c>
      <c r="D80" s="567" t="s">
        <v>501</v>
      </c>
      <c r="E80" s="538" t="s">
        <v>1045</v>
      </c>
      <c r="F80" s="567" t="s">
        <v>1046</v>
      </c>
      <c r="G80" s="538" t="s">
        <v>818</v>
      </c>
      <c r="H80" s="538" t="s">
        <v>819</v>
      </c>
      <c r="I80" s="547">
        <v>1.4816666666666667</v>
      </c>
      <c r="J80" s="547">
        <v>3900</v>
      </c>
      <c r="K80" s="548">
        <v>5756.7699999999995</v>
      </c>
    </row>
    <row r="81" spans="1:11" ht="14.4" customHeight="1" x14ac:dyDescent="0.3">
      <c r="A81" s="534" t="s">
        <v>463</v>
      </c>
      <c r="B81" s="535" t="s">
        <v>499</v>
      </c>
      <c r="C81" s="538" t="s">
        <v>473</v>
      </c>
      <c r="D81" s="567" t="s">
        <v>501</v>
      </c>
      <c r="E81" s="538" t="s">
        <v>1045</v>
      </c>
      <c r="F81" s="567" t="s">
        <v>1046</v>
      </c>
      <c r="G81" s="538" t="s">
        <v>820</v>
      </c>
      <c r="H81" s="538" t="s">
        <v>821</v>
      </c>
      <c r="I81" s="547">
        <v>0.45300000000000001</v>
      </c>
      <c r="J81" s="547">
        <v>21000</v>
      </c>
      <c r="K81" s="548">
        <v>9441.34</v>
      </c>
    </row>
    <row r="82" spans="1:11" ht="14.4" customHeight="1" x14ac:dyDescent="0.3">
      <c r="A82" s="534" t="s">
        <v>463</v>
      </c>
      <c r="B82" s="535" t="s">
        <v>499</v>
      </c>
      <c r="C82" s="538" t="s">
        <v>473</v>
      </c>
      <c r="D82" s="567" t="s">
        <v>501</v>
      </c>
      <c r="E82" s="538" t="s">
        <v>1045</v>
      </c>
      <c r="F82" s="567" t="s">
        <v>1046</v>
      </c>
      <c r="G82" s="538" t="s">
        <v>822</v>
      </c>
      <c r="H82" s="538" t="s">
        <v>823</v>
      </c>
      <c r="I82" s="547">
        <v>0.13400000000000004</v>
      </c>
      <c r="J82" s="547">
        <v>23000</v>
      </c>
      <c r="K82" s="548">
        <v>3118.5</v>
      </c>
    </row>
    <row r="83" spans="1:11" ht="14.4" customHeight="1" x14ac:dyDescent="0.3">
      <c r="A83" s="534" t="s">
        <v>463</v>
      </c>
      <c r="B83" s="535" t="s">
        <v>499</v>
      </c>
      <c r="C83" s="538" t="s">
        <v>473</v>
      </c>
      <c r="D83" s="567" t="s">
        <v>501</v>
      </c>
      <c r="E83" s="538" t="s">
        <v>1045</v>
      </c>
      <c r="F83" s="567" t="s">
        <v>1046</v>
      </c>
      <c r="G83" s="538" t="s">
        <v>824</v>
      </c>
      <c r="H83" s="538" t="s">
        <v>825</v>
      </c>
      <c r="I83" s="547">
        <v>1.29</v>
      </c>
      <c r="J83" s="547">
        <v>5000</v>
      </c>
      <c r="K83" s="548">
        <v>6473.5</v>
      </c>
    </row>
    <row r="84" spans="1:11" ht="14.4" customHeight="1" x14ac:dyDescent="0.3">
      <c r="A84" s="534" t="s">
        <v>463</v>
      </c>
      <c r="B84" s="535" t="s">
        <v>499</v>
      </c>
      <c r="C84" s="538" t="s">
        <v>473</v>
      </c>
      <c r="D84" s="567" t="s">
        <v>501</v>
      </c>
      <c r="E84" s="538" t="s">
        <v>1045</v>
      </c>
      <c r="F84" s="567" t="s">
        <v>1046</v>
      </c>
      <c r="G84" s="538" t="s">
        <v>826</v>
      </c>
      <c r="H84" s="538" t="s">
        <v>827</v>
      </c>
      <c r="I84" s="547">
        <v>37.51</v>
      </c>
      <c r="J84" s="547">
        <v>10</v>
      </c>
      <c r="K84" s="548">
        <v>375.1</v>
      </c>
    </row>
    <row r="85" spans="1:11" ht="14.4" customHeight="1" x14ac:dyDescent="0.3">
      <c r="A85" s="534" t="s">
        <v>463</v>
      </c>
      <c r="B85" s="535" t="s">
        <v>499</v>
      </c>
      <c r="C85" s="538" t="s">
        <v>473</v>
      </c>
      <c r="D85" s="567" t="s">
        <v>501</v>
      </c>
      <c r="E85" s="538" t="s">
        <v>1045</v>
      </c>
      <c r="F85" s="567" t="s">
        <v>1046</v>
      </c>
      <c r="G85" s="538" t="s">
        <v>828</v>
      </c>
      <c r="H85" s="538" t="s">
        <v>829</v>
      </c>
      <c r="I85" s="547">
        <v>23.715</v>
      </c>
      <c r="J85" s="547">
        <v>375</v>
      </c>
      <c r="K85" s="548">
        <v>8470</v>
      </c>
    </row>
    <row r="86" spans="1:11" ht="14.4" customHeight="1" x14ac:dyDescent="0.3">
      <c r="A86" s="534" t="s">
        <v>463</v>
      </c>
      <c r="B86" s="535" t="s">
        <v>499</v>
      </c>
      <c r="C86" s="538" t="s">
        <v>473</v>
      </c>
      <c r="D86" s="567" t="s">
        <v>501</v>
      </c>
      <c r="E86" s="538" t="s">
        <v>1045</v>
      </c>
      <c r="F86" s="567" t="s">
        <v>1046</v>
      </c>
      <c r="G86" s="538" t="s">
        <v>830</v>
      </c>
      <c r="H86" s="538" t="s">
        <v>831</v>
      </c>
      <c r="I86" s="547">
        <v>0.76500000000000001</v>
      </c>
      <c r="J86" s="547">
        <v>4500</v>
      </c>
      <c r="K86" s="548">
        <v>3419.97</v>
      </c>
    </row>
    <row r="87" spans="1:11" ht="14.4" customHeight="1" x14ac:dyDescent="0.3">
      <c r="A87" s="534" t="s">
        <v>463</v>
      </c>
      <c r="B87" s="535" t="s">
        <v>499</v>
      </c>
      <c r="C87" s="538" t="s">
        <v>473</v>
      </c>
      <c r="D87" s="567" t="s">
        <v>501</v>
      </c>
      <c r="E87" s="538" t="s">
        <v>1045</v>
      </c>
      <c r="F87" s="567" t="s">
        <v>1046</v>
      </c>
      <c r="G87" s="538" t="s">
        <v>832</v>
      </c>
      <c r="H87" s="538" t="s">
        <v>833</v>
      </c>
      <c r="I87" s="547">
        <v>0.27</v>
      </c>
      <c r="J87" s="547">
        <v>1000</v>
      </c>
      <c r="K87" s="548">
        <v>274.89999999999998</v>
      </c>
    </row>
    <row r="88" spans="1:11" ht="14.4" customHeight="1" x14ac:dyDescent="0.3">
      <c r="A88" s="534" t="s">
        <v>463</v>
      </c>
      <c r="B88" s="535" t="s">
        <v>499</v>
      </c>
      <c r="C88" s="538" t="s">
        <v>473</v>
      </c>
      <c r="D88" s="567" t="s">
        <v>501</v>
      </c>
      <c r="E88" s="538" t="s">
        <v>1045</v>
      </c>
      <c r="F88" s="567" t="s">
        <v>1046</v>
      </c>
      <c r="G88" s="538" t="s">
        <v>834</v>
      </c>
      <c r="H88" s="538" t="s">
        <v>835</v>
      </c>
      <c r="I88" s="547">
        <v>1507.51</v>
      </c>
      <c r="J88" s="547">
        <v>45</v>
      </c>
      <c r="K88" s="548">
        <v>17690.2</v>
      </c>
    </row>
    <row r="89" spans="1:11" ht="14.4" customHeight="1" x14ac:dyDescent="0.3">
      <c r="A89" s="534" t="s">
        <v>463</v>
      </c>
      <c r="B89" s="535" t="s">
        <v>499</v>
      </c>
      <c r="C89" s="538" t="s">
        <v>473</v>
      </c>
      <c r="D89" s="567" t="s">
        <v>501</v>
      </c>
      <c r="E89" s="538" t="s">
        <v>1045</v>
      </c>
      <c r="F89" s="567" t="s">
        <v>1046</v>
      </c>
      <c r="G89" s="538" t="s">
        <v>836</v>
      </c>
      <c r="H89" s="538" t="s">
        <v>837</v>
      </c>
      <c r="I89" s="547">
        <v>1282.5</v>
      </c>
      <c r="J89" s="547">
        <v>2</v>
      </c>
      <c r="K89" s="548">
        <v>2565</v>
      </c>
    </row>
    <row r="90" spans="1:11" ht="14.4" customHeight="1" x14ac:dyDescent="0.3">
      <c r="A90" s="534" t="s">
        <v>463</v>
      </c>
      <c r="B90" s="535" t="s">
        <v>499</v>
      </c>
      <c r="C90" s="538" t="s">
        <v>473</v>
      </c>
      <c r="D90" s="567" t="s">
        <v>501</v>
      </c>
      <c r="E90" s="538" t="s">
        <v>1045</v>
      </c>
      <c r="F90" s="567" t="s">
        <v>1046</v>
      </c>
      <c r="G90" s="538" t="s">
        <v>838</v>
      </c>
      <c r="H90" s="538" t="s">
        <v>839</v>
      </c>
      <c r="I90" s="547">
        <v>3.2114285714285713</v>
      </c>
      <c r="J90" s="547">
        <v>8640</v>
      </c>
      <c r="K90" s="548">
        <v>27852.28</v>
      </c>
    </row>
    <row r="91" spans="1:11" ht="14.4" customHeight="1" x14ac:dyDescent="0.3">
      <c r="A91" s="534" t="s">
        <v>463</v>
      </c>
      <c r="B91" s="535" t="s">
        <v>499</v>
      </c>
      <c r="C91" s="538" t="s">
        <v>473</v>
      </c>
      <c r="D91" s="567" t="s">
        <v>501</v>
      </c>
      <c r="E91" s="538" t="s">
        <v>1045</v>
      </c>
      <c r="F91" s="567" t="s">
        <v>1046</v>
      </c>
      <c r="G91" s="538" t="s">
        <v>840</v>
      </c>
      <c r="H91" s="538" t="s">
        <v>841</v>
      </c>
      <c r="I91" s="547">
        <v>2.5099999999999998</v>
      </c>
      <c r="J91" s="547">
        <v>7680</v>
      </c>
      <c r="K91" s="548">
        <v>19263.2</v>
      </c>
    </row>
    <row r="92" spans="1:11" ht="14.4" customHeight="1" x14ac:dyDescent="0.3">
      <c r="A92" s="534" t="s">
        <v>463</v>
      </c>
      <c r="B92" s="535" t="s">
        <v>499</v>
      </c>
      <c r="C92" s="538" t="s">
        <v>473</v>
      </c>
      <c r="D92" s="567" t="s">
        <v>501</v>
      </c>
      <c r="E92" s="538" t="s">
        <v>1045</v>
      </c>
      <c r="F92" s="567" t="s">
        <v>1046</v>
      </c>
      <c r="G92" s="538" t="s">
        <v>842</v>
      </c>
      <c r="H92" s="538" t="s">
        <v>843</v>
      </c>
      <c r="I92" s="547">
        <v>37.51</v>
      </c>
      <c r="J92" s="547">
        <v>10</v>
      </c>
      <c r="K92" s="548">
        <v>375.1</v>
      </c>
    </row>
    <row r="93" spans="1:11" ht="14.4" customHeight="1" x14ac:dyDescent="0.3">
      <c r="A93" s="534" t="s">
        <v>463</v>
      </c>
      <c r="B93" s="535" t="s">
        <v>499</v>
      </c>
      <c r="C93" s="538" t="s">
        <v>473</v>
      </c>
      <c r="D93" s="567" t="s">
        <v>501</v>
      </c>
      <c r="E93" s="538" t="s">
        <v>1045</v>
      </c>
      <c r="F93" s="567" t="s">
        <v>1046</v>
      </c>
      <c r="G93" s="538" t="s">
        <v>844</v>
      </c>
      <c r="H93" s="538" t="s">
        <v>845</v>
      </c>
      <c r="I93" s="547">
        <v>1.85</v>
      </c>
      <c r="J93" s="547">
        <v>1024</v>
      </c>
      <c r="K93" s="548">
        <v>1897.28</v>
      </c>
    </row>
    <row r="94" spans="1:11" ht="14.4" customHeight="1" x14ac:dyDescent="0.3">
      <c r="A94" s="534" t="s">
        <v>463</v>
      </c>
      <c r="B94" s="535" t="s">
        <v>499</v>
      </c>
      <c r="C94" s="538" t="s">
        <v>473</v>
      </c>
      <c r="D94" s="567" t="s">
        <v>501</v>
      </c>
      <c r="E94" s="538" t="s">
        <v>1045</v>
      </c>
      <c r="F94" s="567" t="s">
        <v>1046</v>
      </c>
      <c r="G94" s="538" t="s">
        <v>846</v>
      </c>
      <c r="H94" s="538" t="s">
        <v>847</v>
      </c>
      <c r="I94" s="547">
        <v>26.22</v>
      </c>
      <c r="J94" s="547">
        <v>360</v>
      </c>
      <c r="K94" s="548">
        <v>9438</v>
      </c>
    </row>
    <row r="95" spans="1:11" ht="14.4" customHeight="1" x14ac:dyDescent="0.3">
      <c r="A95" s="534" t="s">
        <v>463</v>
      </c>
      <c r="B95" s="535" t="s">
        <v>499</v>
      </c>
      <c r="C95" s="538" t="s">
        <v>473</v>
      </c>
      <c r="D95" s="567" t="s">
        <v>501</v>
      </c>
      <c r="E95" s="538" t="s">
        <v>1045</v>
      </c>
      <c r="F95" s="567" t="s">
        <v>1046</v>
      </c>
      <c r="G95" s="538" t="s">
        <v>848</v>
      </c>
      <c r="H95" s="538" t="s">
        <v>849</v>
      </c>
      <c r="I95" s="547">
        <v>2649.9</v>
      </c>
      <c r="J95" s="547">
        <v>18</v>
      </c>
      <c r="K95" s="548">
        <v>47698.2</v>
      </c>
    </row>
    <row r="96" spans="1:11" ht="14.4" customHeight="1" x14ac:dyDescent="0.3">
      <c r="A96" s="534" t="s">
        <v>463</v>
      </c>
      <c r="B96" s="535" t="s">
        <v>499</v>
      </c>
      <c r="C96" s="538" t="s">
        <v>473</v>
      </c>
      <c r="D96" s="567" t="s">
        <v>501</v>
      </c>
      <c r="E96" s="538" t="s">
        <v>1045</v>
      </c>
      <c r="F96" s="567" t="s">
        <v>1046</v>
      </c>
      <c r="G96" s="538" t="s">
        <v>850</v>
      </c>
      <c r="H96" s="538" t="s">
        <v>851</v>
      </c>
      <c r="I96" s="547">
        <v>40.17</v>
      </c>
      <c r="J96" s="547">
        <v>10</v>
      </c>
      <c r="K96" s="548">
        <v>401.72</v>
      </c>
    </row>
    <row r="97" spans="1:11" ht="14.4" customHeight="1" x14ac:dyDescent="0.3">
      <c r="A97" s="534" t="s">
        <v>463</v>
      </c>
      <c r="B97" s="535" t="s">
        <v>499</v>
      </c>
      <c r="C97" s="538" t="s">
        <v>473</v>
      </c>
      <c r="D97" s="567" t="s">
        <v>501</v>
      </c>
      <c r="E97" s="538" t="s">
        <v>1045</v>
      </c>
      <c r="F97" s="567" t="s">
        <v>1046</v>
      </c>
      <c r="G97" s="538" t="s">
        <v>852</v>
      </c>
      <c r="H97" s="538" t="s">
        <v>853</v>
      </c>
      <c r="I97" s="547">
        <v>90.75</v>
      </c>
      <c r="J97" s="547">
        <v>3</v>
      </c>
      <c r="K97" s="548">
        <v>272.25</v>
      </c>
    </row>
    <row r="98" spans="1:11" ht="14.4" customHeight="1" x14ac:dyDescent="0.3">
      <c r="A98" s="534" t="s">
        <v>463</v>
      </c>
      <c r="B98" s="535" t="s">
        <v>499</v>
      </c>
      <c r="C98" s="538" t="s">
        <v>473</v>
      </c>
      <c r="D98" s="567" t="s">
        <v>501</v>
      </c>
      <c r="E98" s="538" t="s">
        <v>1045</v>
      </c>
      <c r="F98" s="567" t="s">
        <v>1046</v>
      </c>
      <c r="G98" s="538" t="s">
        <v>854</v>
      </c>
      <c r="H98" s="538" t="s">
        <v>855</v>
      </c>
      <c r="I98" s="547">
        <v>2.95</v>
      </c>
      <c r="J98" s="547">
        <v>960</v>
      </c>
      <c r="K98" s="548">
        <v>2831.4</v>
      </c>
    </row>
    <row r="99" spans="1:11" ht="14.4" customHeight="1" x14ac:dyDescent="0.3">
      <c r="A99" s="534" t="s">
        <v>463</v>
      </c>
      <c r="B99" s="535" t="s">
        <v>499</v>
      </c>
      <c r="C99" s="538" t="s">
        <v>473</v>
      </c>
      <c r="D99" s="567" t="s">
        <v>501</v>
      </c>
      <c r="E99" s="538" t="s">
        <v>1045</v>
      </c>
      <c r="F99" s="567" t="s">
        <v>1046</v>
      </c>
      <c r="G99" s="538" t="s">
        <v>856</v>
      </c>
      <c r="H99" s="538" t="s">
        <v>857</v>
      </c>
      <c r="I99" s="547">
        <v>126.57</v>
      </c>
      <c r="J99" s="547">
        <v>50</v>
      </c>
      <c r="K99" s="548">
        <v>6328.3</v>
      </c>
    </row>
    <row r="100" spans="1:11" ht="14.4" customHeight="1" x14ac:dyDescent="0.3">
      <c r="A100" s="534" t="s">
        <v>463</v>
      </c>
      <c r="B100" s="535" t="s">
        <v>499</v>
      </c>
      <c r="C100" s="538" t="s">
        <v>473</v>
      </c>
      <c r="D100" s="567" t="s">
        <v>501</v>
      </c>
      <c r="E100" s="538" t="s">
        <v>1045</v>
      </c>
      <c r="F100" s="567" t="s">
        <v>1046</v>
      </c>
      <c r="G100" s="538" t="s">
        <v>858</v>
      </c>
      <c r="H100" s="538" t="s">
        <v>859</v>
      </c>
      <c r="I100" s="547">
        <v>3073.4</v>
      </c>
      <c r="J100" s="547">
        <v>1</v>
      </c>
      <c r="K100" s="548">
        <v>3073.4</v>
      </c>
    </row>
    <row r="101" spans="1:11" ht="14.4" customHeight="1" x14ac:dyDescent="0.3">
      <c r="A101" s="534" t="s">
        <v>463</v>
      </c>
      <c r="B101" s="535" t="s">
        <v>499</v>
      </c>
      <c r="C101" s="538" t="s">
        <v>473</v>
      </c>
      <c r="D101" s="567" t="s">
        <v>501</v>
      </c>
      <c r="E101" s="538" t="s">
        <v>1045</v>
      </c>
      <c r="F101" s="567" t="s">
        <v>1046</v>
      </c>
      <c r="G101" s="538" t="s">
        <v>860</v>
      </c>
      <c r="H101" s="538" t="s">
        <v>861</v>
      </c>
      <c r="I101" s="547">
        <v>2.4440000000000004</v>
      </c>
      <c r="J101" s="547">
        <v>4800</v>
      </c>
      <c r="K101" s="548">
        <v>11726.51</v>
      </c>
    </row>
    <row r="102" spans="1:11" ht="14.4" customHeight="1" x14ac:dyDescent="0.3">
      <c r="A102" s="534" t="s">
        <v>463</v>
      </c>
      <c r="B102" s="535" t="s">
        <v>499</v>
      </c>
      <c r="C102" s="538" t="s">
        <v>473</v>
      </c>
      <c r="D102" s="567" t="s">
        <v>501</v>
      </c>
      <c r="E102" s="538" t="s">
        <v>1045</v>
      </c>
      <c r="F102" s="567" t="s">
        <v>1046</v>
      </c>
      <c r="G102" s="538" t="s">
        <v>862</v>
      </c>
      <c r="H102" s="538" t="s">
        <v>863</v>
      </c>
      <c r="I102" s="547">
        <v>4.63</v>
      </c>
      <c r="J102" s="547">
        <v>1000</v>
      </c>
      <c r="K102" s="548">
        <v>4626.1400000000003</v>
      </c>
    </row>
    <row r="103" spans="1:11" ht="14.4" customHeight="1" x14ac:dyDescent="0.3">
      <c r="A103" s="534" t="s">
        <v>463</v>
      </c>
      <c r="B103" s="535" t="s">
        <v>499</v>
      </c>
      <c r="C103" s="538" t="s">
        <v>473</v>
      </c>
      <c r="D103" s="567" t="s">
        <v>501</v>
      </c>
      <c r="E103" s="538" t="s">
        <v>1049</v>
      </c>
      <c r="F103" s="567" t="s">
        <v>1050</v>
      </c>
      <c r="G103" s="538" t="s">
        <v>864</v>
      </c>
      <c r="H103" s="538" t="s">
        <v>865</v>
      </c>
      <c r="I103" s="547">
        <v>0.30714285714285711</v>
      </c>
      <c r="J103" s="547">
        <v>1000</v>
      </c>
      <c r="K103" s="548">
        <v>307</v>
      </c>
    </row>
    <row r="104" spans="1:11" ht="14.4" customHeight="1" x14ac:dyDescent="0.3">
      <c r="A104" s="534" t="s">
        <v>463</v>
      </c>
      <c r="B104" s="535" t="s">
        <v>499</v>
      </c>
      <c r="C104" s="538" t="s">
        <v>473</v>
      </c>
      <c r="D104" s="567" t="s">
        <v>501</v>
      </c>
      <c r="E104" s="538" t="s">
        <v>1051</v>
      </c>
      <c r="F104" s="567" t="s">
        <v>1052</v>
      </c>
      <c r="G104" s="538" t="s">
        <v>771</v>
      </c>
      <c r="H104" s="538" t="s">
        <v>772</v>
      </c>
      <c r="I104" s="547">
        <v>0.72333333333333327</v>
      </c>
      <c r="J104" s="547">
        <v>600</v>
      </c>
      <c r="K104" s="548">
        <v>434.20000000000005</v>
      </c>
    </row>
    <row r="105" spans="1:11" ht="14.4" customHeight="1" x14ac:dyDescent="0.3">
      <c r="A105" s="534" t="s">
        <v>463</v>
      </c>
      <c r="B105" s="535" t="s">
        <v>499</v>
      </c>
      <c r="C105" s="538" t="s">
        <v>473</v>
      </c>
      <c r="D105" s="567" t="s">
        <v>501</v>
      </c>
      <c r="E105" s="538" t="s">
        <v>1051</v>
      </c>
      <c r="F105" s="567" t="s">
        <v>1052</v>
      </c>
      <c r="G105" s="538" t="s">
        <v>773</v>
      </c>
      <c r="H105" s="538" t="s">
        <v>866</v>
      </c>
      <c r="I105" s="547">
        <v>7.5</v>
      </c>
      <c r="J105" s="547">
        <v>100</v>
      </c>
      <c r="K105" s="548">
        <v>750</v>
      </c>
    </row>
    <row r="106" spans="1:11" ht="14.4" customHeight="1" x14ac:dyDescent="0.3">
      <c r="A106" s="534" t="s">
        <v>463</v>
      </c>
      <c r="B106" s="535" t="s">
        <v>499</v>
      </c>
      <c r="C106" s="538" t="s">
        <v>473</v>
      </c>
      <c r="D106" s="567" t="s">
        <v>501</v>
      </c>
      <c r="E106" s="538" t="s">
        <v>1051</v>
      </c>
      <c r="F106" s="567" t="s">
        <v>1052</v>
      </c>
      <c r="G106" s="538" t="s">
        <v>773</v>
      </c>
      <c r="H106" s="538" t="s">
        <v>774</v>
      </c>
      <c r="I106" s="547">
        <v>7.5066666666666668</v>
      </c>
      <c r="J106" s="547">
        <v>264</v>
      </c>
      <c r="K106" s="548">
        <v>1981.64</v>
      </c>
    </row>
    <row r="107" spans="1:11" ht="14.4" customHeight="1" x14ac:dyDescent="0.3">
      <c r="A107" s="534" t="s">
        <v>463</v>
      </c>
      <c r="B107" s="535" t="s">
        <v>499</v>
      </c>
      <c r="C107" s="538" t="s">
        <v>473</v>
      </c>
      <c r="D107" s="567" t="s">
        <v>501</v>
      </c>
      <c r="E107" s="538" t="s">
        <v>1051</v>
      </c>
      <c r="F107" s="567" t="s">
        <v>1052</v>
      </c>
      <c r="G107" s="538" t="s">
        <v>775</v>
      </c>
      <c r="H107" s="538" t="s">
        <v>776</v>
      </c>
      <c r="I107" s="547">
        <v>0.71</v>
      </c>
      <c r="J107" s="547">
        <v>1800</v>
      </c>
      <c r="K107" s="548">
        <v>1278</v>
      </c>
    </row>
    <row r="108" spans="1:11" ht="14.4" customHeight="1" x14ac:dyDescent="0.3">
      <c r="A108" s="534" t="s">
        <v>463</v>
      </c>
      <c r="B108" s="535" t="s">
        <v>499</v>
      </c>
      <c r="C108" s="538" t="s">
        <v>473</v>
      </c>
      <c r="D108" s="567" t="s">
        <v>501</v>
      </c>
      <c r="E108" s="538" t="s">
        <v>1051</v>
      </c>
      <c r="F108" s="567" t="s">
        <v>1052</v>
      </c>
      <c r="G108" s="538" t="s">
        <v>777</v>
      </c>
      <c r="H108" s="538" t="s">
        <v>778</v>
      </c>
      <c r="I108" s="547">
        <v>0.71</v>
      </c>
      <c r="J108" s="547">
        <v>3000</v>
      </c>
      <c r="K108" s="548">
        <v>2130</v>
      </c>
    </row>
    <row r="109" spans="1:11" ht="14.4" customHeight="1" x14ac:dyDescent="0.3">
      <c r="A109" s="534" t="s">
        <v>463</v>
      </c>
      <c r="B109" s="535" t="s">
        <v>499</v>
      </c>
      <c r="C109" s="538" t="s">
        <v>473</v>
      </c>
      <c r="D109" s="567" t="s">
        <v>501</v>
      </c>
      <c r="E109" s="538" t="s">
        <v>1053</v>
      </c>
      <c r="F109" s="567" t="s">
        <v>1054</v>
      </c>
      <c r="G109" s="538" t="s">
        <v>867</v>
      </c>
      <c r="H109" s="538" t="s">
        <v>868</v>
      </c>
      <c r="I109" s="547">
        <v>451.04790763430196</v>
      </c>
      <c r="J109" s="547">
        <v>3</v>
      </c>
      <c r="K109" s="548">
        <v>1353.1437229029059</v>
      </c>
    </row>
    <row r="110" spans="1:11" ht="14.4" customHeight="1" x14ac:dyDescent="0.3">
      <c r="A110" s="534" t="s">
        <v>463</v>
      </c>
      <c r="B110" s="535" t="s">
        <v>499</v>
      </c>
      <c r="C110" s="538" t="s">
        <v>473</v>
      </c>
      <c r="D110" s="567" t="s">
        <v>501</v>
      </c>
      <c r="E110" s="538" t="s">
        <v>1053</v>
      </c>
      <c r="F110" s="567" t="s">
        <v>1054</v>
      </c>
      <c r="G110" s="538" t="s">
        <v>869</v>
      </c>
      <c r="H110" s="538" t="s">
        <v>870</v>
      </c>
      <c r="I110" s="547">
        <v>783.53393812102308</v>
      </c>
      <c r="J110" s="547">
        <v>2</v>
      </c>
      <c r="K110" s="548">
        <v>1567.0678762420462</v>
      </c>
    </row>
    <row r="111" spans="1:11" ht="14.4" customHeight="1" x14ac:dyDescent="0.3">
      <c r="A111" s="534" t="s">
        <v>463</v>
      </c>
      <c r="B111" s="535" t="s">
        <v>499</v>
      </c>
      <c r="C111" s="538" t="s">
        <v>473</v>
      </c>
      <c r="D111" s="567" t="s">
        <v>501</v>
      </c>
      <c r="E111" s="538" t="s">
        <v>1053</v>
      </c>
      <c r="F111" s="567" t="s">
        <v>1054</v>
      </c>
      <c r="G111" s="538" t="s">
        <v>871</v>
      </c>
      <c r="H111" s="538" t="s">
        <v>872</v>
      </c>
      <c r="I111" s="547">
        <v>200.32738708476089</v>
      </c>
      <c r="J111" s="547">
        <v>44</v>
      </c>
      <c r="K111" s="548">
        <v>8775.6058209245639</v>
      </c>
    </row>
    <row r="112" spans="1:11" ht="14.4" customHeight="1" x14ac:dyDescent="0.3">
      <c r="A112" s="534" t="s">
        <v>463</v>
      </c>
      <c r="B112" s="535" t="s">
        <v>499</v>
      </c>
      <c r="C112" s="538" t="s">
        <v>473</v>
      </c>
      <c r="D112" s="567" t="s">
        <v>501</v>
      </c>
      <c r="E112" s="538" t="s">
        <v>1053</v>
      </c>
      <c r="F112" s="567" t="s">
        <v>1054</v>
      </c>
      <c r="G112" s="538" t="s">
        <v>873</v>
      </c>
      <c r="H112" s="538" t="s">
        <v>874</v>
      </c>
      <c r="I112" s="547">
        <v>182.73017107423337</v>
      </c>
      <c r="J112" s="547">
        <v>3</v>
      </c>
      <c r="K112" s="548">
        <v>548.19051322270013</v>
      </c>
    </row>
    <row r="113" spans="1:11" ht="14.4" customHeight="1" x14ac:dyDescent="0.3">
      <c r="A113" s="534" t="s">
        <v>463</v>
      </c>
      <c r="B113" s="535" t="s">
        <v>499</v>
      </c>
      <c r="C113" s="538" t="s">
        <v>473</v>
      </c>
      <c r="D113" s="567" t="s">
        <v>501</v>
      </c>
      <c r="E113" s="538" t="s">
        <v>1053</v>
      </c>
      <c r="F113" s="567" t="s">
        <v>1054</v>
      </c>
      <c r="G113" s="538" t="s">
        <v>875</v>
      </c>
      <c r="H113" s="538" t="s">
        <v>876</v>
      </c>
      <c r="I113" s="547">
        <v>263.02948250220919</v>
      </c>
      <c r="J113" s="547">
        <v>18</v>
      </c>
      <c r="K113" s="548">
        <v>4722.3904226900204</v>
      </c>
    </row>
    <row r="114" spans="1:11" ht="14.4" customHeight="1" x14ac:dyDescent="0.3">
      <c r="A114" s="534" t="s">
        <v>463</v>
      </c>
      <c r="B114" s="535" t="s">
        <v>499</v>
      </c>
      <c r="C114" s="538" t="s">
        <v>473</v>
      </c>
      <c r="D114" s="567" t="s">
        <v>501</v>
      </c>
      <c r="E114" s="538" t="s">
        <v>1053</v>
      </c>
      <c r="F114" s="567" t="s">
        <v>1054</v>
      </c>
      <c r="G114" s="538" t="s">
        <v>877</v>
      </c>
      <c r="H114" s="538" t="s">
        <v>878</v>
      </c>
      <c r="I114" s="547">
        <v>276.03011037987602</v>
      </c>
      <c r="J114" s="547">
        <v>10</v>
      </c>
      <c r="K114" s="548">
        <v>2760.3011037987603</v>
      </c>
    </row>
    <row r="115" spans="1:11" ht="14.4" customHeight="1" x14ac:dyDescent="0.3">
      <c r="A115" s="534" t="s">
        <v>463</v>
      </c>
      <c r="B115" s="535" t="s">
        <v>499</v>
      </c>
      <c r="C115" s="538" t="s">
        <v>473</v>
      </c>
      <c r="D115" s="567" t="s">
        <v>501</v>
      </c>
      <c r="E115" s="538" t="s">
        <v>1053</v>
      </c>
      <c r="F115" s="567" t="s">
        <v>1054</v>
      </c>
      <c r="G115" s="538" t="s">
        <v>879</v>
      </c>
      <c r="H115" s="538" t="s">
        <v>880</v>
      </c>
      <c r="I115" s="547">
        <v>190.49228216230983</v>
      </c>
      <c r="J115" s="547">
        <v>3</v>
      </c>
      <c r="K115" s="548">
        <v>571.4768464869295</v>
      </c>
    </row>
    <row r="116" spans="1:11" ht="14.4" customHeight="1" x14ac:dyDescent="0.3">
      <c r="A116" s="534" t="s">
        <v>463</v>
      </c>
      <c r="B116" s="535" t="s">
        <v>499</v>
      </c>
      <c r="C116" s="538" t="s">
        <v>473</v>
      </c>
      <c r="D116" s="567" t="s">
        <v>501</v>
      </c>
      <c r="E116" s="538" t="s">
        <v>1053</v>
      </c>
      <c r="F116" s="567" t="s">
        <v>1054</v>
      </c>
      <c r="G116" s="538" t="s">
        <v>881</v>
      </c>
      <c r="H116" s="538" t="s">
        <v>882</v>
      </c>
      <c r="I116" s="547">
        <v>120.51600000000001</v>
      </c>
      <c r="J116" s="547">
        <v>16</v>
      </c>
      <c r="K116" s="548">
        <v>1933.58</v>
      </c>
    </row>
    <row r="117" spans="1:11" ht="14.4" customHeight="1" x14ac:dyDescent="0.3">
      <c r="A117" s="534" t="s">
        <v>463</v>
      </c>
      <c r="B117" s="535" t="s">
        <v>499</v>
      </c>
      <c r="C117" s="538" t="s">
        <v>473</v>
      </c>
      <c r="D117" s="567" t="s">
        <v>501</v>
      </c>
      <c r="E117" s="538" t="s">
        <v>1053</v>
      </c>
      <c r="F117" s="567" t="s">
        <v>1054</v>
      </c>
      <c r="G117" s="538" t="s">
        <v>883</v>
      </c>
      <c r="H117" s="538" t="s">
        <v>884</v>
      </c>
      <c r="I117" s="547">
        <v>598.62571428571425</v>
      </c>
      <c r="J117" s="547">
        <v>9</v>
      </c>
      <c r="K117" s="548">
        <v>5438.14</v>
      </c>
    </row>
    <row r="118" spans="1:11" ht="14.4" customHeight="1" x14ac:dyDescent="0.3">
      <c r="A118" s="534" t="s">
        <v>463</v>
      </c>
      <c r="B118" s="535" t="s">
        <v>499</v>
      </c>
      <c r="C118" s="538" t="s">
        <v>473</v>
      </c>
      <c r="D118" s="567" t="s">
        <v>501</v>
      </c>
      <c r="E118" s="538" t="s">
        <v>1053</v>
      </c>
      <c r="F118" s="567" t="s">
        <v>1054</v>
      </c>
      <c r="G118" s="538" t="s">
        <v>885</v>
      </c>
      <c r="H118" s="538" t="s">
        <v>886</v>
      </c>
      <c r="I118" s="547">
        <v>146.41</v>
      </c>
      <c r="J118" s="547">
        <v>4</v>
      </c>
      <c r="K118" s="548">
        <v>585.64</v>
      </c>
    </row>
    <row r="119" spans="1:11" ht="14.4" customHeight="1" x14ac:dyDescent="0.3">
      <c r="A119" s="534" t="s">
        <v>463</v>
      </c>
      <c r="B119" s="535" t="s">
        <v>499</v>
      </c>
      <c r="C119" s="538" t="s">
        <v>473</v>
      </c>
      <c r="D119" s="567" t="s">
        <v>501</v>
      </c>
      <c r="E119" s="538" t="s">
        <v>1053</v>
      </c>
      <c r="F119" s="567" t="s">
        <v>1054</v>
      </c>
      <c r="G119" s="538" t="s">
        <v>887</v>
      </c>
      <c r="H119" s="538" t="s">
        <v>888</v>
      </c>
      <c r="I119" s="547">
        <v>639.96444444444444</v>
      </c>
      <c r="J119" s="547">
        <v>156</v>
      </c>
      <c r="K119" s="548">
        <v>98839.919999999984</v>
      </c>
    </row>
    <row r="120" spans="1:11" ht="14.4" customHeight="1" x14ac:dyDescent="0.3">
      <c r="A120" s="534" t="s">
        <v>463</v>
      </c>
      <c r="B120" s="535" t="s">
        <v>499</v>
      </c>
      <c r="C120" s="538" t="s">
        <v>473</v>
      </c>
      <c r="D120" s="567" t="s">
        <v>501</v>
      </c>
      <c r="E120" s="538" t="s">
        <v>1053</v>
      </c>
      <c r="F120" s="567" t="s">
        <v>1054</v>
      </c>
      <c r="G120" s="538" t="s">
        <v>889</v>
      </c>
      <c r="H120" s="538" t="s">
        <v>890</v>
      </c>
      <c r="I120" s="547">
        <v>9163.6</v>
      </c>
      <c r="J120" s="547">
        <v>1</v>
      </c>
      <c r="K120" s="548">
        <v>9163.6</v>
      </c>
    </row>
    <row r="121" spans="1:11" ht="14.4" customHeight="1" x14ac:dyDescent="0.3">
      <c r="A121" s="534" t="s">
        <v>463</v>
      </c>
      <c r="B121" s="535" t="s">
        <v>499</v>
      </c>
      <c r="C121" s="538" t="s">
        <v>473</v>
      </c>
      <c r="D121" s="567" t="s">
        <v>501</v>
      </c>
      <c r="E121" s="538" t="s">
        <v>1053</v>
      </c>
      <c r="F121" s="567" t="s">
        <v>1054</v>
      </c>
      <c r="G121" s="538" t="s">
        <v>891</v>
      </c>
      <c r="H121" s="538" t="s">
        <v>892</v>
      </c>
      <c r="I121" s="547">
        <v>70.545000000000002</v>
      </c>
      <c r="J121" s="547">
        <v>4</v>
      </c>
      <c r="K121" s="548">
        <v>282.18</v>
      </c>
    </row>
    <row r="122" spans="1:11" ht="14.4" customHeight="1" x14ac:dyDescent="0.3">
      <c r="A122" s="534" t="s">
        <v>463</v>
      </c>
      <c r="B122" s="535" t="s">
        <v>499</v>
      </c>
      <c r="C122" s="538" t="s">
        <v>473</v>
      </c>
      <c r="D122" s="567" t="s">
        <v>501</v>
      </c>
      <c r="E122" s="538" t="s">
        <v>1053</v>
      </c>
      <c r="F122" s="567" t="s">
        <v>1054</v>
      </c>
      <c r="G122" s="538" t="s">
        <v>893</v>
      </c>
      <c r="H122" s="538" t="s">
        <v>894</v>
      </c>
      <c r="I122" s="547">
        <v>89.062222222222232</v>
      </c>
      <c r="J122" s="547">
        <v>28</v>
      </c>
      <c r="K122" s="548">
        <v>2499.1000000000004</v>
      </c>
    </row>
    <row r="123" spans="1:11" ht="14.4" customHeight="1" x14ac:dyDescent="0.3">
      <c r="A123" s="534" t="s">
        <v>463</v>
      </c>
      <c r="B123" s="535" t="s">
        <v>499</v>
      </c>
      <c r="C123" s="538" t="s">
        <v>473</v>
      </c>
      <c r="D123" s="567" t="s">
        <v>501</v>
      </c>
      <c r="E123" s="538" t="s">
        <v>1053</v>
      </c>
      <c r="F123" s="567" t="s">
        <v>1054</v>
      </c>
      <c r="G123" s="538" t="s">
        <v>895</v>
      </c>
      <c r="H123" s="538" t="s">
        <v>896</v>
      </c>
      <c r="I123" s="547">
        <v>353.98</v>
      </c>
      <c r="J123" s="547">
        <v>10</v>
      </c>
      <c r="K123" s="548">
        <v>3539.8</v>
      </c>
    </row>
    <row r="124" spans="1:11" ht="14.4" customHeight="1" x14ac:dyDescent="0.3">
      <c r="A124" s="534" t="s">
        <v>463</v>
      </c>
      <c r="B124" s="535" t="s">
        <v>499</v>
      </c>
      <c r="C124" s="538" t="s">
        <v>473</v>
      </c>
      <c r="D124" s="567" t="s">
        <v>501</v>
      </c>
      <c r="E124" s="538" t="s">
        <v>1053</v>
      </c>
      <c r="F124" s="567" t="s">
        <v>1054</v>
      </c>
      <c r="G124" s="538" t="s">
        <v>897</v>
      </c>
      <c r="H124" s="538" t="s">
        <v>898</v>
      </c>
      <c r="I124" s="547">
        <v>1347.6375</v>
      </c>
      <c r="J124" s="547">
        <v>40</v>
      </c>
      <c r="K124" s="548">
        <v>53905.5</v>
      </c>
    </row>
    <row r="125" spans="1:11" ht="14.4" customHeight="1" x14ac:dyDescent="0.3">
      <c r="A125" s="534" t="s">
        <v>463</v>
      </c>
      <c r="B125" s="535" t="s">
        <v>499</v>
      </c>
      <c r="C125" s="538" t="s">
        <v>473</v>
      </c>
      <c r="D125" s="567" t="s">
        <v>501</v>
      </c>
      <c r="E125" s="538" t="s">
        <v>1053</v>
      </c>
      <c r="F125" s="567" t="s">
        <v>1054</v>
      </c>
      <c r="G125" s="538" t="s">
        <v>899</v>
      </c>
      <c r="H125" s="538" t="s">
        <v>900</v>
      </c>
      <c r="I125" s="547">
        <v>2843.5</v>
      </c>
      <c r="J125" s="547">
        <v>2</v>
      </c>
      <c r="K125" s="548">
        <v>5687</v>
      </c>
    </row>
    <row r="126" spans="1:11" ht="14.4" customHeight="1" x14ac:dyDescent="0.3">
      <c r="A126" s="534" t="s">
        <v>463</v>
      </c>
      <c r="B126" s="535" t="s">
        <v>499</v>
      </c>
      <c r="C126" s="538" t="s">
        <v>473</v>
      </c>
      <c r="D126" s="567" t="s">
        <v>501</v>
      </c>
      <c r="E126" s="538" t="s">
        <v>1053</v>
      </c>
      <c r="F126" s="567" t="s">
        <v>1054</v>
      </c>
      <c r="G126" s="538" t="s">
        <v>901</v>
      </c>
      <c r="H126" s="538" t="s">
        <v>902</v>
      </c>
      <c r="I126" s="547">
        <v>13975.5</v>
      </c>
      <c r="J126" s="547">
        <v>1</v>
      </c>
      <c r="K126" s="548">
        <v>13975.5</v>
      </c>
    </row>
    <row r="127" spans="1:11" ht="14.4" customHeight="1" x14ac:dyDescent="0.3">
      <c r="A127" s="534" t="s">
        <v>463</v>
      </c>
      <c r="B127" s="535" t="s">
        <v>499</v>
      </c>
      <c r="C127" s="538" t="s">
        <v>473</v>
      </c>
      <c r="D127" s="567" t="s">
        <v>501</v>
      </c>
      <c r="E127" s="538" t="s">
        <v>1053</v>
      </c>
      <c r="F127" s="567" t="s">
        <v>1054</v>
      </c>
      <c r="G127" s="538" t="s">
        <v>903</v>
      </c>
      <c r="H127" s="538" t="s">
        <v>904</v>
      </c>
      <c r="I127" s="547">
        <v>1137.3975</v>
      </c>
      <c r="J127" s="547">
        <v>11</v>
      </c>
      <c r="K127" s="548">
        <v>12487.2</v>
      </c>
    </row>
    <row r="128" spans="1:11" ht="14.4" customHeight="1" x14ac:dyDescent="0.3">
      <c r="A128" s="534" t="s">
        <v>463</v>
      </c>
      <c r="B128" s="535" t="s">
        <v>499</v>
      </c>
      <c r="C128" s="538" t="s">
        <v>473</v>
      </c>
      <c r="D128" s="567" t="s">
        <v>501</v>
      </c>
      <c r="E128" s="538" t="s">
        <v>1053</v>
      </c>
      <c r="F128" s="567" t="s">
        <v>1054</v>
      </c>
      <c r="G128" s="538" t="s">
        <v>905</v>
      </c>
      <c r="H128" s="538" t="s">
        <v>906</v>
      </c>
      <c r="I128" s="547">
        <v>2047.32</v>
      </c>
      <c r="J128" s="547">
        <v>5</v>
      </c>
      <c r="K128" s="548">
        <v>10236.6</v>
      </c>
    </row>
    <row r="129" spans="1:11" ht="14.4" customHeight="1" x14ac:dyDescent="0.3">
      <c r="A129" s="534" t="s">
        <v>463</v>
      </c>
      <c r="B129" s="535" t="s">
        <v>499</v>
      </c>
      <c r="C129" s="538" t="s">
        <v>473</v>
      </c>
      <c r="D129" s="567" t="s">
        <v>501</v>
      </c>
      <c r="E129" s="538" t="s">
        <v>1053</v>
      </c>
      <c r="F129" s="567" t="s">
        <v>1054</v>
      </c>
      <c r="G129" s="538" t="s">
        <v>907</v>
      </c>
      <c r="H129" s="538" t="s">
        <v>908</v>
      </c>
      <c r="I129" s="547">
        <v>992.2</v>
      </c>
      <c r="J129" s="547">
        <v>4</v>
      </c>
      <c r="K129" s="548">
        <v>3968.8</v>
      </c>
    </row>
    <row r="130" spans="1:11" ht="14.4" customHeight="1" x14ac:dyDescent="0.3">
      <c r="A130" s="534" t="s">
        <v>463</v>
      </c>
      <c r="B130" s="535" t="s">
        <v>499</v>
      </c>
      <c r="C130" s="538" t="s">
        <v>473</v>
      </c>
      <c r="D130" s="567" t="s">
        <v>501</v>
      </c>
      <c r="E130" s="538" t="s">
        <v>1053</v>
      </c>
      <c r="F130" s="567" t="s">
        <v>1054</v>
      </c>
      <c r="G130" s="538" t="s">
        <v>909</v>
      </c>
      <c r="H130" s="538" t="s">
        <v>910</v>
      </c>
      <c r="I130" s="547">
        <v>5487.35</v>
      </c>
      <c r="J130" s="547">
        <v>1</v>
      </c>
      <c r="K130" s="548">
        <v>5487.35</v>
      </c>
    </row>
    <row r="131" spans="1:11" ht="14.4" customHeight="1" x14ac:dyDescent="0.3">
      <c r="A131" s="534" t="s">
        <v>463</v>
      </c>
      <c r="B131" s="535" t="s">
        <v>499</v>
      </c>
      <c r="C131" s="538" t="s">
        <v>473</v>
      </c>
      <c r="D131" s="567" t="s">
        <v>501</v>
      </c>
      <c r="E131" s="538" t="s">
        <v>1053</v>
      </c>
      <c r="F131" s="567" t="s">
        <v>1054</v>
      </c>
      <c r="G131" s="538" t="s">
        <v>911</v>
      </c>
      <c r="H131" s="538" t="s">
        <v>912</v>
      </c>
      <c r="I131" s="547">
        <v>32301</v>
      </c>
      <c r="J131" s="547">
        <v>1</v>
      </c>
      <c r="K131" s="548">
        <v>32301</v>
      </c>
    </row>
    <row r="132" spans="1:11" ht="14.4" customHeight="1" x14ac:dyDescent="0.3">
      <c r="A132" s="534" t="s">
        <v>463</v>
      </c>
      <c r="B132" s="535" t="s">
        <v>499</v>
      </c>
      <c r="C132" s="538" t="s">
        <v>473</v>
      </c>
      <c r="D132" s="567" t="s">
        <v>501</v>
      </c>
      <c r="E132" s="538" t="s">
        <v>1053</v>
      </c>
      <c r="F132" s="567" t="s">
        <v>1054</v>
      </c>
      <c r="G132" s="538" t="s">
        <v>913</v>
      </c>
      <c r="H132" s="538" t="s">
        <v>914</v>
      </c>
      <c r="I132" s="547">
        <v>3936.37</v>
      </c>
      <c r="J132" s="547">
        <v>1</v>
      </c>
      <c r="K132" s="548">
        <v>3936.37</v>
      </c>
    </row>
    <row r="133" spans="1:11" ht="14.4" customHeight="1" x14ac:dyDescent="0.3">
      <c r="A133" s="534" t="s">
        <v>463</v>
      </c>
      <c r="B133" s="535" t="s">
        <v>499</v>
      </c>
      <c r="C133" s="538" t="s">
        <v>473</v>
      </c>
      <c r="D133" s="567" t="s">
        <v>501</v>
      </c>
      <c r="E133" s="538" t="s">
        <v>1053</v>
      </c>
      <c r="F133" s="567" t="s">
        <v>1054</v>
      </c>
      <c r="G133" s="538" t="s">
        <v>915</v>
      </c>
      <c r="H133" s="538" t="s">
        <v>916</v>
      </c>
      <c r="I133" s="547">
        <v>15246</v>
      </c>
      <c r="J133" s="547">
        <v>1</v>
      </c>
      <c r="K133" s="548">
        <v>15246</v>
      </c>
    </row>
    <row r="134" spans="1:11" ht="14.4" customHeight="1" x14ac:dyDescent="0.3">
      <c r="A134" s="534" t="s">
        <v>463</v>
      </c>
      <c r="B134" s="535" t="s">
        <v>499</v>
      </c>
      <c r="C134" s="538" t="s">
        <v>473</v>
      </c>
      <c r="D134" s="567" t="s">
        <v>501</v>
      </c>
      <c r="E134" s="538" t="s">
        <v>1053</v>
      </c>
      <c r="F134" s="567" t="s">
        <v>1054</v>
      </c>
      <c r="G134" s="538" t="s">
        <v>917</v>
      </c>
      <c r="H134" s="538" t="s">
        <v>918</v>
      </c>
      <c r="I134" s="547">
        <v>15491.0275</v>
      </c>
      <c r="J134" s="547">
        <v>4</v>
      </c>
      <c r="K134" s="548">
        <v>61964.11</v>
      </c>
    </row>
    <row r="135" spans="1:11" ht="14.4" customHeight="1" x14ac:dyDescent="0.3">
      <c r="A135" s="534" t="s">
        <v>463</v>
      </c>
      <c r="B135" s="535" t="s">
        <v>499</v>
      </c>
      <c r="C135" s="538" t="s">
        <v>473</v>
      </c>
      <c r="D135" s="567" t="s">
        <v>501</v>
      </c>
      <c r="E135" s="538" t="s">
        <v>1053</v>
      </c>
      <c r="F135" s="567" t="s">
        <v>1054</v>
      </c>
      <c r="G135" s="538" t="s">
        <v>919</v>
      </c>
      <c r="H135" s="538" t="s">
        <v>920</v>
      </c>
      <c r="I135" s="547">
        <v>15346.145</v>
      </c>
      <c r="J135" s="547">
        <v>2</v>
      </c>
      <c r="K135" s="548">
        <v>30692.29</v>
      </c>
    </row>
    <row r="136" spans="1:11" ht="14.4" customHeight="1" x14ac:dyDescent="0.3">
      <c r="A136" s="534" t="s">
        <v>463</v>
      </c>
      <c r="B136" s="535" t="s">
        <v>499</v>
      </c>
      <c r="C136" s="538" t="s">
        <v>473</v>
      </c>
      <c r="D136" s="567" t="s">
        <v>501</v>
      </c>
      <c r="E136" s="538" t="s">
        <v>1053</v>
      </c>
      <c r="F136" s="567" t="s">
        <v>1054</v>
      </c>
      <c r="G136" s="538" t="s">
        <v>921</v>
      </c>
      <c r="H136" s="538" t="s">
        <v>922</v>
      </c>
      <c r="I136" s="547">
        <v>35567.949999999997</v>
      </c>
      <c r="J136" s="547">
        <v>2</v>
      </c>
      <c r="K136" s="548">
        <v>71135.899999999994</v>
      </c>
    </row>
    <row r="137" spans="1:11" ht="14.4" customHeight="1" x14ac:dyDescent="0.3">
      <c r="A137" s="534" t="s">
        <v>463</v>
      </c>
      <c r="B137" s="535" t="s">
        <v>499</v>
      </c>
      <c r="C137" s="538" t="s">
        <v>473</v>
      </c>
      <c r="D137" s="567" t="s">
        <v>501</v>
      </c>
      <c r="E137" s="538" t="s">
        <v>1053</v>
      </c>
      <c r="F137" s="567" t="s">
        <v>1054</v>
      </c>
      <c r="G137" s="538" t="s">
        <v>923</v>
      </c>
      <c r="H137" s="538" t="s">
        <v>924</v>
      </c>
      <c r="I137" s="547">
        <v>7850.33</v>
      </c>
      <c r="J137" s="547">
        <v>2</v>
      </c>
      <c r="K137" s="548">
        <v>15700.66</v>
      </c>
    </row>
    <row r="138" spans="1:11" ht="14.4" customHeight="1" x14ac:dyDescent="0.3">
      <c r="A138" s="534" t="s">
        <v>463</v>
      </c>
      <c r="B138" s="535" t="s">
        <v>499</v>
      </c>
      <c r="C138" s="538" t="s">
        <v>473</v>
      </c>
      <c r="D138" s="567" t="s">
        <v>501</v>
      </c>
      <c r="E138" s="538" t="s">
        <v>1053</v>
      </c>
      <c r="F138" s="567" t="s">
        <v>1054</v>
      </c>
      <c r="G138" s="538" t="s">
        <v>925</v>
      </c>
      <c r="H138" s="538" t="s">
        <v>926</v>
      </c>
      <c r="I138" s="547">
        <v>1633.5</v>
      </c>
      <c r="J138" s="547">
        <v>1</v>
      </c>
      <c r="K138" s="548">
        <v>1633.5</v>
      </c>
    </row>
    <row r="139" spans="1:11" ht="14.4" customHeight="1" x14ac:dyDescent="0.3">
      <c r="A139" s="534" t="s">
        <v>463</v>
      </c>
      <c r="B139" s="535" t="s">
        <v>499</v>
      </c>
      <c r="C139" s="538" t="s">
        <v>473</v>
      </c>
      <c r="D139" s="567" t="s">
        <v>501</v>
      </c>
      <c r="E139" s="538" t="s">
        <v>1053</v>
      </c>
      <c r="F139" s="567" t="s">
        <v>1054</v>
      </c>
      <c r="G139" s="538" t="s">
        <v>927</v>
      </c>
      <c r="H139" s="538" t="s">
        <v>928</v>
      </c>
      <c r="I139" s="547">
        <v>13492</v>
      </c>
      <c r="J139" s="547">
        <v>2</v>
      </c>
      <c r="K139" s="548">
        <v>26984</v>
      </c>
    </row>
    <row r="140" spans="1:11" ht="14.4" customHeight="1" x14ac:dyDescent="0.3">
      <c r="A140" s="534" t="s">
        <v>463</v>
      </c>
      <c r="B140" s="535" t="s">
        <v>499</v>
      </c>
      <c r="C140" s="538" t="s">
        <v>473</v>
      </c>
      <c r="D140" s="567" t="s">
        <v>501</v>
      </c>
      <c r="E140" s="538" t="s">
        <v>1053</v>
      </c>
      <c r="F140" s="567" t="s">
        <v>1054</v>
      </c>
      <c r="G140" s="538" t="s">
        <v>929</v>
      </c>
      <c r="H140" s="538" t="s">
        <v>930</v>
      </c>
      <c r="I140" s="547">
        <v>15323.653333333335</v>
      </c>
      <c r="J140" s="547">
        <v>3</v>
      </c>
      <c r="K140" s="548">
        <v>45970.960000000006</v>
      </c>
    </row>
    <row r="141" spans="1:11" ht="14.4" customHeight="1" x14ac:dyDescent="0.3">
      <c r="A141" s="534" t="s">
        <v>463</v>
      </c>
      <c r="B141" s="535" t="s">
        <v>499</v>
      </c>
      <c r="C141" s="538" t="s">
        <v>473</v>
      </c>
      <c r="D141" s="567" t="s">
        <v>501</v>
      </c>
      <c r="E141" s="538" t="s">
        <v>1053</v>
      </c>
      <c r="F141" s="567" t="s">
        <v>1054</v>
      </c>
      <c r="G141" s="538" t="s">
        <v>931</v>
      </c>
      <c r="H141" s="538" t="s">
        <v>932</v>
      </c>
      <c r="I141" s="547">
        <v>2493</v>
      </c>
      <c r="J141" s="547">
        <v>1</v>
      </c>
      <c r="K141" s="548">
        <v>2493</v>
      </c>
    </row>
    <row r="142" spans="1:11" ht="14.4" customHeight="1" x14ac:dyDescent="0.3">
      <c r="A142" s="534" t="s">
        <v>463</v>
      </c>
      <c r="B142" s="535" t="s">
        <v>499</v>
      </c>
      <c r="C142" s="538" t="s">
        <v>473</v>
      </c>
      <c r="D142" s="567" t="s">
        <v>501</v>
      </c>
      <c r="E142" s="538" t="s">
        <v>1053</v>
      </c>
      <c r="F142" s="567" t="s">
        <v>1054</v>
      </c>
      <c r="G142" s="538" t="s">
        <v>933</v>
      </c>
      <c r="H142" s="538" t="s">
        <v>934</v>
      </c>
      <c r="I142" s="547">
        <v>7531.88</v>
      </c>
      <c r="J142" s="547">
        <v>3</v>
      </c>
      <c r="K142" s="548">
        <v>22358.92</v>
      </c>
    </row>
    <row r="143" spans="1:11" ht="14.4" customHeight="1" x14ac:dyDescent="0.3">
      <c r="A143" s="534" t="s">
        <v>463</v>
      </c>
      <c r="B143" s="535" t="s">
        <v>499</v>
      </c>
      <c r="C143" s="538" t="s">
        <v>473</v>
      </c>
      <c r="D143" s="567" t="s">
        <v>501</v>
      </c>
      <c r="E143" s="538" t="s">
        <v>1053</v>
      </c>
      <c r="F143" s="567" t="s">
        <v>1054</v>
      </c>
      <c r="G143" s="538" t="s">
        <v>935</v>
      </c>
      <c r="H143" s="538" t="s">
        <v>936</v>
      </c>
      <c r="I143" s="547">
        <v>14571.973333333333</v>
      </c>
      <c r="J143" s="547">
        <v>3</v>
      </c>
      <c r="K143" s="548">
        <v>43715.92</v>
      </c>
    </row>
    <row r="144" spans="1:11" ht="14.4" customHeight="1" x14ac:dyDescent="0.3">
      <c r="A144" s="534" t="s">
        <v>463</v>
      </c>
      <c r="B144" s="535" t="s">
        <v>499</v>
      </c>
      <c r="C144" s="538" t="s">
        <v>473</v>
      </c>
      <c r="D144" s="567" t="s">
        <v>501</v>
      </c>
      <c r="E144" s="538" t="s">
        <v>1053</v>
      </c>
      <c r="F144" s="567" t="s">
        <v>1054</v>
      </c>
      <c r="G144" s="538" t="s">
        <v>937</v>
      </c>
      <c r="H144" s="538" t="s">
        <v>938</v>
      </c>
      <c r="I144" s="547">
        <v>8551.9</v>
      </c>
      <c r="J144" s="547">
        <v>1</v>
      </c>
      <c r="K144" s="548">
        <v>8551.9</v>
      </c>
    </row>
    <row r="145" spans="1:11" ht="14.4" customHeight="1" x14ac:dyDescent="0.3">
      <c r="A145" s="534" t="s">
        <v>463</v>
      </c>
      <c r="B145" s="535" t="s">
        <v>499</v>
      </c>
      <c r="C145" s="538" t="s">
        <v>473</v>
      </c>
      <c r="D145" s="567" t="s">
        <v>501</v>
      </c>
      <c r="E145" s="538" t="s">
        <v>1053</v>
      </c>
      <c r="F145" s="567" t="s">
        <v>1054</v>
      </c>
      <c r="G145" s="538" t="s">
        <v>939</v>
      </c>
      <c r="H145" s="538" t="s">
        <v>940</v>
      </c>
      <c r="I145" s="547">
        <v>2310</v>
      </c>
      <c r="J145" s="547">
        <v>1</v>
      </c>
      <c r="K145" s="548">
        <v>2310</v>
      </c>
    </row>
    <row r="146" spans="1:11" ht="14.4" customHeight="1" x14ac:dyDescent="0.3">
      <c r="A146" s="534" t="s">
        <v>463</v>
      </c>
      <c r="B146" s="535" t="s">
        <v>499</v>
      </c>
      <c r="C146" s="538" t="s">
        <v>473</v>
      </c>
      <c r="D146" s="567" t="s">
        <v>501</v>
      </c>
      <c r="E146" s="538" t="s">
        <v>1053</v>
      </c>
      <c r="F146" s="567" t="s">
        <v>1054</v>
      </c>
      <c r="G146" s="538" t="s">
        <v>941</v>
      </c>
      <c r="H146" s="538" t="s">
        <v>942</v>
      </c>
      <c r="I146" s="547">
        <v>242</v>
      </c>
      <c r="J146" s="547">
        <v>10</v>
      </c>
      <c r="K146" s="548">
        <v>2420</v>
      </c>
    </row>
    <row r="147" spans="1:11" ht="14.4" customHeight="1" x14ac:dyDescent="0.3">
      <c r="A147" s="534" t="s">
        <v>463</v>
      </c>
      <c r="B147" s="535" t="s">
        <v>499</v>
      </c>
      <c r="C147" s="538" t="s">
        <v>473</v>
      </c>
      <c r="D147" s="567" t="s">
        <v>501</v>
      </c>
      <c r="E147" s="538" t="s">
        <v>1053</v>
      </c>
      <c r="F147" s="567" t="s">
        <v>1054</v>
      </c>
      <c r="G147" s="538" t="s">
        <v>943</v>
      </c>
      <c r="H147" s="538" t="s">
        <v>944</v>
      </c>
      <c r="I147" s="547">
        <v>44837.59</v>
      </c>
      <c r="J147" s="547">
        <v>2</v>
      </c>
      <c r="K147" s="548">
        <v>89675.18</v>
      </c>
    </row>
    <row r="148" spans="1:11" ht="14.4" customHeight="1" x14ac:dyDescent="0.3">
      <c r="A148" s="534" t="s">
        <v>463</v>
      </c>
      <c r="B148" s="535" t="s">
        <v>499</v>
      </c>
      <c r="C148" s="538" t="s">
        <v>473</v>
      </c>
      <c r="D148" s="567" t="s">
        <v>501</v>
      </c>
      <c r="E148" s="538" t="s">
        <v>1053</v>
      </c>
      <c r="F148" s="567" t="s">
        <v>1054</v>
      </c>
      <c r="G148" s="538" t="s">
        <v>945</v>
      </c>
      <c r="H148" s="538" t="s">
        <v>946</v>
      </c>
      <c r="I148" s="547">
        <v>7841.73</v>
      </c>
      <c r="J148" s="547">
        <v>2</v>
      </c>
      <c r="K148" s="548">
        <v>15683.45</v>
      </c>
    </row>
    <row r="149" spans="1:11" ht="14.4" customHeight="1" x14ac:dyDescent="0.3">
      <c r="A149" s="534" t="s">
        <v>463</v>
      </c>
      <c r="B149" s="535" t="s">
        <v>499</v>
      </c>
      <c r="C149" s="538" t="s">
        <v>473</v>
      </c>
      <c r="D149" s="567" t="s">
        <v>501</v>
      </c>
      <c r="E149" s="538" t="s">
        <v>1053</v>
      </c>
      <c r="F149" s="567" t="s">
        <v>1054</v>
      </c>
      <c r="G149" s="538" t="s">
        <v>947</v>
      </c>
      <c r="H149" s="538" t="s">
        <v>948</v>
      </c>
      <c r="I149" s="547">
        <v>15726.47</v>
      </c>
      <c r="J149" s="547">
        <v>1</v>
      </c>
      <c r="K149" s="548">
        <v>15726.47</v>
      </c>
    </row>
    <row r="150" spans="1:11" ht="14.4" customHeight="1" x14ac:dyDescent="0.3">
      <c r="A150" s="534" t="s">
        <v>463</v>
      </c>
      <c r="B150" s="535" t="s">
        <v>499</v>
      </c>
      <c r="C150" s="538" t="s">
        <v>473</v>
      </c>
      <c r="D150" s="567" t="s">
        <v>501</v>
      </c>
      <c r="E150" s="538" t="s">
        <v>1053</v>
      </c>
      <c r="F150" s="567" t="s">
        <v>1054</v>
      </c>
      <c r="G150" s="538" t="s">
        <v>949</v>
      </c>
      <c r="H150" s="538" t="s">
        <v>950</v>
      </c>
      <c r="I150" s="547">
        <v>23909.599999999995</v>
      </c>
      <c r="J150" s="547">
        <v>7</v>
      </c>
      <c r="K150" s="548">
        <v>167367.20000000001</v>
      </c>
    </row>
    <row r="151" spans="1:11" ht="14.4" customHeight="1" x14ac:dyDescent="0.3">
      <c r="A151" s="534" t="s">
        <v>463</v>
      </c>
      <c r="B151" s="535" t="s">
        <v>499</v>
      </c>
      <c r="C151" s="538" t="s">
        <v>473</v>
      </c>
      <c r="D151" s="567" t="s">
        <v>501</v>
      </c>
      <c r="E151" s="538" t="s">
        <v>1053</v>
      </c>
      <c r="F151" s="567" t="s">
        <v>1054</v>
      </c>
      <c r="G151" s="538" t="s">
        <v>951</v>
      </c>
      <c r="H151" s="538" t="s">
        <v>952</v>
      </c>
      <c r="I151" s="547">
        <v>31760.080000000002</v>
      </c>
      <c r="J151" s="547">
        <v>2</v>
      </c>
      <c r="K151" s="548">
        <v>63520.160000000003</v>
      </c>
    </row>
    <row r="152" spans="1:11" ht="14.4" customHeight="1" x14ac:dyDescent="0.3">
      <c r="A152" s="534" t="s">
        <v>463</v>
      </c>
      <c r="B152" s="535" t="s">
        <v>499</v>
      </c>
      <c r="C152" s="538" t="s">
        <v>473</v>
      </c>
      <c r="D152" s="567" t="s">
        <v>501</v>
      </c>
      <c r="E152" s="538" t="s">
        <v>1053</v>
      </c>
      <c r="F152" s="567" t="s">
        <v>1054</v>
      </c>
      <c r="G152" s="538" t="s">
        <v>953</v>
      </c>
      <c r="H152" s="538" t="s">
        <v>954</v>
      </c>
      <c r="I152" s="547">
        <v>2141.6999999999998</v>
      </c>
      <c r="J152" s="547">
        <v>1</v>
      </c>
      <c r="K152" s="548">
        <v>2141.6999999999998</v>
      </c>
    </row>
    <row r="153" spans="1:11" ht="14.4" customHeight="1" x14ac:dyDescent="0.3">
      <c r="A153" s="534" t="s">
        <v>463</v>
      </c>
      <c r="B153" s="535" t="s">
        <v>499</v>
      </c>
      <c r="C153" s="538" t="s">
        <v>473</v>
      </c>
      <c r="D153" s="567" t="s">
        <v>501</v>
      </c>
      <c r="E153" s="538" t="s">
        <v>1053</v>
      </c>
      <c r="F153" s="567" t="s">
        <v>1054</v>
      </c>
      <c r="G153" s="538" t="s">
        <v>955</v>
      </c>
      <c r="H153" s="538" t="s">
        <v>956</v>
      </c>
      <c r="I153" s="547">
        <v>5801.22</v>
      </c>
      <c r="J153" s="547">
        <v>1</v>
      </c>
      <c r="K153" s="548">
        <v>5801.22</v>
      </c>
    </row>
    <row r="154" spans="1:11" ht="14.4" customHeight="1" x14ac:dyDescent="0.3">
      <c r="A154" s="534" t="s">
        <v>463</v>
      </c>
      <c r="B154" s="535" t="s">
        <v>499</v>
      </c>
      <c r="C154" s="538" t="s">
        <v>473</v>
      </c>
      <c r="D154" s="567" t="s">
        <v>501</v>
      </c>
      <c r="E154" s="538" t="s">
        <v>1053</v>
      </c>
      <c r="F154" s="567" t="s">
        <v>1054</v>
      </c>
      <c r="G154" s="538" t="s">
        <v>957</v>
      </c>
      <c r="H154" s="538" t="s">
        <v>958</v>
      </c>
      <c r="I154" s="547">
        <v>7858.93</v>
      </c>
      <c r="J154" s="547">
        <v>4</v>
      </c>
      <c r="K154" s="548">
        <v>31435.71</v>
      </c>
    </row>
    <row r="155" spans="1:11" ht="14.4" customHeight="1" x14ac:dyDescent="0.3">
      <c r="A155" s="534" t="s">
        <v>463</v>
      </c>
      <c r="B155" s="535" t="s">
        <v>499</v>
      </c>
      <c r="C155" s="538" t="s">
        <v>473</v>
      </c>
      <c r="D155" s="567" t="s">
        <v>501</v>
      </c>
      <c r="E155" s="538" t="s">
        <v>1053</v>
      </c>
      <c r="F155" s="567" t="s">
        <v>1054</v>
      </c>
      <c r="G155" s="538" t="s">
        <v>959</v>
      </c>
      <c r="H155" s="538" t="s">
        <v>960</v>
      </c>
      <c r="I155" s="547">
        <v>3722.8333333333335</v>
      </c>
      <c r="J155" s="547">
        <v>6</v>
      </c>
      <c r="K155" s="548">
        <v>22337</v>
      </c>
    </row>
    <row r="156" spans="1:11" ht="14.4" customHeight="1" x14ac:dyDescent="0.3">
      <c r="A156" s="534" t="s">
        <v>463</v>
      </c>
      <c r="B156" s="535" t="s">
        <v>499</v>
      </c>
      <c r="C156" s="538" t="s">
        <v>473</v>
      </c>
      <c r="D156" s="567" t="s">
        <v>501</v>
      </c>
      <c r="E156" s="538" t="s">
        <v>1053</v>
      </c>
      <c r="F156" s="567" t="s">
        <v>1054</v>
      </c>
      <c r="G156" s="538" t="s">
        <v>961</v>
      </c>
      <c r="H156" s="538" t="s">
        <v>962</v>
      </c>
      <c r="I156" s="547">
        <v>37304.300000000003</v>
      </c>
      <c r="J156" s="547">
        <v>1</v>
      </c>
      <c r="K156" s="548">
        <v>37304.300000000003</v>
      </c>
    </row>
    <row r="157" spans="1:11" ht="14.4" customHeight="1" x14ac:dyDescent="0.3">
      <c r="A157" s="534" t="s">
        <v>463</v>
      </c>
      <c r="B157" s="535" t="s">
        <v>499</v>
      </c>
      <c r="C157" s="538" t="s">
        <v>473</v>
      </c>
      <c r="D157" s="567" t="s">
        <v>501</v>
      </c>
      <c r="E157" s="538" t="s">
        <v>1053</v>
      </c>
      <c r="F157" s="567" t="s">
        <v>1054</v>
      </c>
      <c r="G157" s="538" t="s">
        <v>963</v>
      </c>
      <c r="H157" s="538" t="s">
        <v>964</v>
      </c>
      <c r="I157" s="547">
        <v>7837.43</v>
      </c>
      <c r="J157" s="547">
        <v>2</v>
      </c>
      <c r="K157" s="548">
        <v>15674.85</v>
      </c>
    </row>
    <row r="158" spans="1:11" ht="14.4" customHeight="1" x14ac:dyDescent="0.3">
      <c r="A158" s="534" t="s">
        <v>463</v>
      </c>
      <c r="B158" s="535" t="s">
        <v>499</v>
      </c>
      <c r="C158" s="538" t="s">
        <v>473</v>
      </c>
      <c r="D158" s="567" t="s">
        <v>501</v>
      </c>
      <c r="E158" s="538" t="s">
        <v>1053</v>
      </c>
      <c r="F158" s="567" t="s">
        <v>1054</v>
      </c>
      <c r="G158" s="538" t="s">
        <v>965</v>
      </c>
      <c r="H158" s="538" t="s">
        <v>966</v>
      </c>
      <c r="I158" s="547">
        <v>2202.1</v>
      </c>
      <c r="J158" s="547">
        <v>1</v>
      </c>
      <c r="K158" s="548">
        <v>2202.1</v>
      </c>
    </row>
    <row r="159" spans="1:11" ht="14.4" customHeight="1" x14ac:dyDescent="0.3">
      <c r="A159" s="534" t="s">
        <v>463</v>
      </c>
      <c r="B159" s="535" t="s">
        <v>499</v>
      </c>
      <c r="C159" s="538" t="s">
        <v>473</v>
      </c>
      <c r="D159" s="567" t="s">
        <v>501</v>
      </c>
      <c r="E159" s="538" t="s">
        <v>1053</v>
      </c>
      <c r="F159" s="567" t="s">
        <v>1054</v>
      </c>
      <c r="G159" s="538" t="s">
        <v>967</v>
      </c>
      <c r="H159" s="538" t="s">
        <v>968</v>
      </c>
      <c r="I159" s="547">
        <v>7858.9349999999995</v>
      </c>
      <c r="J159" s="547">
        <v>3</v>
      </c>
      <c r="K159" s="548">
        <v>23576.800000000003</v>
      </c>
    </row>
    <row r="160" spans="1:11" ht="14.4" customHeight="1" x14ac:dyDescent="0.3">
      <c r="A160" s="534" t="s">
        <v>463</v>
      </c>
      <c r="B160" s="535" t="s">
        <v>499</v>
      </c>
      <c r="C160" s="538" t="s">
        <v>473</v>
      </c>
      <c r="D160" s="567" t="s">
        <v>501</v>
      </c>
      <c r="E160" s="538" t="s">
        <v>1053</v>
      </c>
      <c r="F160" s="567" t="s">
        <v>1054</v>
      </c>
      <c r="G160" s="538" t="s">
        <v>969</v>
      </c>
      <c r="H160" s="538" t="s">
        <v>970</v>
      </c>
      <c r="I160" s="547">
        <v>15717.87</v>
      </c>
      <c r="J160" s="547">
        <v>1</v>
      </c>
      <c r="K160" s="548">
        <v>15717.87</v>
      </c>
    </row>
    <row r="161" spans="1:11" ht="14.4" customHeight="1" x14ac:dyDescent="0.3">
      <c r="A161" s="534" t="s">
        <v>463</v>
      </c>
      <c r="B161" s="535" t="s">
        <v>499</v>
      </c>
      <c r="C161" s="538" t="s">
        <v>473</v>
      </c>
      <c r="D161" s="567" t="s">
        <v>501</v>
      </c>
      <c r="E161" s="538" t="s">
        <v>1053</v>
      </c>
      <c r="F161" s="567" t="s">
        <v>1054</v>
      </c>
      <c r="G161" s="538" t="s">
        <v>971</v>
      </c>
      <c r="H161" s="538" t="s">
        <v>972</v>
      </c>
      <c r="I161" s="547">
        <v>18150</v>
      </c>
      <c r="J161" s="547">
        <v>1</v>
      </c>
      <c r="K161" s="548">
        <v>18150</v>
      </c>
    </row>
    <row r="162" spans="1:11" ht="14.4" customHeight="1" x14ac:dyDescent="0.3">
      <c r="A162" s="534" t="s">
        <v>463</v>
      </c>
      <c r="B162" s="535" t="s">
        <v>499</v>
      </c>
      <c r="C162" s="538" t="s">
        <v>473</v>
      </c>
      <c r="D162" s="567" t="s">
        <v>501</v>
      </c>
      <c r="E162" s="538" t="s">
        <v>1053</v>
      </c>
      <c r="F162" s="567" t="s">
        <v>1054</v>
      </c>
      <c r="G162" s="538" t="s">
        <v>973</v>
      </c>
      <c r="H162" s="538" t="s">
        <v>974</v>
      </c>
      <c r="I162" s="547">
        <v>1996.5</v>
      </c>
      <c r="J162" s="547">
        <v>2</v>
      </c>
      <c r="K162" s="548">
        <v>3993</v>
      </c>
    </row>
    <row r="163" spans="1:11" ht="14.4" customHeight="1" x14ac:dyDescent="0.3">
      <c r="A163" s="534" t="s">
        <v>463</v>
      </c>
      <c r="B163" s="535" t="s">
        <v>499</v>
      </c>
      <c r="C163" s="538" t="s">
        <v>473</v>
      </c>
      <c r="D163" s="567" t="s">
        <v>501</v>
      </c>
      <c r="E163" s="538" t="s">
        <v>1053</v>
      </c>
      <c r="F163" s="567" t="s">
        <v>1054</v>
      </c>
      <c r="G163" s="538" t="s">
        <v>975</v>
      </c>
      <c r="H163" s="538" t="s">
        <v>976</v>
      </c>
      <c r="I163" s="547">
        <v>14189.67</v>
      </c>
      <c r="J163" s="547">
        <v>2</v>
      </c>
      <c r="K163" s="548">
        <v>28379.34</v>
      </c>
    </row>
    <row r="164" spans="1:11" ht="14.4" customHeight="1" x14ac:dyDescent="0.3">
      <c r="A164" s="534" t="s">
        <v>463</v>
      </c>
      <c r="B164" s="535" t="s">
        <v>499</v>
      </c>
      <c r="C164" s="538" t="s">
        <v>473</v>
      </c>
      <c r="D164" s="567" t="s">
        <v>501</v>
      </c>
      <c r="E164" s="538" t="s">
        <v>1053</v>
      </c>
      <c r="F164" s="567" t="s">
        <v>1054</v>
      </c>
      <c r="G164" s="538" t="s">
        <v>977</v>
      </c>
      <c r="H164" s="538" t="s">
        <v>978</v>
      </c>
      <c r="I164" s="547">
        <v>17908</v>
      </c>
      <c r="J164" s="547">
        <v>1</v>
      </c>
      <c r="K164" s="548">
        <v>17908</v>
      </c>
    </row>
    <row r="165" spans="1:11" ht="14.4" customHeight="1" x14ac:dyDescent="0.3">
      <c r="A165" s="534" t="s">
        <v>463</v>
      </c>
      <c r="B165" s="535" t="s">
        <v>499</v>
      </c>
      <c r="C165" s="538" t="s">
        <v>473</v>
      </c>
      <c r="D165" s="567" t="s">
        <v>501</v>
      </c>
      <c r="E165" s="538" t="s">
        <v>1053</v>
      </c>
      <c r="F165" s="567" t="s">
        <v>1054</v>
      </c>
      <c r="G165" s="538" t="s">
        <v>979</v>
      </c>
      <c r="H165" s="538" t="s">
        <v>980</v>
      </c>
      <c r="I165" s="547">
        <v>8966.1</v>
      </c>
      <c r="J165" s="547">
        <v>1</v>
      </c>
      <c r="K165" s="548">
        <v>8966.1</v>
      </c>
    </row>
    <row r="166" spans="1:11" ht="14.4" customHeight="1" x14ac:dyDescent="0.3">
      <c r="A166" s="534" t="s">
        <v>463</v>
      </c>
      <c r="B166" s="535" t="s">
        <v>499</v>
      </c>
      <c r="C166" s="538" t="s">
        <v>473</v>
      </c>
      <c r="D166" s="567" t="s">
        <v>501</v>
      </c>
      <c r="E166" s="538" t="s">
        <v>1053</v>
      </c>
      <c r="F166" s="567" t="s">
        <v>1054</v>
      </c>
      <c r="G166" s="538" t="s">
        <v>981</v>
      </c>
      <c r="H166" s="538" t="s">
        <v>982</v>
      </c>
      <c r="I166" s="547">
        <v>14459.5</v>
      </c>
      <c r="J166" s="547">
        <v>1</v>
      </c>
      <c r="K166" s="548">
        <v>14459.5</v>
      </c>
    </row>
    <row r="167" spans="1:11" ht="14.4" customHeight="1" x14ac:dyDescent="0.3">
      <c r="A167" s="534" t="s">
        <v>463</v>
      </c>
      <c r="B167" s="535" t="s">
        <v>499</v>
      </c>
      <c r="C167" s="538" t="s">
        <v>473</v>
      </c>
      <c r="D167" s="567" t="s">
        <v>501</v>
      </c>
      <c r="E167" s="538" t="s">
        <v>1053</v>
      </c>
      <c r="F167" s="567" t="s">
        <v>1054</v>
      </c>
      <c r="G167" s="538" t="s">
        <v>983</v>
      </c>
      <c r="H167" s="538" t="s">
        <v>984</v>
      </c>
      <c r="I167" s="547">
        <v>15590.25</v>
      </c>
      <c r="J167" s="547">
        <v>2</v>
      </c>
      <c r="K167" s="548">
        <v>31180.5</v>
      </c>
    </row>
    <row r="168" spans="1:11" ht="14.4" customHeight="1" x14ac:dyDescent="0.3">
      <c r="A168" s="534" t="s">
        <v>463</v>
      </c>
      <c r="B168" s="535" t="s">
        <v>499</v>
      </c>
      <c r="C168" s="538" t="s">
        <v>473</v>
      </c>
      <c r="D168" s="567" t="s">
        <v>501</v>
      </c>
      <c r="E168" s="538" t="s">
        <v>1053</v>
      </c>
      <c r="F168" s="567" t="s">
        <v>1054</v>
      </c>
      <c r="G168" s="538" t="s">
        <v>985</v>
      </c>
      <c r="H168" s="538" t="s">
        <v>986</v>
      </c>
      <c r="I168" s="547">
        <v>10031</v>
      </c>
      <c r="J168" s="547">
        <v>1</v>
      </c>
      <c r="K168" s="548">
        <v>10031</v>
      </c>
    </row>
    <row r="169" spans="1:11" ht="14.4" customHeight="1" x14ac:dyDescent="0.3">
      <c r="A169" s="534" t="s">
        <v>463</v>
      </c>
      <c r="B169" s="535" t="s">
        <v>499</v>
      </c>
      <c r="C169" s="538" t="s">
        <v>473</v>
      </c>
      <c r="D169" s="567" t="s">
        <v>501</v>
      </c>
      <c r="E169" s="538" t="s">
        <v>1053</v>
      </c>
      <c r="F169" s="567" t="s">
        <v>1054</v>
      </c>
      <c r="G169" s="538" t="s">
        <v>987</v>
      </c>
      <c r="H169" s="538" t="s">
        <v>988</v>
      </c>
      <c r="I169" s="547">
        <v>291</v>
      </c>
      <c r="J169" s="547">
        <v>1</v>
      </c>
      <c r="K169" s="548">
        <v>291</v>
      </c>
    </row>
    <row r="170" spans="1:11" ht="14.4" customHeight="1" x14ac:dyDescent="0.3">
      <c r="A170" s="534" t="s">
        <v>463</v>
      </c>
      <c r="B170" s="535" t="s">
        <v>499</v>
      </c>
      <c r="C170" s="538" t="s">
        <v>473</v>
      </c>
      <c r="D170" s="567" t="s">
        <v>501</v>
      </c>
      <c r="E170" s="538" t="s">
        <v>1053</v>
      </c>
      <c r="F170" s="567" t="s">
        <v>1054</v>
      </c>
      <c r="G170" s="538" t="s">
        <v>989</v>
      </c>
      <c r="H170" s="538" t="s">
        <v>990</v>
      </c>
      <c r="I170" s="547">
        <v>3993</v>
      </c>
      <c r="J170" s="547">
        <v>1</v>
      </c>
      <c r="K170" s="548">
        <v>3993</v>
      </c>
    </row>
    <row r="171" spans="1:11" ht="14.4" customHeight="1" x14ac:dyDescent="0.3">
      <c r="A171" s="534" t="s">
        <v>463</v>
      </c>
      <c r="B171" s="535" t="s">
        <v>499</v>
      </c>
      <c r="C171" s="538" t="s">
        <v>473</v>
      </c>
      <c r="D171" s="567" t="s">
        <v>501</v>
      </c>
      <c r="E171" s="538" t="s">
        <v>1053</v>
      </c>
      <c r="F171" s="567" t="s">
        <v>1054</v>
      </c>
      <c r="G171" s="538" t="s">
        <v>991</v>
      </c>
      <c r="H171" s="538" t="s">
        <v>992</v>
      </c>
      <c r="I171" s="547">
        <v>14354.23</v>
      </c>
      <c r="J171" s="547">
        <v>1</v>
      </c>
      <c r="K171" s="548">
        <v>14354.23</v>
      </c>
    </row>
    <row r="172" spans="1:11" ht="14.4" customHeight="1" x14ac:dyDescent="0.3">
      <c r="A172" s="534" t="s">
        <v>463</v>
      </c>
      <c r="B172" s="535" t="s">
        <v>499</v>
      </c>
      <c r="C172" s="538" t="s">
        <v>473</v>
      </c>
      <c r="D172" s="567" t="s">
        <v>501</v>
      </c>
      <c r="E172" s="538" t="s">
        <v>1053</v>
      </c>
      <c r="F172" s="567" t="s">
        <v>1054</v>
      </c>
      <c r="G172" s="538" t="s">
        <v>993</v>
      </c>
      <c r="H172" s="538" t="s">
        <v>994</v>
      </c>
      <c r="I172" s="547">
        <v>13915</v>
      </c>
      <c r="J172" s="547">
        <v>1</v>
      </c>
      <c r="K172" s="548">
        <v>13915</v>
      </c>
    </row>
    <row r="173" spans="1:11" ht="14.4" customHeight="1" x14ac:dyDescent="0.3">
      <c r="A173" s="534" t="s">
        <v>463</v>
      </c>
      <c r="B173" s="535" t="s">
        <v>499</v>
      </c>
      <c r="C173" s="538" t="s">
        <v>473</v>
      </c>
      <c r="D173" s="567" t="s">
        <v>501</v>
      </c>
      <c r="E173" s="538" t="s">
        <v>1053</v>
      </c>
      <c r="F173" s="567" t="s">
        <v>1054</v>
      </c>
      <c r="G173" s="538" t="s">
        <v>995</v>
      </c>
      <c r="H173" s="538" t="s">
        <v>996</v>
      </c>
      <c r="I173" s="547">
        <v>15554</v>
      </c>
      <c r="J173" s="547">
        <v>1</v>
      </c>
      <c r="K173" s="548">
        <v>15554</v>
      </c>
    </row>
    <row r="174" spans="1:11" ht="14.4" customHeight="1" x14ac:dyDescent="0.3">
      <c r="A174" s="534" t="s">
        <v>463</v>
      </c>
      <c r="B174" s="535" t="s">
        <v>499</v>
      </c>
      <c r="C174" s="538" t="s">
        <v>473</v>
      </c>
      <c r="D174" s="567" t="s">
        <v>501</v>
      </c>
      <c r="E174" s="538" t="s">
        <v>1053</v>
      </c>
      <c r="F174" s="567" t="s">
        <v>1054</v>
      </c>
      <c r="G174" s="538" t="s">
        <v>997</v>
      </c>
      <c r="H174" s="538" t="s">
        <v>998</v>
      </c>
      <c r="I174" s="547">
        <v>11092.07</v>
      </c>
      <c r="J174" s="547">
        <v>2</v>
      </c>
      <c r="K174" s="548">
        <v>22184.14</v>
      </c>
    </row>
    <row r="175" spans="1:11" ht="14.4" customHeight="1" x14ac:dyDescent="0.3">
      <c r="A175" s="534" t="s">
        <v>463</v>
      </c>
      <c r="B175" s="535" t="s">
        <v>499</v>
      </c>
      <c r="C175" s="538" t="s">
        <v>473</v>
      </c>
      <c r="D175" s="567" t="s">
        <v>501</v>
      </c>
      <c r="E175" s="538" t="s">
        <v>1053</v>
      </c>
      <c r="F175" s="567" t="s">
        <v>1054</v>
      </c>
      <c r="G175" s="538" t="s">
        <v>999</v>
      </c>
      <c r="H175" s="538" t="s">
        <v>1000</v>
      </c>
      <c r="I175" s="547">
        <v>9486.4</v>
      </c>
      <c r="J175" s="547">
        <v>1</v>
      </c>
      <c r="K175" s="548">
        <v>9486.4</v>
      </c>
    </row>
    <row r="176" spans="1:11" ht="14.4" customHeight="1" x14ac:dyDescent="0.3">
      <c r="A176" s="534" t="s">
        <v>463</v>
      </c>
      <c r="B176" s="535" t="s">
        <v>499</v>
      </c>
      <c r="C176" s="538" t="s">
        <v>473</v>
      </c>
      <c r="D176" s="567" t="s">
        <v>501</v>
      </c>
      <c r="E176" s="538" t="s">
        <v>1053</v>
      </c>
      <c r="F176" s="567" t="s">
        <v>1054</v>
      </c>
      <c r="G176" s="538" t="s">
        <v>1001</v>
      </c>
      <c r="H176" s="538" t="s">
        <v>1002</v>
      </c>
      <c r="I176" s="547">
        <v>6256.4</v>
      </c>
      <c r="J176" s="547">
        <v>1</v>
      </c>
      <c r="K176" s="548">
        <v>6256.4</v>
      </c>
    </row>
    <row r="177" spans="1:11" ht="14.4" customHeight="1" x14ac:dyDescent="0.3">
      <c r="A177" s="534" t="s">
        <v>463</v>
      </c>
      <c r="B177" s="535" t="s">
        <v>499</v>
      </c>
      <c r="C177" s="538" t="s">
        <v>473</v>
      </c>
      <c r="D177" s="567" t="s">
        <v>501</v>
      </c>
      <c r="E177" s="538" t="s">
        <v>1053</v>
      </c>
      <c r="F177" s="567" t="s">
        <v>1054</v>
      </c>
      <c r="G177" s="538" t="s">
        <v>1003</v>
      </c>
      <c r="H177" s="538" t="s">
        <v>1004</v>
      </c>
      <c r="I177" s="547">
        <v>14858.8</v>
      </c>
      <c r="J177" s="547">
        <v>1</v>
      </c>
      <c r="K177" s="548">
        <v>14858.8</v>
      </c>
    </row>
    <row r="178" spans="1:11" ht="14.4" customHeight="1" x14ac:dyDescent="0.3">
      <c r="A178" s="534" t="s">
        <v>463</v>
      </c>
      <c r="B178" s="535" t="s">
        <v>499</v>
      </c>
      <c r="C178" s="538" t="s">
        <v>473</v>
      </c>
      <c r="D178" s="567" t="s">
        <v>501</v>
      </c>
      <c r="E178" s="538" t="s">
        <v>1053</v>
      </c>
      <c r="F178" s="567" t="s">
        <v>1054</v>
      </c>
      <c r="G178" s="538" t="s">
        <v>1005</v>
      </c>
      <c r="H178" s="538" t="s">
        <v>1006</v>
      </c>
      <c r="I178" s="547">
        <v>18380</v>
      </c>
      <c r="J178" s="547">
        <v>2</v>
      </c>
      <c r="K178" s="548">
        <v>36760</v>
      </c>
    </row>
    <row r="179" spans="1:11" ht="14.4" customHeight="1" x14ac:dyDescent="0.3">
      <c r="A179" s="534" t="s">
        <v>463</v>
      </c>
      <c r="B179" s="535" t="s">
        <v>499</v>
      </c>
      <c r="C179" s="538" t="s">
        <v>473</v>
      </c>
      <c r="D179" s="567" t="s">
        <v>501</v>
      </c>
      <c r="E179" s="538" t="s">
        <v>1053</v>
      </c>
      <c r="F179" s="567" t="s">
        <v>1054</v>
      </c>
      <c r="G179" s="538" t="s">
        <v>1007</v>
      </c>
      <c r="H179" s="538" t="s">
        <v>1008</v>
      </c>
      <c r="I179" s="547">
        <v>6252</v>
      </c>
      <c r="J179" s="547">
        <v>1</v>
      </c>
      <c r="K179" s="548">
        <v>6252</v>
      </c>
    </row>
    <row r="180" spans="1:11" ht="14.4" customHeight="1" x14ac:dyDescent="0.3">
      <c r="A180" s="534" t="s">
        <v>463</v>
      </c>
      <c r="B180" s="535" t="s">
        <v>499</v>
      </c>
      <c r="C180" s="538" t="s">
        <v>473</v>
      </c>
      <c r="D180" s="567" t="s">
        <v>501</v>
      </c>
      <c r="E180" s="538" t="s">
        <v>1053</v>
      </c>
      <c r="F180" s="567" t="s">
        <v>1054</v>
      </c>
      <c r="G180" s="538" t="s">
        <v>1009</v>
      </c>
      <c r="H180" s="538" t="s">
        <v>1010</v>
      </c>
      <c r="I180" s="547">
        <v>29547.919999999998</v>
      </c>
      <c r="J180" s="547">
        <v>1</v>
      </c>
      <c r="K180" s="548">
        <v>29547.919999999998</v>
      </c>
    </row>
    <row r="181" spans="1:11" ht="14.4" customHeight="1" x14ac:dyDescent="0.3">
      <c r="A181" s="534" t="s">
        <v>463</v>
      </c>
      <c r="B181" s="535" t="s">
        <v>499</v>
      </c>
      <c r="C181" s="538" t="s">
        <v>473</v>
      </c>
      <c r="D181" s="567" t="s">
        <v>501</v>
      </c>
      <c r="E181" s="538" t="s">
        <v>1053</v>
      </c>
      <c r="F181" s="567" t="s">
        <v>1054</v>
      </c>
      <c r="G181" s="538" t="s">
        <v>1011</v>
      </c>
      <c r="H181" s="538" t="s">
        <v>1012</v>
      </c>
      <c r="I181" s="547">
        <v>10227.69</v>
      </c>
      <c r="J181" s="547">
        <v>1</v>
      </c>
      <c r="K181" s="548">
        <v>10227.69</v>
      </c>
    </row>
    <row r="182" spans="1:11" ht="14.4" customHeight="1" x14ac:dyDescent="0.3">
      <c r="A182" s="534" t="s">
        <v>463</v>
      </c>
      <c r="B182" s="535" t="s">
        <v>499</v>
      </c>
      <c r="C182" s="538" t="s">
        <v>473</v>
      </c>
      <c r="D182" s="567" t="s">
        <v>501</v>
      </c>
      <c r="E182" s="538" t="s">
        <v>1053</v>
      </c>
      <c r="F182" s="567" t="s">
        <v>1054</v>
      </c>
      <c r="G182" s="538" t="s">
        <v>1013</v>
      </c>
      <c r="H182" s="538" t="s">
        <v>1014</v>
      </c>
      <c r="I182" s="547">
        <v>1372.2</v>
      </c>
      <c r="J182" s="547">
        <v>1</v>
      </c>
      <c r="K182" s="548">
        <v>1372.2</v>
      </c>
    </row>
    <row r="183" spans="1:11" ht="14.4" customHeight="1" x14ac:dyDescent="0.3">
      <c r="A183" s="534" t="s">
        <v>463</v>
      </c>
      <c r="B183" s="535" t="s">
        <v>499</v>
      </c>
      <c r="C183" s="538" t="s">
        <v>473</v>
      </c>
      <c r="D183" s="567" t="s">
        <v>501</v>
      </c>
      <c r="E183" s="538" t="s">
        <v>1053</v>
      </c>
      <c r="F183" s="567" t="s">
        <v>1054</v>
      </c>
      <c r="G183" s="538" t="s">
        <v>1015</v>
      </c>
      <c r="H183" s="538" t="s">
        <v>1016</v>
      </c>
      <c r="I183" s="547">
        <v>2941.41</v>
      </c>
      <c r="J183" s="547">
        <v>1</v>
      </c>
      <c r="K183" s="548">
        <v>2941.41</v>
      </c>
    </row>
    <row r="184" spans="1:11" ht="14.4" customHeight="1" x14ac:dyDescent="0.3">
      <c r="A184" s="534" t="s">
        <v>463</v>
      </c>
      <c r="B184" s="535" t="s">
        <v>499</v>
      </c>
      <c r="C184" s="538" t="s">
        <v>473</v>
      </c>
      <c r="D184" s="567" t="s">
        <v>501</v>
      </c>
      <c r="E184" s="538" t="s">
        <v>1053</v>
      </c>
      <c r="F184" s="567" t="s">
        <v>1054</v>
      </c>
      <c r="G184" s="538" t="s">
        <v>1017</v>
      </c>
      <c r="H184" s="538" t="s">
        <v>1018</v>
      </c>
      <c r="I184" s="547">
        <v>6306.165</v>
      </c>
      <c r="J184" s="547">
        <v>3</v>
      </c>
      <c r="K184" s="548">
        <v>17456.050000000003</v>
      </c>
    </row>
    <row r="185" spans="1:11" ht="14.4" customHeight="1" x14ac:dyDescent="0.3">
      <c r="A185" s="534" t="s">
        <v>463</v>
      </c>
      <c r="B185" s="535" t="s">
        <v>499</v>
      </c>
      <c r="C185" s="538" t="s">
        <v>473</v>
      </c>
      <c r="D185" s="567" t="s">
        <v>501</v>
      </c>
      <c r="E185" s="538" t="s">
        <v>1053</v>
      </c>
      <c r="F185" s="567" t="s">
        <v>1054</v>
      </c>
      <c r="G185" s="538" t="s">
        <v>1019</v>
      </c>
      <c r="H185" s="538" t="s">
        <v>1020</v>
      </c>
      <c r="I185" s="547">
        <v>9316.76</v>
      </c>
      <c r="J185" s="547">
        <v>1</v>
      </c>
      <c r="K185" s="548">
        <v>9316.76</v>
      </c>
    </row>
    <row r="186" spans="1:11" ht="14.4" customHeight="1" x14ac:dyDescent="0.3">
      <c r="A186" s="534" t="s">
        <v>463</v>
      </c>
      <c r="B186" s="535" t="s">
        <v>499</v>
      </c>
      <c r="C186" s="538" t="s">
        <v>473</v>
      </c>
      <c r="D186" s="567" t="s">
        <v>501</v>
      </c>
      <c r="E186" s="538" t="s">
        <v>1053</v>
      </c>
      <c r="F186" s="567" t="s">
        <v>1054</v>
      </c>
      <c r="G186" s="538" t="s">
        <v>1021</v>
      </c>
      <c r="H186" s="538" t="s">
        <v>1022</v>
      </c>
      <c r="I186" s="547">
        <v>7919.24</v>
      </c>
      <c r="J186" s="547">
        <v>1</v>
      </c>
      <c r="K186" s="548">
        <v>7919.24</v>
      </c>
    </row>
    <row r="187" spans="1:11" ht="14.4" customHeight="1" x14ac:dyDescent="0.3">
      <c r="A187" s="534" t="s">
        <v>463</v>
      </c>
      <c r="B187" s="535" t="s">
        <v>499</v>
      </c>
      <c r="C187" s="538" t="s">
        <v>473</v>
      </c>
      <c r="D187" s="567" t="s">
        <v>501</v>
      </c>
      <c r="E187" s="538" t="s">
        <v>1053</v>
      </c>
      <c r="F187" s="567" t="s">
        <v>1054</v>
      </c>
      <c r="G187" s="538" t="s">
        <v>1023</v>
      </c>
      <c r="H187" s="538" t="s">
        <v>1024</v>
      </c>
      <c r="I187" s="547">
        <v>5709.03</v>
      </c>
      <c r="J187" s="547">
        <v>1</v>
      </c>
      <c r="K187" s="548">
        <v>5709.03</v>
      </c>
    </row>
    <row r="188" spans="1:11" ht="14.4" customHeight="1" x14ac:dyDescent="0.3">
      <c r="A188" s="534" t="s">
        <v>463</v>
      </c>
      <c r="B188" s="535" t="s">
        <v>499</v>
      </c>
      <c r="C188" s="538" t="s">
        <v>473</v>
      </c>
      <c r="D188" s="567" t="s">
        <v>501</v>
      </c>
      <c r="E188" s="538" t="s">
        <v>1053</v>
      </c>
      <c r="F188" s="567" t="s">
        <v>1054</v>
      </c>
      <c r="G188" s="538" t="s">
        <v>1025</v>
      </c>
      <c r="H188" s="538" t="s">
        <v>1026</v>
      </c>
      <c r="I188" s="547">
        <v>7775.77</v>
      </c>
      <c r="J188" s="547">
        <v>1</v>
      </c>
      <c r="K188" s="548">
        <v>7775.77</v>
      </c>
    </row>
    <row r="189" spans="1:11" ht="14.4" customHeight="1" x14ac:dyDescent="0.3">
      <c r="A189" s="534" t="s">
        <v>463</v>
      </c>
      <c r="B189" s="535" t="s">
        <v>499</v>
      </c>
      <c r="C189" s="538" t="s">
        <v>473</v>
      </c>
      <c r="D189" s="567" t="s">
        <v>501</v>
      </c>
      <c r="E189" s="538" t="s">
        <v>1053</v>
      </c>
      <c r="F189" s="567" t="s">
        <v>1054</v>
      </c>
      <c r="G189" s="538" t="s">
        <v>1027</v>
      </c>
      <c r="H189" s="538" t="s">
        <v>1028</v>
      </c>
      <c r="I189" s="547">
        <v>7362.46</v>
      </c>
      <c r="J189" s="547">
        <v>1</v>
      </c>
      <c r="K189" s="548">
        <v>7362.46</v>
      </c>
    </row>
    <row r="190" spans="1:11" ht="14.4" customHeight="1" x14ac:dyDescent="0.3">
      <c r="A190" s="534" t="s">
        <v>463</v>
      </c>
      <c r="B190" s="535" t="s">
        <v>499</v>
      </c>
      <c r="C190" s="538" t="s">
        <v>473</v>
      </c>
      <c r="D190" s="567" t="s">
        <v>501</v>
      </c>
      <c r="E190" s="538" t="s">
        <v>1053</v>
      </c>
      <c r="F190" s="567" t="s">
        <v>1054</v>
      </c>
      <c r="G190" s="538" t="s">
        <v>1029</v>
      </c>
      <c r="H190" s="538" t="s">
        <v>1030</v>
      </c>
      <c r="I190" s="547">
        <v>50057.8</v>
      </c>
      <c r="J190" s="547">
        <v>2</v>
      </c>
      <c r="K190" s="548">
        <v>100115.6</v>
      </c>
    </row>
    <row r="191" spans="1:11" ht="14.4" customHeight="1" x14ac:dyDescent="0.3">
      <c r="A191" s="534" t="s">
        <v>463</v>
      </c>
      <c r="B191" s="535" t="s">
        <v>499</v>
      </c>
      <c r="C191" s="538" t="s">
        <v>473</v>
      </c>
      <c r="D191" s="567" t="s">
        <v>501</v>
      </c>
      <c r="E191" s="538" t="s">
        <v>1053</v>
      </c>
      <c r="F191" s="567" t="s">
        <v>1054</v>
      </c>
      <c r="G191" s="538" t="s">
        <v>1031</v>
      </c>
      <c r="H191" s="538" t="s">
        <v>1032</v>
      </c>
      <c r="I191" s="547">
        <v>214496.7</v>
      </c>
      <c r="J191" s="547">
        <v>2</v>
      </c>
      <c r="K191" s="548">
        <v>428993.4</v>
      </c>
    </row>
    <row r="192" spans="1:11" ht="14.4" customHeight="1" x14ac:dyDescent="0.3">
      <c r="A192" s="534" t="s">
        <v>463</v>
      </c>
      <c r="B192" s="535" t="s">
        <v>499</v>
      </c>
      <c r="C192" s="538" t="s">
        <v>473</v>
      </c>
      <c r="D192" s="567" t="s">
        <v>501</v>
      </c>
      <c r="E192" s="538" t="s">
        <v>1053</v>
      </c>
      <c r="F192" s="567" t="s">
        <v>1054</v>
      </c>
      <c r="G192" s="538" t="s">
        <v>1033</v>
      </c>
      <c r="H192" s="538" t="s">
        <v>1034</v>
      </c>
      <c r="I192" s="547">
        <v>25719.33</v>
      </c>
      <c r="J192" s="547">
        <v>3</v>
      </c>
      <c r="K192" s="548">
        <v>77158</v>
      </c>
    </row>
    <row r="193" spans="1:11" ht="14.4" customHeight="1" x14ac:dyDescent="0.3">
      <c r="A193" s="534" t="s">
        <v>463</v>
      </c>
      <c r="B193" s="535" t="s">
        <v>499</v>
      </c>
      <c r="C193" s="538" t="s">
        <v>473</v>
      </c>
      <c r="D193" s="567" t="s">
        <v>501</v>
      </c>
      <c r="E193" s="538" t="s">
        <v>1053</v>
      </c>
      <c r="F193" s="567" t="s">
        <v>1054</v>
      </c>
      <c r="G193" s="538" t="s">
        <v>1035</v>
      </c>
      <c r="H193" s="538" t="s">
        <v>1036</v>
      </c>
      <c r="I193" s="547">
        <v>15537.2</v>
      </c>
      <c r="J193" s="547">
        <v>1</v>
      </c>
      <c r="K193" s="548">
        <v>15537.2</v>
      </c>
    </row>
    <row r="194" spans="1:11" ht="14.4" customHeight="1" x14ac:dyDescent="0.3">
      <c r="A194" s="534" t="s">
        <v>463</v>
      </c>
      <c r="B194" s="535" t="s">
        <v>499</v>
      </c>
      <c r="C194" s="538" t="s">
        <v>473</v>
      </c>
      <c r="D194" s="567" t="s">
        <v>501</v>
      </c>
      <c r="E194" s="538" t="s">
        <v>1053</v>
      </c>
      <c r="F194" s="567" t="s">
        <v>1054</v>
      </c>
      <c r="G194" s="538" t="s">
        <v>1037</v>
      </c>
      <c r="H194" s="538" t="s">
        <v>1038</v>
      </c>
      <c r="I194" s="547">
        <v>29560.77</v>
      </c>
      <c r="J194" s="547">
        <v>1</v>
      </c>
      <c r="K194" s="548">
        <v>29560.77</v>
      </c>
    </row>
    <row r="195" spans="1:11" ht="14.4" customHeight="1" thickBot="1" x14ac:dyDescent="0.35">
      <c r="A195" s="526" t="s">
        <v>463</v>
      </c>
      <c r="B195" s="527" t="s">
        <v>499</v>
      </c>
      <c r="C195" s="530" t="s">
        <v>473</v>
      </c>
      <c r="D195" s="568" t="s">
        <v>501</v>
      </c>
      <c r="E195" s="530" t="s">
        <v>1053</v>
      </c>
      <c r="F195" s="568" t="s">
        <v>1054</v>
      </c>
      <c r="G195" s="530" t="s">
        <v>1039</v>
      </c>
      <c r="H195" s="530" t="s">
        <v>1040</v>
      </c>
      <c r="I195" s="549">
        <v>834.9</v>
      </c>
      <c r="J195" s="549">
        <v>1</v>
      </c>
      <c r="K195" s="550">
        <v>834.9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9" width="13.109375" hidden="1" customWidth="1"/>
    <col min="10" max="10" width="13.109375" customWidth="1"/>
    <col min="11" max="21" width="13.109375" hidden="1" customWidth="1"/>
    <col min="22" max="22" width="13.109375" customWidth="1"/>
    <col min="23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394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</row>
    <row r="2" spans="1:35" ht="15" thickBot="1" x14ac:dyDescent="0.35">
      <c r="A2" s="234" t="s">
        <v>277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</row>
    <row r="3" spans="1:35" x14ac:dyDescent="0.3">
      <c r="A3" s="253" t="s">
        <v>200</v>
      </c>
      <c r="B3" s="395" t="s">
        <v>181</v>
      </c>
      <c r="C3" s="236">
        <v>0</v>
      </c>
      <c r="D3" s="237">
        <v>101</v>
      </c>
      <c r="E3" s="237">
        <v>102</v>
      </c>
      <c r="F3" s="256">
        <v>305</v>
      </c>
      <c r="G3" s="256">
        <v>306</v>
      </c>
      <c r="H3" s="256">
        <v>407</v>
      </c>
      <c r="I3" s="256">
        <v>408</v>
      </c>
      <c r="J3" s="256">
        <v>409</v>
      </c>
      <c r="K3" s="256">
        <v>410</v>
      </c>
      <c r="L3" s="256">
        <v>415</v>
      </c>
      <c r="M3" s="256">
        <v>416</v>
      </c>
      <c r="N3" s="256">
        <v>418</v>
      </c>
      <c r="O3" s="256">
        <v>419</v>
      </c>
      <c r="P3" s="256">
        <v>420</v>
      </c>
      <c r="Q3" s="256">
        <v>421</v>
      </c>
      <c r="R3" s="256">
        <v>522</v>
      </c>
      <c r="S3" s="256">
        <v>523</v>
      </c>
      <c r="T3" s="256">
        <v>524</v>
      </c>
      <c r="U3" s="256">
        <v>525</v>
      </c>
      <c r="V3" s="256">
        <v>526</v>
      </c>
      <c r="W3" s="256">
        <v>527</v>
      </c>
      <c r="X3" s="256">
        <v>528</v>
      </c>
      <c r="Y3" s="256">
        <v>629</v>
      </c>
      <c r="Z3" s="256">
        <v>630</v>
      </c>
      <c r="AA3" s="256">
        <v>636</v>
      </c>
      <c r="AB3" s="256">
        <v>637</v>
      </c>
      <c r="AC3" s="256">
        <v>640</v>
      </c>
      <c r="AD3" s="256">
        <v>642</v>
      </c>
      <c r="AE3" s="256">
        <v>743</v>
      </c>
      <c r="AF3" s="237">
        <v>745</v>
      </c>
      <c r="AG3" s="237">
        <v>746</v>
      </c>
      <c r="AH3" s="578">
        <v>930</v>
      </c>
      <c r="AI3" s="594"/>
    </row>
    <row r="4" spans="1:35" ht="36.6" outlineLevel="1" thickBot="1" x14ac:dyDescent="0.35">
      <c r="A4" s="254">
        <v>2015</v>
      </c>
      <c r="B4" s="396"/>
      <c r="C4" s="238" t="s">
        <v>182</v>
      </c>
      <c r="D4" s="239" t="s">
        <v>183</v>
      </c>
      <c r="E4" s="239" t="s">
        <v>184</v>
      </c>
      <c r="F4" s="257" t="s">
        <v>212</v>
      </c>
      <c r="G4" s="257" t="s">
        <v>213</v>
      </c>
      <c r="H4" s="257" t="s">
        <v>275</v>
      </c>
      <c r="I4" s="257" t="s">
        <v>214</v>
      </c>
      <c r="J4" s="257" t="s">
        <v>215</v>
      </c>
      <c r="K4" s="257" t="s">
        <v>216</v>
      </c>
      <c r="L4" s="257" t="s">
        <v>217</v>
      </c>
      <c r="M4" s="257" t="s">
        <v>218</v>
      </c>
      <c r="N4" s="257" t="s">
        <v>219</v>
      </c>
      <c r="O4" s="257" t="s">
        <v>220</v>
      </c>
      <c r="P4" s="257" t="s">
        <v>221</v>
      </c>
      <c r="Q4" s="257" t="s">
        <v>222</v>
      </c>
      <c r="R4" s="257" t="s">
        <v>223</v>
      </c>
      <c r="S4" s="257" t="s">
        <v>224</v>
      </c>
      <c r="T4" s="257" t="s">
        <v>225</v>
      </c>
      <c r="U4" s="257" t="s">
        <v>226</v>
      </c>
      <c r="V4" s="257" t="s">
        <v>227</v>
      </c>
      <c r="W4" s="257" t="s">
        <v>228</v>
      </c>
      <c r="X4" s="257" t="s">
        <v>237</v>
      </c>
      <c r="Y4" s="257" t="s">
        <v>229</v>
      </c>
      <c r="Z4" s="257" t="s">
        <v>238</v>
      </c>
      <c r="AA4" s="257" t="s">
        <v>230</v>
      </c>
      <c r="AB4" s="257" t="s">
        <v>231</v>
      </c>
      <c r="AC4" s="257" t="s">
        <v>232</v>
      </c>
      <c r="AD4" s="257" t="s">
        <v>233</v>
      </c>
      <c r="AE4" s="257" t="s">
        <v>234</v>
      </c>
      <c r="AF4" s="239" t="s">
        <v>235</v>
      </c>
      <c r="AG4" s="239" t="s">
        <v>236</v>
      </c>
      <c r="AH4" s="579" t="s">
        <v>202</v>
      </c>
      <c r="AI4" s="594"/>
    </row>
    <row r="5" spans="1:35" x14ac:dyDescent="0.3">
      <c r="A5" s="240" t="s">
        <v>185</v>
      </c>
      <c r="B5" s="276"/>
      <c r="C5" s="277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580"/>
      <c r="AI5" s="594"/>
    </row>
    <row r="6" spans="1:35" ht="15" collapsed="1" thickBot="1" x14ac:dyDescent="0.35">
      <c r="A6" s="241" t="s">
        <v>73</v>
      </c>
      <c r="B6" s="279">
        <f xml:space="preserve">
TRUNC(IF($A$4&lt;=12,SUMIFS('ON Data'!F:F,'ON Data'!$D:$D,$A$4,'ON Data'!$E:$E,1),SUMIFS('ON Data'!F:F,'ON Data'!$E:$E,1)/'ON Data'!$D$3),1)</f>
        <v>24.8</v>
      </c>
      <c r="C6" s="280">
        <f xml:space="preserve">
TRUNC(IF($A$4&lt;=12,SUMIFS('ON Data'!G:G,'ON Data'!$D:$D,$A$4,'ON Data'!$E:$E,1),SUMIFS('ON Data'!G:G,'ON Data'!$E:$E,1)/'ON Data'!$D$3),1)</f>
        <v>0</v>
      </c>
      <c r="D6" s="281">
        <f xml:space="preserve">
TRUNC(IF($A$4&lt;=12,SUMIFS('ON Data'!H:H,'ON Data'!$D:$D,$A$4,'ON Data'!$E:$E,1),SUMIFS('ON Data'!H:H,'ON Data'!$E:$E,1)/'ON Data'!$D$3),1)</f>
        <v>4</v>
      </c>
      <c r="E6" s="281">
        <f xml:space="preserve">
TRUNC(IF($A$4&lt;=12,SUMIFS('ON Data'!I:I,'ON Data'!$D:$D,$A$4,'ON Data'!$E:$E,1),SUMIFS('ON Data'!I:I,'ON Data'!$E:$E,1)/'ON Data'!$D$3),1)</f>
        <v>0</v>
      </c>
      <c r="F6" s="281">
        <f xml:space="preserve">
TRUNC(IF($A$4&lt;=12,SUMIFS('ON Data'!K:K,'ON Data'!$D:$D,$A$4,'ON Data'!$E:$E,1),SUMIFS('ON Data'!K:K,'ON Data'!$E:$E,1)/'ON Data'!$D$3),1)</f>
        <v>2.5</v>
      </c>
      <c r="G6" s="281">
        <f xml:space="preserve">
TRUNC(IF($A$4&lt;=12,SUMIFS('ON Data'!L:L,'ON Data'!$D:$D,$A$4,'ON Data'!$E:$E,1),SUMIFS('ON Data'!L:L,'ON Data'!$E:$E,1)/'ON Data'!$D$3),1)</f>
        <v>0</v>
      </c>
      <c r="H6" s="281">
        <f xml:space="preserve">
TRUNC(IF($A$4&lt;=12,SUMIFS('ON Data'!M:M,'ON Data'!$D:$D,$A$4,'ON Data'!$E:$E,1),SUMIFS('ON Data'!M:M,'ON Data'!$E:$E,1)/'ON Data'!$D$3),1)</f>
        <v>0</v>
      </c>
      <c r="I6" s="281">
        <f xml:space="preserve">
TRUNC(IF($A$4&lt;=12,SUMIFS('ON Data'!N:N,'ON Data'!$D:$D,$A$4,'ON Data'!$E:$E,1),SUMIFS('ON Data'!N:N,'ON Data'!$E:$E,1)/'ON Data'!$D$3),1)</f>
        <v>0</v>
      </c>
      <c r="J6" s="281">
        <f xml:space="preserve">
TRUNC(IF($A$4&lt;=12,SUMIFS('ON Data'!O:O,'ON Data'!$D:$D,$A$4,'ON Data'!$E:$E,1),SUMIFS('ON Data'!O:O,'ON Data'!$E:$E,1)/'ON Data'!$D$3),1)</f>
        <v>5.3</v>
      </c>
      <c r="K6" s="281">
        <f xml:space="preserve">
TRUNC(IF($A$4&lt;=12,SUMIFS('ON Data'!P:P,'ON Data'!$D:$D,$A$4,'ON Data'!$E:$E,1),SUMIFS('ON Data'!P:P,'ON Data'!$E:$E,1)/'ON Data'!$D$3),1)</f>
        <v>0</v>
      </c>
      <c r="L6" s="281">
        <f xml:space="preserve">
TRUNC(IF($A$4&lt;=12,SUMIFS('ON Data'!Q:Q,'ON Data'!$D:$D,$A$4,'ON Data'!$E:$E,1),SUMIFS('ON Data'!Q:Q,'ON Data'!$E:$E,1)/'ON Data'!$D$3),1)</f>
        <v>0</v>
      </c>
      <c r="M6" s="281">
        <f xml:space="preserve">
TRUNC(IF($A$4&lt;=12,SUMIFS('ON Data'!R:R,'ON Data'!$D:$D,$A$4,'ON Data'!$E:$E,1),SUMIFS('ON Data'!R:R,'ON Data'!$E:$E,1)/'ON Data'!$D$3),1)</f>
        <v>0</v>
      </c>
      <c r="N6" s="281">
        <f xml:space="preserve">
TRUNC(IF($A$4&lt;=12,SUMIFS('ON Data'!S:S,'ON Data'!$D:$D,$A$4,'ON Data'!$E:$E,1),SUMIFS('ON Data'!S:S,'ON Data'!$E:$E,1)/'ON Data'!$D$3),1)</f>
        <v>0</v>
      </c>
      <c r="O6" s="281">
        <f xml:space="preserve">
TRUNC(IF($A$4&lt;=12,SUMIFS('ON Data'!T:T,'ON Data'!$D:$D,$A$4,'ON Data'!$E:$E,1),SUMIFS('ON Data'!T:T,'ON Data'!$E:$E,1)/'ON Data'!$D$3),1)</f>
        <v>0</v>
      </c>
      <c r="P6" s="281">
        <f xml:space="preserve">
TRUNC(IF($A$4&lt;=12,SUMIFS('ON Data'!U:U,'ON Data'!$D:$D,$A$4,'ON Data'!$E:$E,1),SUMIFS('ON Data'!U:U,'ON Data'!$E:$E,1)/'ON Data'!$D$3),1)</f>
        <v>0</v>
      </c>
      <c r="Q6" s="281">
        <f xml:space="preserve">
TRUNC(IF($A$4&lt;=12,SUMIFS('ON Data'!V:V,'ON Data'!$D:$D,$A$4,'ON Data'!$E:$E,1),SUMIFS('ON Data'!V:V,'ON Data'!$E:$E,1)/'ON Data'!$D$3),1)</f>
        <v>0</v>
      </c>
      <c r="R6" s="281">
        <f xml:space="preserve">
TRUNC(IF($A$4&lt;=12,SUMIFS('ON Data'!W:W,'ON Data'!$D:$D,$A$4,'ON Data'!$E:$E,1),SUMIFS('ON Data'!W:W,'ON Data'!$E:$E,1)/'ON Data'!$D$3),1)</f>
        <v>0</v>
      </c>
      <c r="S6" s="281">
        <f xml:space="preserve">
TRUNC(IF($A$4&lt;=12,SUMIFS('ON Data'!X:X,'ON Data'!$D:$D,$A$4,'ON Data'!$E:$E,1),SUMIFS('ON Data'!X:X,'ON Data'!$E:$E,1)/'ON Data'!$D$3),1)</f>
        <v>0</v>
      </c>
      <c r="T6" s="281">
        <f xml:space="preserve">
TRUNC(IF($A$4&lt;=12,SUMIFS('ON Data'!Y:Y,'ON Data'!$D:$D,$A$4,'ON Data'!$E:$E,1),SUMIFS('ON Data'!Y:Y,'ON Data'!$E:$E,1)/'ON Data'!$D$3),1)</f>
        <v>0</v>
      </c>
      <c r="U6" s="281">
        <f xml:space="preserve">
TRUNC(IF($A$4&lt;=12,SUMIFS('ON Data'!Z:Z,'ON Data'!$D:$D,$A$4,'ON Data'!$E:$E,1),SUMIFS('ON Data'!Z:Z,'ON Data'!$E:$E,1)/'ON Data'!$D$3),1)</f>
        <v>0</v>
      </c>
      <c r="V6" s="281">
        <f xml:space="preserve">
TRUNC(IF($A$4&lt;=12,SUMIFS('ON Data'!AA:AA,'ON Data'!$D:$D,$A$4,'ON Data'!$E:$E,1),SUMIFS('ON Data'!AA:AA,'ON Data'!$E:$E,1)/'ON Data'!$D$3),1)</f>
        <v>9.3000000000000007</v>
      </c>
      <c r="W6" s="281">
        <f xml:space="preserve">
TRUNC(IF($A$4&lt;=12,SUMIFS('ON Data'!AB:AB,'ON Data'!$D:$D,$A$4,'ON Data'!$E:$E,1),SUMIFS('ON Data'!AB:AB,'ON Data'!$E:$E,1)/'ON Data'!$D$3),1)</f>
        <v>0</v>
      </c>
      <c r="X6" s="281">
        <f xml:space="preserve">
TRUNC(IF($A$4&lt;=12,SUMIFS('ON Data'!AC:AC,'ON Data'!$D:$D,$A$4,'ON Data'!$E:$E,1),SUMIFS('ON Data'!AC:AC,'ON Data'!$E:$E,1)/'ON Data'!$D$3),1)</f>
        <v>0</v>
      </c>
      <c r="Y6" s="281">
        <f xml:space="preserve">
TRUNC(IF($A$4&lt;=12,SUMIFS('ON Data'!AD:AD,'ON Data'!$D:$D,$A$4,'ON Data'!$E:$E,1),SUMIFS('ON Data'!AD:AD,'ON Data'!$E:$E,1)/'ON Data'!$D$3),1)</f>
        <v>0</v>
      </c>
      <c r="Z6" s="281">
        <f xml:space="preserve">
TRUNC(IF($A$4&lt;=12,SUMIFS('ON Data'!AE:AE,'ON Data'!$D:$D,$A$4,'ON Data'!$E:$E,1),SUMIFS('ON Data'!AE:AE,'ON Data'!$E:$E,1)/'ON Data'!$D$3),1)</f>
        <v>0</v>
      </c>
      <c r="AA6" s="281">
        <f xml:space="preserve">
TRUNC(IF($A$4&lt;=12,SUMIFS('ON Data'!AF:AF,'ON Data'!$D:$D,$A$4,'ON Data'!$E:$E,1),SUMIFS('ON Data'!AF:AF,'ON Data'!$E:$E,1)/'ON Data'!$D$3),1)</f>
        <v>0</v>
      </c>
      <c r="AB6" s="281">
        <f xml:space="preserve">
TRUNC(IF($A$4&lt;=12,SUMIFS('ON Data'!AG:AG,'ON Data'!$D:$D,$A$4,'ON Data'!$E:$E,1),SUMIFS('ON Data'!AG:AG,'ON Data'!$E:$E,1)/'ON Data'!$D$3),1)</f>
        <v>0</v>
      </c>
      <c r="AC6" s="281">
        <f xml:space="preserve">
TRUNC(IF($A$4&lt;=12,SUMIFS('ON Data'!AH:AH,'ON Data'!$D:$D,$A$4,'ON Data'!$E:$E,1),SUMIFS('ON Data'!AH:AH,'ON Data'!$E:$E,1)/'ON Data'!$D$3),1)</f>
        <v>0</v>
      </c>
      <c r="AD6" s="281">
        <f xml:space="preserve">
TRUNC(IF($A$4&lt;=12,SUMIFS('ON Data'!AI:AI,'ON Data'!$D:$D,$A$4,'ON Data'!$E:$E,1),SUMIFS('ON Data'!AI:AI,'ON Data'!$E:$E,1)/'ON Data'!$D$3),1)</f>
        <v>1.7</v>
      </c>
      <c r="AE6" s="281">
        <f xml:space="preserve">
TRUNC(IF($A$4&lt;=12,SUMIFS('ON Data'!AJ:AJ,'ON Data'!$D:$D,$A$4,'ON Data'!$E:$E,1),SUMIFS('ON Data'!AJ:AJ,'ON Data'!$E:$E,1)/'ON Data'!$D$3),1)</f>
        <v>0</v>
      </c>
      <c r="AF6" s="281">
        <f xml:space="preserve">
TRUNC(IF($A$4&lt;=12,SUMIFS('ON Data'!AK:AK,'ON Data'!$D:$D,$A$4,'ON Data'!$E:$E,1),SUMIFS('ON Data'!AK:AK,'ON Data'!$E:$E,1)/'ON Data'!$D$3),1)</f>
        <v>0</v>
      </c>
      <c r="AG6" s="281">
        <f xml:space="preserve">
TRUNC(IF($A$4&lt;=12,SUMIFS('ON Data'!AL:AL,'ON Data'!$D:$D,$A$4,'ON Data'!$E:$E,1),SUMIFS('ON Data'!AL:AL,'ON Data'!$E:$E,1)/'ON Data'!$D$3),1)</f>
        <v>0</v>
      </c>
      <c r="AH6" s="581">
        <f xml:space="preserve">
TRUNC(IF($A$4&lt;=12,SUMIFS('ON Data'!AN:AN,'ON Data'!$D:$D,$A$4,'ON Data'!$E:$E,1),SUMIFS('ON Data'!AN:AN,'ON Data'!$E:$E,1)/'ON Data'!$D$3),1)</f>
        <v>1.8</v>
      </c>
      <c r="AI6" s="594"/>
    </row>
    <row r="7" spans="1:35" ht="15" hidden="1" outlineLevel="1" thickBot="1" x14ac:dyDescent="0.35">
      <c r="A7" s="241" t="s">
        <v>107</v>
      </c>
      <c r="B7" s="279"/>
      <c r="C7" s="282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581"/>
      <c r="AI7" s="594"/>
    </row>
    <row r="8" spans="1:35" ht="15" hidden="1" outlineLevel="1" thickBot="1" x14ac:dyDescent="0.35">
      <c r="A8" s="241" t="s">
        <v>75</v>
      </c>
      <c r="B8" s="279"/>
      <c r="C8" s="282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581"/>
      <c r="AI8" s="594"/>
    </row>
    <row r="9" spans="1:35" ht="15" hidden="1" outlineLevel="1" thickBot="1" x14ac:dyDescent="0.35">
      <c r="A9" s="242" t="s">
        <v>68</v>
      </c>
      <c r="B9" s="283"/>
      <c r="C9" s="284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582"/>
      <c r="AI9" s="594"/>
    </row>
    <row r="10" spans="1:35" x14ac:dyDescent="0.3">
      <c r="A10" s="243" t="s">
        <v>186</v>
      </c>
      <c r="B10" s="258"/>
      <c r="C10" s="259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583"/>
      <c r="AI10" s="594"/>
    </row>
    <row r="11" spans="1:35" x14ac:dyDescent="0.3">
      <c r="A11" s="244" t="s">
        <v>187</v>
      </c>
      <c r="B11" s="261">
        <f xml:space="preserve">
IF($A$4&lt;=12,SUMIFS('ON Data'!F:F,'ON Data'!$D:$D,$A$4,'ON Data'!$E:$E,2),SUMIFS('ON Data'!F:F,'ON Data'!$E:$E,2))</f>
        <v>33047.310000000005</v>
      </c>
      <c r="C11" s="262">
        <f xml:space="preserve">
IF($A$4&lt;=12,SUMIFS('ON Data'!G:G,'ON Data'!$D:$D,$A$4,'ON Data'!$E:$E,2),SUMIFS('ON Data'!G:G,'ON Data'!$E:$E,2))</f>
        <v>0</v>
      </c>
      <c r="D11" s="263">
        <f xml:space="preserve">
IF($A$4&lt;=12,SUMIFS('ON Data'!H:H,'ON Data'!$D:$D,$A$4,'ON Data'!$E:$E,2),SUMIFS('ON Data'!H:H,'ON Data'!$E:$E,2))</f>
        <v>5681.6</v>
      </c>
      <c r="E11" s="263">
        <f xml:space="preserve">
IF($A$4&lt;=12,SUMIFS('ON Data'!I:I,'ON Data'!$D:$D,$A$4,'ON Data'!$E:$E,2),SUMIFS('ON Data'!I:I,'ON Data'!$E:$E,2))</f>
        <v>0</v>
      </c>
      <c r="F11" s="263">
        <f xml:space="preserve">
IF($A$4&lt;=12,SUMIFS('ON Data'!K:K,'ON Data'!$D:$D,$A$4,'ON Data'!$E:$E,2),SUMIFS('ON Data'!K:K,'ON Data'!$E:$E,2))</f>
        <v>3380</v>
      </c>
      <c r="G11" s="263">
        <f xml:space="preserve">
IF($A$4&lt;=12,SUMIFS('ON Data'!L:L,'ON Data'!$D:$D,$A$4,'ON Data'!$E:$E,2),SUMIFS('ON Data'!L:L,'ON Data'!$E:$E,2))</f>
        <v>0</v>
      </c>
      <c r="H11" s="263">
        <f xml:space="preserve">
IF($A$4&lt;=12,SUMIFS('ON Data'!M:M,'ON Data'!$D:$D,$A$4,'ON Data'!$E:$E,2),SUMIFS('ON Data'!M:M,'ON Data'!$E:$E,2))</f>
        <v>0</v>
      </c>
      <c r="I11" s="263">
        <f xml:space="preserve">
IF($A$4&lt;=12,SUMIFS('ON Data'!N:N,'ON Data'!$D:$D,$A$4,'ON Data'!$E:$E,2),SUMIFS('ON Data'!N:N,'ON Data'!$E:$E,2))</f>
        <v>0</v>
      </c>
      <c r="J11" s="263">
        <f xml:space="preserve">
IF($A$4&lt;=12,SUMIFS('ON Data'!O:O,'ON Data'!$D:$D,$A$4,'ON Data'!$E:$E,2),SUMIFS('ON Data'!O:O,'ON Data'!$E:$E,2))</f>
        <v>7308</v>
      </c>
      <c r="K11" s="263">
        <f xml:space="preserve">
IF($A$4&lt;=12,SUMIFS('ON Data'!P:P,'ON Data'!$D:$D,$A$4,'ON Data'!$E:$E,2),SUMIFS('ON Data'!P:P,'ON Data'!$E:$E,2))</f>
        <v>0</v>
      </c>
      <c r="L11" s="263">
        <f xml:space="preserve">
IF($A$4&lt;=12,SUMIFS('ON Data'!Q:Q,'ON Data'!$D:$D,$A$4,'ON Data'!$E:$E,2),SUMIFS('ON Data'!Q:Q,'ON Data'!$E:$E,2))</f>
        <v>0</v>
      </c>
      <c r="M11" s="263">
        <f xml:space="preserve">
IF($A$4&lt;=12,SUMIFS('ON Data'!R:R,'ON Data'!$D:$D,$A$4,'ON Data'!$E:$E,2),SUMIFS('ON Data'!R:R,'ON Data'!$E:$E,2))</f>
        <v>0</v>
      </c>
      <c r="N11" s="263">
        <f xml:space="preserve">
IF($A$4&lt;=12,SUMIFS('ON Data'!S:S,'ON Data'!$D:$D,$A$4,'ON Data'!$E:$E,2),SUMIFS('ON Data'!S:S,'ON Data'!$E:$E,2))</f>
        <v>0</v>
      </c>
      <c r="O11" s="263">
        <f xml:space="preserve">
IF($A$4&lt;=12,SUMIFS('ON Data'!T:T,'ON Data'!$D:$D,$A$4,'ON Data'!$E:$E,2),SUMIFS('ON Data'!T:T,'ON Data'!$E:$E,2))</f>
        <v>0</v>
      </c>
      <c r="P11" s="263">
        <f xml:space="preserve">
IF($A$4&lt;=12,SUMIFS('ON Data'!U:U,'ON Data'!$D:$D,$A$4,'ON Data'!$E:$E,2),SUMIFS('ON Data'!U:U,'ON Data'!$E:$E,2))</f>
        <v>0</v>
      </c>
      <c r="Q11" s="263">
        <f xml:space="preserve">
IF($A$4&lt;=12,SUMIFS('ON Data'!V:V,'ON Data'!$D:$D,$A$4,'ON Data'!$E:$E,2),SUMIFS('ON Data'!V:V,'ON Data'!$E:$E,2))</f>
        <v>0</v>
      </c>
      <c r="R11" s="263">
        <f xml:space="preserve">
IF($A$4&lt;=12,SUMIFS('ON Data'!W:W,'ON Data'!$D:$D,$A$4,'ON Data'!$E:$E,2),SUMIFS('ON Data'!W:W,'ON Data'!$E:$E,2))</f>
        <v>0</v>
      </c>
      <c r="S11" s="263">
        <f xml:space="preserve">
IF($A$4&lt;=12,SUMIFS('ON Data'!X:X,'ON Data'!$D:$D,$A$4,'ON Data'!$E:$E,2),SUMIFS('ON Data'!X:X,'ON Data'!$E:$E,2))</f>
        <v>0</v>
      </c>
      <c r="T11" s="263">
        <f xml:space="preserve">
IF($A$4&lt;=12,SUMIFS('ON Data'!Y:Y,'ON Data'!$D:$D,$A$4,'ON Data'!$E:$E,2),SUMIFS('ON Data'!Y:Y,'ON Data'!$E:$E,2))</f>
        <v>0</v>
      </c>
      <c r="U11" s="263">
        <f xml:space="preserve">
IF($A$4&lt;=12,SUMIFS('ON Data'!Z:Z,'ON Data'!$D:$D,$A$4,'ON Data'!$E:$E,2),SUMIFS('ON Data'!Z:Z,'ON Data'!$E:$E,2))</f>
        <v>0</v>
      </c>
      <c r="V11" s="263">
        <f xml:space="preserve">
IF($A$4&lt;=12,SUMIFS('ON Data'!AA:AA,'ON Data'!$D:$D,$A$4,'ON Data'!$E:$E,2),SUMIFS('ON Data'!AA:AA,'ON Data'!$E:$E,2))</f>
        <v>12968.91</v>
      </c>
      <c r="W11" s="263">
        <f xml:space="preserve">
IF($A$4&lt;=12,SUMIFS('ON Data'!AB:AB,'ON Data'!$D:$D,$A$4,'ON Data'!$E:$E,2),SUMIFS('ON Data'!AB:AB,'ON Data'!$E:$E,2))</f>
        <v>0</v>
      </c>
      <c r="X11" s="263">
        <f xml:space="preserve">
IF($A$4&lt;=12,SUMIFS('ON Data'!AC:AC,'ON Data'!$D:$D,$A$4,'ON Data'!$E:$E,2),SUMIFS('ON Data'!AC:AC,'ON Data'!$E:$E,2))</f>
        <v>0</v>
      </c>
      <c r="Y11" s="263">
        <f xml:space="preserve">
IF($A$4&lt;=12,SUMIFS('ON Data'!AD:AD,'ON Data'!$D:$D,$A$4,'ON Data'!$E:$E,2),SUMIFS('ON Data'!AD:AD,'ON Data'!$E:$E,2))</f>
        <v>0</v>
      </c>
      <c r="Z11" s="263">
        <f xml:space="preserve">
IF($A$4&lt;=12,SUMIFS('ON Data'!AE:AE,'ON Data'!$D:$D,$A$4,'ON Data'!$E:$E,2),SUMIFS('ON Data'!AE:AE,'ON Data'!$E:$E,2))</f>
        <v>0</v>
      </c>
      <c r="AA11" s="263">
        <f xml:space="preserve">
IF($A$4&lt;=12,SUMIFS('ON Data'!AF:AF,'ON Data'!$D:$D,$A$4,'ON Data'!$E:$E,2),SUMIFS('ON Data'!AF:AF,'ON Data'!$E:$E,2))</f>
        <v>0</v>
      </c>
      <c r="AB11" s="263">
        <f xml:space="preserve">
IF($A$4&lt;=12,SUMIFS('ON Data'!AG:AG,'ON Data'!$D:$D,$A$4,'ON Data'!$E:$E,2),SUMIFS('ON Data'!AG:AG,'ON Data'!$E:$E,2))</f>
        <v>0</v>
      </c>
      <c r="AC11" s="263">
        <f xml:space="preserve">
IF($A$4&lt;=12,SUMIFS('ON Data'!AH:AH,'ON Data'!$D:$D,$A$4,'ON Data'!$E:$E,2),SUMIFS('ON Data'!AH:AH,'ON Data'!$E:$E,2))</f>
        <v>0</v>
      </c>
      <c r="AD11" s="263">
        <f xml:space="preserve">
IF($A$4&lt;=12,SUMIFS('ON Data'!AI:AI,'ON Data'!$D:$D,$A$4,'ON Data'!$E:$E,2),SUMIFS('ON Data'!AI:AI,'ON Data'!$E:$E,2))</f>
        <v>1208</v>
      </c>
      <c r="AE11" s="263">
        <f xml:space="preserve">
IF($A$4&lt;=12,SUMIFS('ON Data'!AJ:AJ,'ON Data'!$D:$D,$A$4,'ON Data'!$E:$E,2),SUMIFS('ON Data'!AJ:AJ,'ON Data'!$E:$E,2))</f>
        <v>0</v>
      </c>
      <c r="AF11" s="263">
        <f xml:space="preserve">
IF($A$4&lt;=12,SUMIFS('ON Data'!AK:AK,'ON Data'!$D:$D,$A$4,'ON Data'!$E:$E,2),SUMIFS('ON Data'!AK:AK,'ON Data'!$E:$E,2))</f>
        <v>0</v>
      </c>
      <c r="AG11" s="263">
        <f xml:space="preserve">
IF($A$4&lt;=12,SUMIFS('ON Data'!AL:AL,'ON Data'!$D:$D,$A$4,'ON Data'!$E:$E,2),SUMIFS('ON Data'!AL:AL,'ON Data'!$E:$E,2))</f>
        <v>0</v>
      </c>
      <c r="AH11" s="584">
        <f xml:space="preserve">
IF($A$4&lt;=12,SUMIFS('ON Data'!AN:AN,'ON Data'!$D:$D,$A$4,'ON Data'!$E:$E,2),SUMIFS('ON Data'!AN:AN,'ON Data'!$E:$E,2))</f>
        <v>2500.7999999999997</v>
      </c>
      <c r="AI11" s="594"/>
    </row>
    <row r="12" spans="1:35" x14ac:dyDescent="0.3">
      <c r="A12" s="244" t="s">
        <v>188</v>
      </c>
      <c r="B12" s="261">
        <f xml:space="preserve">
IF($A$4&lt;=12,SUMIFS('ON Data'!F:F,'ON Data'!$D:$D,$A$4,'ON Data'!$E:$E,3),SUMIFS('ON Data'!F:F,'ON Data'!$E:$E,3))</f>
        <v>458.5</v>
      </c>
      <c r="C12" s="262">
        <f xml:space="preserve">
IF($A$4&lt;=12,SUMIFS('ON Data'!G:G,'ON Data'!$D:$D,$A$4,'ON Data'!$E:$E,3),SUMIFS('ON Data'!G:G,'ON Data'!$E:$E,3))</f>
        <v>0</v>
      </c>
      <c r="D12" s="263">
        <f xml:space="preserve">
IF($A$4&lt;=12,SUMIFS('ON Data'!H:H,'ON Data'!$D:$D,$A$4,'ON Data'!$E:$E,3),SUMIFS('ON Data'!H:H,'ON Data'!$E:$E,3))</f>
        <v>216.5</v>
      </c>
      <c r="E12" s="263">
        <f xml:space="preserve">
IF($A$4&lt;=12,SUMIFS('ON Data'!I:I,'ON Data'!$D:$D,$A$4,'ON Data'!$E:$E,3),SUMIFS('ON Data'!I:I,'ON Data'!$E:$E,3))</f>
        <v>0</v>
      </c>
      <c r="F12" s="263">
        <f xml:space="preserve">
IF($A$4&lt;=12,SUMIFS('ON Data'!K:K,'ON Data'!$D:$D,$A$4,'ON Data'!$E:$E,3),SUMIFS('ON Data'!K:K,'ON Data'!$E:$E,3))</f>
        <v>218</v>
      </c>
      <c r="G12" s="263">
        <f xml:space="preserve">
IF($A$4&lt;=12,SUMIFS('ON Data'!L:L,'ON Data'!$D:$D,$A$4,'ON Data'!$E:$E,3),SUMIFS('ON Data'!L:L,'ON Data'!$E:$E,3))</f>
        <v>0</v>
      </c>
      <c r="H12" s="263">
        <f xml:space="preserve">
IF($A$4&lt;=12,SUMIFS('ON Data'!M:M,'ON Data'!$D:$D,$A$4,'ON Data'!$E:$E,3),SUMIFS('ON Data'!M:M,'ON Data'!$E:$E,3))</f>
        <v>0</v>
      </c>
      <c r="I12" s="263">
        <f xml:space="preserve">
IF($A$4&lt;=12,SUMIFS('ON Data'!N:N,'ON Data'!$D:$D,$A$4,'ON Data'!$E:$E,3),SUMIFS('ON Data'!N:N,'ON Data'!$E:$E,3))</f>
        <v>0</v>
      </c>
      <c r="J12" s="263">
        <f xml:space="preserve">
IF($A$4&lt;=12,SUMIFS('ON Data'!O:O,'ON Data'!$D:$D,$A$4,'ON Data'!$E:$E,3),SUMIFS('ON Data'!O:O,'ON Data'!$E:$E,3))</f>
        <v>8</v>
      </c>
      <c r="K12" s="263">
        <f xml:space="preserve">
IF($A$4&lt;=12,SUMIFS('ON Data'!P:P,'ON Data'!$D:$D,$A$4,'ON Data'!$E:$E,3),SUMIFS('ON Data'!P:P,'ON Data'!$E:$E,3))</f>
        <v>0</v>
      </c>
      <c r="L12" s="263">
        <f xml:space="preserve">
IF($A$4&lt;=12,SUMIFS('ON Data'!Q:Q,'ON Data'!$D:$D,$A$4,'ON Data'!$E:$E,3),SUMIFS('ON Data'!Q:Q,'ON Data'!$E:$E,3))</f>
        <v>0</v>
      </c>
      <c r="M12" s="263">
        <f xml:space="preserve">
IF($A$4&lt;=12,SUMIFS('ON Data'!R:R,'ON Data'!$D:$D,$A$4,'ON Data'!$E:$E,3),SUMIFS('ON Data'!R:R,'ON Data'!$E:$E,3))</f>
        <v>0</v>
      </c>
      <c r="N12" s="263">
        <f xml:space="preserve">
IF($A$4&lt;=12,SUMIFS('ON Data'!S:S,'ON Data'!$D:$D,$A$4,'ON Data'!$E:$E,3),SUMIFS('ON Data'!S:S,'ON Data'!$E:$E,3))</f>
        <v>0</v>
      </c>
      <c r="O12" s="263">
        <f xml:space="preserve">
IF($A$4&lt;=12,SUMIFS('ON Data'!T:T,'ON Data'!$D:$D,$A$4,'ON Data'!$E:$E,3),SUMIFS('ON Data'!T:T,'ON Data'!$E:$E,3))</f>
        <v>0</v>
      </c>
      <c r="P12" s="263">
        <f xml:space="preserve">
IF($A$4&lt;=12,SUMIFS('ON Data'!U:U,'ON Data'!$D:$D,$A$4,'ON Data'!$E:$E,3),SUMIFS('ON Data'!U:U,'ON Data'!$E:$E,3))</f>
        <v>0</v>
      </c>
      <c r="Q12" s="263">
        <f xml:space="preserve">
IF($A$4&lt;=12,SUMIFS('ON Data'!V:V,'ON Data'!$D:$D,$A$4,'ON Data'!$E:$E,3),SUMIFS('ON Data'!V:V,'ON Data'!$E:$E,3))</f>
        <v>0</v>
      </c>
      <c r="R12" s="263">
        <f xml:space="preserve">
IF($A$4&lt;=12,SUMIFS('ON Data'!W:W,'ON Data'!$D:$D,$A$4,'ON Data'!$E:$E,3),SUMIFS('ON Data'!W:W,'ON Data'!$E:$E,3))</f>
        <v>0</v>
      </c>
      <c r="S12" s="263">
        <f xml:space="preserve">
IF($A$4&lt;=12,SUMIFS('ON Data'!X:X,'ON Data'!$D:$D,$A$4,'ON Data'!$E:$E,3),SUMIFS('ON Data'!X:X,'ON Data'!$E:$E,3))</f>
        <v>0</v>
      </c>
      <c r="T12" s="263">
        <f xml:space="preserve">
IF($A$4&lt;=12,SUMIFS('ON Data'!Y:Y,'ON Data'!$D:$D,$A$4,'ON Data'!$E:$E,3),SUMIFS('ON Data'!Y:Y,'ON Data'!$E:$E,3))</f>
        <v>0</v>
      </c>
      <c r="U12" s="263">
        <f xml:space="preserve">
IF($A$4&lt;=12,SUMIFS('ON Data'!Z:Z,'ON Data'!$D:$D,$A$4,'ON Data'!$E:$E,3),SUMIFS('ON Data'!Z:Z,'ON Data'!$E:$E,3))</f>
        <v>0</v>
      </c>
      <c r="V12" s="263">
        <f xml:space="preserve">
IF($A$4&lt;=12,SUMIFS('ON Data'!AA:AA,'ON Data'!$D:$D,$A$4,'ON Data'!$E:$E,3),SUMIFS('ON Data'!AA:AA,'ON Data'!$E:$E,3))</f>
        <v>16</v>
      </c>
      <c r="W12" s="263">
        <f xml:space="preserve">
IF($A$4&lt;=12,SUMIFS('ON Data'!AB:AB,'ON Data'!$D:$D,$A$4,'ON Data'!$E:$E,3),SUMIFS('ON Data'!AB:AB,'ON Data'!$E:$E,3))</f>
        <v>0</v>
      </c>
      <c r="X12" s="263">
        <f xml:space="preserve">
IF($A$4&lt;=12,SUMIFS('ON Data'!AC:AC,'ON Data'!$D:$D,$A$4,'ON Data'!$E:$E,3),SUMIFS('ON Data'!AC:AC,'ON Data'!$E:$E,3))</f>
        <v>0</v>
      </c>
      <c r="Y12" s="263">
        <f xml:space="preserve">
IF($A$4&lt;=12,SUMIFS('ON Data'!AD:AD,'ON Data'!$D:$D,$A$4,'ON Data'!$E:$E,3),SUMIFS('ON Data'!AD:AD,'ON Data'!$E:$E,3))</f>
        <v>0</v>
      </c>
      <c r="Z12" s="263">
        <f xml:space="preserve">
IF($A$4&lt;=12,SUMIFS('ON Data'!AE:AE,'ON Data'!$D:$D,$A$4,'ON Data'!$E:$E,3),SUMIFS('ON Data'!AE:AE,'ON Data'!$E:$E,3))</f>
        <v>0</v>
      </c>
      <c r="AA12" s="263">
        <f xml:space="preserve">
IF($A$4&lt;=12,SUMIFS('ON Data'!AF:AF,'ON Data'!$D:$D,$A$4,'ON Data'!$E:$E,3),SUMIFS('ON Data'!AF:AF,'ON Data'!$E:$E,3))</f>
        <v>0</v>
      </c>
      <c r="AB12" s="263">
        <f xml:space="preserve">
IF($A$4&lt;=12,SUMIFS('ON Data'!AG:AG,'ON Data'!$D:$D,$A$4,'ON Data'!$E:$E,3),SUMIFS('ON Data'!AG:AG,'ON Data'!$E:$E,3))</f>
        <v>0</v>
      </c>
      <c r="AC12" s="263">
        <f xml:space="preserve">
IF($A$4&lt;=12,SUMIFS('ON Data'!AH:AH,'ON Data'!$D:$D,$A$4,'ON Data'!$E:$E,3),SUMIFS('ON Data'!AH:AH,'ON Data'!$E:$E,3))</f>
        <v>0</v>
      </c>
      <c r="AD12" s="263">
        <f xml:space="preserve">
IF($A$4&lt;=12,SUMIFS('ON Data'!AI:AI,'ON Data'!$D:$D,$A$4,'ON Data'!$E:$E,3),SUMIFS('ON Data'!AI:AI,'ON Data'!$E:$E,3))</f>
        <v>0</v>
      </c>
      <c r="AE12" s="263">
        <f xml:space="preserve">
IF($A$4&lt;=12,SUMIFS('ON Data'!AJ:AJ,'ON Data'!$D:$D,$A$4,'ON Data'!$E:$E,3),SUMIFS('ON Data'!AJ:AJ,'ON Data'!$E:$E,3))</f>
        <v>0</v>
      </c>
      <c r="AF12" s="263">
        <f xml:space="preserve">
IF($A$4&lt;=12,SUMIFS('ON Data'!AK:AK,'ON Data'!$D:$D,$A$4,'ON Data'!$E:$E,3),SUMIFS('ON Data'!AK:AK,'ON Data'!$E:$E,3))</f>
        <v>0</v>
      </c>
      <c r="AG12" s="263">
        <f xml:space="preserve">
IF($A$4&lt;=12,SUMIFS('ON Data'!AL:AL,'ON Data'!$D:$D,$A$4,'ON Data'!$E:$E,3),SUMIFS('ON Data'!AL:AL,'ON Data'!$E:$E,3))</f>
        <v>0</v>
      </c>
      <c r="AH12" s="584">
        <f xml:space="preserve">
IF($A$4&lt;=12,SUMIFS('ON Data'!AN:AN,'ON Data'!$D:$D,$A$4,'ON Data'!$E:$E,3),SUMIFS('ON Data'!AN:AN,'ON Data'!$E:$E,3))</f>
        <v>0</v>
      </c>
      <c r="AI12" s="594"/>
    </row>
    <row r="13" spans="1:35" x14ac:dyDescent="0.3">
      <c r="A13" s="244" t="s">
        <v>195</v>
      </c>
      <c r="B13" s="261">
        <f xml:space="preserve">
IF($A$4&lt;=12,SUMIFS('ON Data'!F:F,'ON Data'!$D:$D,$A$4,'ON Data'!$E:$E,4),SUMIFS('ON Data'!F:F,'ON Data'!$E:$E,4))</f>
        <v>18</v>
      </c>
      <c r="C13" s="262">
        <f xml:space="preserve">
IF($A$4&lt;=12,SUMIFS('ON Data'!G:G,'ON Data'!$D:$D,$A$4,'ON Data'!$E:$E,4),SUMIFS('ON Data'!G:G,'ON Data'!$E:$E,4))</f>
        <v>0</v>
      </c>
      <c r="D13" s="263">
        <f xml:space="preserve">
IF($A$4&lt;=12,SUMIFS('ON Data'!H:H,'ON Data'!$D:$D,$A$4,'ON Data'!$E:$E,4),SUMIFS('ON Data'!H:H,'ON Data'!$E:$E,4))</f>
        <v>0</v>
      </c>
      <c r="E13" s="263">
        <f xml:space="preserve">
IF($A$4&lt;=12,SUMIFS('ON Data'!I:I,'ON Data'!$D:$D,$A$4,'ON Data'!$E:$E,4),SUMIFS('ON Data'!I:I,'ON Data'!$E:$E,4))</f>
        <v>0</v>
      </c>
      <c r="F13" s="263">
        <f xml:space="preserve">
IF($A$4&lt;=12,SUMIFS('ON Data'!K:K,'ON Data'!$D:$D,$A$4,'ON Data'!$E:$E,4),SUMIFS('ON Data'!K:K,'ON Data'!$E:$E,4))</f>
        <v>10</v>
      </c>
      <c r="G13" s="263">
        <f xml:space="preserve">
IF($A$4&lt;=12,SUMIFS('ON Data'!L:L,'ON Data'!$D:$D,$A$4,'ON Data'!$E:$E,4),SUMIFS('ON Data'!L:L,'ON Data'!$E:$E,4))</f>
        <v>0</v>
      </c>
      <c r="H13" s="263">
        <f xml:space="preserve">
IF($A$4&lt;=12,SUMIFS('ON Data'!M:M,'ON Data'!$D:$D,$A$4,'ON Data'!$E:$E,4),SUMIFS('ON Data'!M:M,'ON Data'!$E:$E,4))</f>
        <v>0</v>
      </c>
      <c r="I13" s="263">
        <f xml:space="preserve">
IF($A$4&lt;=12,SUMIFS('ON Data'!N:N,'ON Data'!$D:$D,$A$4,'ON Data'!$E:$E,4),SUMIFS('ON Data'!N:N,'ON Data'!$E:$E,4))</f>
        <v>0</v>
      </c>
      <c r="J13" s="263">
        <f xml:space="preserve">
IF($A$4&lt;=12,SUMIFS('ON Data'!O:O,'ON Data'!$D:$D,$A$4,'ON Data'!$E:$E,4),SUMIFS('ON Data'!O:O,'ON Data'!$E:$E,4))</f>
        <v>8</v>
      </c>
      <c r="K13" s="263">
        <f xml:space="preserve">
IF($A$4&lt;=12,SUMIFS('ON Data'!P:P,'ON Data'!$D:$D,$A$4,'ON Data'!$E:$E,4),SUMIFS('ON Data'!P:P,'ON Data'!$E:$E,4))</f>
        <v>0</v>
      </c>
      <c r="L13" s="263">
        <f xml:space="preserve">
IF($A$4&lt;=12,SUMIFS('ON Data'!Q:Q,'ON Data'!$D:$D,$A$4,'ON Data'!$E:$E,4),SUMIFS('ON Data'!Q:Q,'ON Data'!$E:$E,4))</f>
        <v>0</v>
      </c>
      <c r="M13" s="263">
        <f xml:space="preserve">
IF($A$4&lt;=12,SUMIFS('ON Data'!R:R,'ON Data'!$D:$D,$A$4,'ON Data'!$E:$E,4),SUMIFS('ON Data'!R:R,'ON Data'!$E:$E,4))</f>
        <v>0</v>
      </c>
      <c r="N13" s="263">
        <f xml:space="preserve">
IF($A$4&lt;=12,SUMIFS('ON Data'!S:S,'ON Data'!$D:$D,$A$4,'ON Data'!$E:$E,4),SUMIFS('ON Data'!S:S,'ON Data'!$E:$E,4))</f>
        <v>0</v>
      </c>
      <c r="O13" s="263">
        <f xml:space="preserve">
IF($A$4&lt;=12,SUMIFS('ON Data'!T:T,'ON Data'!$D:$D,$A$4,'ON Data'!$E:$E,4),SUMIFS('ON Data'!T:T,'ON Data'!$E:$E,4))</f>
        <v>0</v>
      </c>
      <c r="P13" s="263">
        <f xml:space="preserve">
IF($A$4&lt;=12,SUMIFS('ON Data'!U:U,'ON Data'!$D:$D,$A$4,'ON Data'!$E:$E,4),SUMIFS('ON Data'!U:U,'ON Data'!$E:$E,4))</f>
        <v>0</v>
      </c>
      <c r="Q13" s="263">
        <f xml:space="preserve">
IF($A$4&lt;=12,SUMIFS('ON Data'!V:V,'ON Data'!$D:$D,$A$4,'ON Data'!$E:$E,4),SUMIFS('ON Data'!V:V,'ON Data'!$E:$E,4))</f>
        <v>0</v>
      </c>
      <c r="R13" s="263">
        <f xml:space="preserve">
IF($A$4&lt;=12,SUMIFS('ON Data'!W:W,'ON Data'!$D:$D,$A$4,'ON Data'!$E:$E,4),SUMIFS('ON Data'!W:W,'ON Data'!$E:$E,4))</f>
        <v>0</v>
      </c>
      <c r="S13" s="263">
        <f xml:space="preserve">
IF($A$4&lt;=12,SUMIFS('ON Data'!X:X,'ON Data'!$D:$D,$A$4,'ON Data'!$E:$E,4),SUMIFS('ON Data'!X:X,'ON Data'!$E:$E,4))</f>
        <v>0</v>
      </c>
      <c r="T13" s="263">
        <f xml:space="preserve">
IF($A$4&lt;=12,SUMIFS('ON Data'!Y:Y,'ON Data'!$D:$D,$A$4,'ON Data'!$E:$E,4),SUMIFS('ON Data'!Y:Y,'ON Data'!$E:$E,4))</f>
        <v>0</v>
      </c>
      <c r="U13" s="263">
        <f xml:space="preserve">
IF($A$4&lt;=12,SUMIFS('ON Data'!Z:Z,'ON Data'!$D:$D,$A$4,'ON Data'!$E:$E,4),SUMIFS('ON Data'!Z:Z,'ON Data'!$E:$E,4))</f>
        <v>0</v>
      </c>
      <c r="V13" s="263">
        <f xml:space="preserve">
IF($A$4&lt;=12,SUMIFS('ON Data'!AA:AA,'ON Data'!$D:$D,$A$4,'ON Data'!$E:$E,4),SUMIFS('ON Data'!AA:AA,'ON Data'!$E:$E,4))</f>
        <v>0</v>
      </c>
      <c r="W13" s="263">
        <f xml:space="preserve">
IF($A$4&lt;=12,SUMIFS('ON Data'!AB:AB,'ON Data'!$D:$D,$A$4,'ON Data'!$E:$E,4),SUMIFS('ON Data'!AB:AB,'ON Data'!$E:$E,4))</f>
        <v>0</v>
      </c>
      <c r="X13" s="263">
        <f xml:space="preserve">
IF($A$4&lt;=12,SUMIFS('ON Data'!AC:AC,'ON Data'!$D:$D,$A$4,'ON Data'!$E:$E,4),SUMIFS('ON Data'!AC:AC,'ON Data'!$E:$E,4))</f>
        <v>0</v>
      </c>
      <c r="Y13" s="263">
        <f xml:space="preserve">
IF($A$4&lt;=12,SUMIFS('ON Data'!AD:AD,'ON Data'!$D:$D,$A$4,'ON Data'!$E:$E,4),SUMIFS('ON Data'!AD:AD,'ON Data'!$E:$E,4))</f>
        <v>0</v>
      </c>
      <c r="Z13" s="263">
        <f xml:space="preserve">
IF($A$4&lt;=12,SUMIFS('ON Data'!AE:AE,'ON Data'!$D:$D,$A$4,'ON Data'!$E:$E,4),SUMIFS('ON Data'!AE:AE,'ON Data'!$E:$E,4))</f>
        <v>0</v>
      </c>
      <c r="AA13" s="263">
        <f xml:space="preserve">
IF($A$4&lt;=12,SUMIFS('ON Data'!AF:AF,'ON Data'!$D:$D,$A$4,'ON Data'!$E:$E,4),SUMIFS('ON Data'!AF:AF,'ON Data'!$E:$E,4))</f>
        <v>0</v>
      </c>
      <c r="AB13" s="263">
        <f xml:space="preserve">
IF($A$4&lt;=12,SUMIFS('ON Data'!AG:AG,'ON Data'!$D:$D,$A$4,'ON Data'!$E:$E,4),SUMIFS('ON Data'!AG:AG,'ON Data'!$E:$E,4))</f>
        <v>0</v>
      </c>
      <c r="AC13" s="263">
        <f xml:space="preserve">
IF($A$4&lt;=12,SUMIFS('ON Data'!AH:AH,'ON Data'!$D:$D,$A$4,'ON Data'!$E:$E,4),SUMIFS('ON Data'!AH:AH,'ON Data'!$E:$E,4))</f>
        <v>0</v>
      </c>
      <c r="AD13" s="263">
        <f xml:space="preserve">
IF($A$4&lt;=12,SUMIFS('ON Data'!AI:AI,'ON Data'!$D:$D,$A$4,'ON Data'!$E:$E,4),SUMIFS('ON Data'!AI:AI,'ON Data'!$E:$E,4))</f>
        <v>0</v>
      </c>
      <c r="AE13" s="263">
        <f xml:space="preserve">
IF($A$4&lt;=12,SUMIFS('ON Data'!AJ:AJ,'ON Data'!$D:$D,$A$4,'ON Data'!$E:$E,4),SUMIFS('ON Data'!AJ:AJ,'ON Data'!$E:$E,4))</f>
        <v>0</v>
      </c>
      <c r="AF13" s="263">
        <f xml:space="preserve">
IF($A$4&lt;=12,SUMIFS('ON Data'!AK:AK,'ON Data'!$D:$D,$A$4,'ON Data'!$E:$E,4),SUMIFS('ON Data'!AK:AK,'ON Data'!$E:$E,4))</f>
        <v>0</v>
      </c>
      <c r="AG13" s="263">
        <f xml:space="preserve">
IF($A$4&lt;=12,SUMIFS('ON Data'!AL:AL,'ON Data'!$D:$D,$A$4,'ON Data'!$E:$E,4),SUMIFS('ON Data'!AL:AL,'ON Data'!$E:$E,4))</f>
        <v>0</v>
      </c>
      <c r="AH13" s="584">
        <f xml:space="preserve">
IF($A$4&lt;=12,SUMIFS('ON Data'!AN:AN,'ON Data'!$D:$D,$A$4,'ON Data'!$E:$E,4),SUMIFS('ON Data'!AN:AN,'ON Data'!$E:$E,4))</f>
        <v>0</v>
      </c>
      <c r="AI13" s="594"/>
    </row>
    <row r="14" spans="1:35" ht="15" thickBot="1" x14ac:dyDescent="0.35">
      <c r="A14" s="245" t="s">
        <v>189</v>
      </c>
      <c r="B14" s="264">
        <f xml:space="preserve">
IF($A$4&lt;=12,SUMIFS('ON Data'!F:F,'ON Data'!$D:$D,$A$4,'ON Data'!$E:$E,5),SUMIFS('ON Data'!F:F,'ON Data'!$E:$E,5))</f>
        <v>100</v>
      </c>
      <c r="C14" s="265">
        <f xml:space="preserve">
IF($A$4&lt;=12,SUMIFS('ON Data'!G:G,'ON Data'!$D:$D,$A$4,'ON Data'!$E:$E,5),SUMIFS('ON Data'!G:G,'ON Data'!$E:$E,5))</f>
        <v>100</v>
      </c>
      <c r="D14" s="266">
        <f xml:space="preserve">
IF($A$4&lt;=12,SUMIFS('ON Data'!H:H,'ON Data'!$D:$D,$A$4,'ON Data'!$E:$E,5),SUMIFS('ON Data'!H:H,'ON Data'!$E:$E,5))</f>
        <v>0</v>
      </c>
      <c r="E14" s="266">
        <f xml:space="preserve">
IF($A$4&lt;=12,SUMIFS('ON Data'!I:I,'ON Data'!$D:$D,$A$4,'ON Data'!$E:$E,5),SUMIFS('ON Data'!I:I,'ON Data'!$E:$E,5))</f>
        <v>0</v>
      </c>
      <c r="F14" s="266">
        <f xml:space="preserve">
IF($A$4&lt;=12,SUMIFS('ON Data'!K:K,'ON Data'!$D:$D,$A$4,'ON Data'!$E:$E,5),SUMIFS('ON Data'!K:K,'ON Data'!$E:$E,5))</f>
        <v>0</v>
      </c>
      <c r="G14" s="266">
        <f xml:space="preserve">
IF($A$4&lt;=12,SUMIFS('ON Data'!L:L,'ON Data'!$D:$D,$A$4,'ON Data'!$E:$E,5),SUMIFS('ON Data'!L:L,'ON Data'!$E:$E,5))</f>
        <v>0</v>
      </c>
      <c r="H14" s="266">
        <f xml:space="preserve">
IF($A$4&lt;=12,SUMIFS('ON Data'!M:M,'ON Data'!$D:$D,$A$4,'ON Data'!$E:$E,5),SUMIFS('ON Data'!M:M,'ON Data'!$E:$E,5))</f>
        <v>0</v>
      </c>
      <c r="I14" s="266">
        <f xml:space="preserve">
IF($A$4&lt;=12,SUMIFS('ON Data'!N:N,'ON Data'!$D:$D,$A$4,'ON Data'!$E:$E,5),SUMIFS('ON Data'!N:N,'ON Data'!$E:$E,5))</f>
        <v>0</v>
      </c>
      <c r="J14" s="266">
        <f xml:space="preserve">
IF($A$4&lt;=12,SUMIFS('ON Data'!O:O,'ON Data'!$D:$D,$A$4,'ON Data'!$E:$E,5),SUMIFS('ON Data'!O:O,'ON Data'!$E:$E,5))</f>
        <v>0</v>
      </c>
      <c r="K14" s="266">
        <f xml:space="preserve">
IF($A$4&lt;=12,SUMIFS('ON Data'!P:P,'ON Data'!$D:$D,$A$4,'ON Data'!$E:$E,5),SUMIFS('ON Data'!P:P,'ON Data'!$E:$E,5))</f>
        <v>0</v>
      </c>
      <c r="L14" s="266">
        <f xml:space="preserve">
IF($A$4&lt;=12,SUMIFS('ON Data'!Q:Q,'ON Data'!$D:$D,$A$4,'ON Data'!$E:$E,5),SUMIFS('ON Data'!Q:Q,'ON Data'!$E:$E,5))</f>
        <v>0</v>
      </c>
      <c r="M14" s="266">
        <f xml:space="preserve">
IF($A$4&lt;=12,SUMIFS('ON Data'!R:R,'ON Data'!$D:$D,$A$4,'ON Data'!$E:$E,5),SUMIFS('ON Data'!R:R,'ON Data'!$E:$E,5))</f>
        <v>0</v>
      </c>
      <c r="N14" s="266">
        <f xml:space="preserve">
IF($A$4&lt;=12,SUMIFS('ON Data'!S:S,'ON Data'!$D:$D,$A$4,'ON Data'!$E:$E,5),SUMIFS('ON Data'!S:S,'ON Data'!$E:$E,5))</f>
        <v>0</v>
      </c>
      <c r="O14" s="266">
        <f xml:space="preserve">
IF($A$4&lt;=12,SUMIFS('ON Data'!T:T,'ON Data'!$D:$D,$A$4,'ON Data'!$E:$E,5),SUMIFS('ON Data'!T:T,'ON Data'!$E:$E,5))</f>
        <v>0</v>
      </c>
      <c r="P14" s="266">
        <f xml:space="preserve">
IF($A$4&lt;=12,SUMIFS('ON Data'!U:U,'ON Data'!$D:$D,$A$4,'ON Data'!$E:$E,5),SUMIFS('ON Data'!U:U,'ON Data'!$E:$E,5))</f>
        <v>0</v>
      </c>
      <c r="Q14" s="266">
        <f xml:space="preserve">
IF($A$4&lt;=12,SUMIFS('ON Data'!V:V,'ON Data'!$D:$D,$A$4,'ON Data'!$E:$E,5),SUMIFS('ON Data'!V:V,'ON Data'!$E:$E,5))</f>
        <v>0</v>
      </c>
      <c r="R14" s="266">
        <f xml:space="preserve">
IF($A$4&lt;=12,SUMIFS('ON Data'!W:W,'ON Data'!$D:$D,$A$4,'ON Data'!$E:$E,5),SUMIFS('ON Data'!W:W,'ON Data'!$E:$E,5))</f>
        <v>0</v>
      </c>
      <c r="S14" s="266">
        <f xml:space="preserve">
IF($A$4&lt;=12,SUMIFS('ON Data'!X:X,'ON Data'!$D:$D,$A$4,'ON Data'!$E:$E,5),SUMIFS('ON Data'!X:X,'ON Data'!$E:$E,5))</f>
        <v>0</v>
      </c>
      <c r="T14" s="266">
        <f xml:space="preserve">
IF($A$4&lt;=12,SUMIFS('ON Data'!Y:Y,'ON Data'!$D:$D,$A$4,'ON Data'!$E:$E,5),SUMIFS('ON Data'!Y:Y,'ON Data'!$E:$E,5))</f>
        <v>0</v>
      </c>
      <c r="U14" s="266">
        <f xml:space="preserve">
IF($A$4&lt;=12,SUMIFS('ON Data'!Z:Z,'ON Data'!$D:$D,$A$4,'ON Data'!$E:$E,5),SUMIFS('ON Data'!Z:Z,'ON Data'!$E:$E,5))</f>
        <v>0</v>
      </c>
      <c r="V14" s="266">
        <f xml:space="preserve">
IF($A$4&lt;=12,SUMIFS('ON Data'!AA:AA,'ON Data'!$D:$D,$A$4,'ON Data'!$E:$E,5),SUMIFS('ON Data'!AA:AA,'ON Data'!$E:$E,5))</f>
        <v>0</v>
      </c>
      <c r="W14" s="266">
        <f xml:space="preserve">
IF($A$4&lt;=12,SUMIFS('ON Data'!AB:AB,'ON Data'!$D:$D,$A$4,'ON Data'!$E:$E,5),SUMIFS('ON Data'!AB:AB,'ON Data'!$E:$E,5))</f>
        <v>0</v>
      </c>
      <c r="X14" s="266">
        <f xml:space="preserve">
IF($A$4&lt;=12,SUMIFS('ON Data'!AC:AC,'ON Data'!$D:$D,$A$4,'ON Data'!$E:$E,5),SUMIFS('ON Data'!AC:AC,'ON Data'!$E:$E,5))</f>
        <v>0</v>
      </c>
      <c r="Y14" s="266">
        <f xml:space="preserve">
IF($A$4&lt;=12,SUMIFS('ON Data'!AD:AD,'ON Data'!$D:$D,$A$4,'ON Data'!$E:$E,5),SUMIFS('ON Data'!AD:AD,'ON Data'!$E:$E,5))</f>
        <v>0</v>
      </c>
      <c r="Z14" s="266">
        <f xml:space="preserve">
IF($A$4&lt;=12,SUMIFS('ON Data'!AE:AE,'ON Data'!$D:$D,$A$4,'ON Data'!$E:$E,5),SUMIFS('ON Data'!AE:AE,'ON Data'!$E:$E,5))</f>
        <v>0</v>
      </c>
      <c r="AA14" s="266">
        <f xml:space="preserve">
IF($A$4&lt;=12,SUMIFS('ON Data'!AF:AF,'ON Data'!$D:$D,$A$4,'ON Data'!$E:$E,5),SUMIFS('ON Data'!AF:AF,'ON Data'!$E:$E,5))</f>
        <v>0</v>
      </c>
      <c r="AB14" s="266">
        <f xml:space="preserve">
IF($A$4&lt;=12,SUMIFS('ON Data'!AG:AG,'ON Data'!$D:$D,$A$4,'ON Data'!$E:$E,5),SUMIFS('ON Data'!AG:AG,'ON Data'!$E:$E,5))</f>
        <v>0</v>
      </c>
      <c r="AC14" s="266">
        <f xml:space="preserve">
IF($A$4&lt;=12,SUMIFS('ON Data'!AH:AH,'ON Data'!$D:$D,$A$4,'ON Data'!$E:$E,5),SUMIFS('ON Data'!AH:AH,'ON Data'!$E:$E,5))</f>
        <v>0</v>
      </c>
      <c r="AD14" s="266">
        <f xml:space="preserve">
IF($A$4&lt;=12,SUMIFS('ON Data'!AI:AI,'ON Data'!$D:$D,$A$4,'ON Data'!$E:$E,5),SUMIFS('ON Data'!AI:AI,'ON Data'!$E:$E,5))</f>
        <v>0</v>
      </c>
      <c r="AE14" s="266">
        <f xml:space="preserve">
IF($A$4&lt;=12,SUMIFS('ON Data'!AJ:AJ,'ON Data'!$D:$D,$A$4,'ON Data'!$E:$E,5),SUMIFS('ON Data'!AJ:AJ,'ON Data'!$E:$E,5))</f>
        <v>0</v>
      </c>
      <c r="AF14" s="266">
        <f xml:space="preserve">
IF($A$4&lt;=12,SUMIFS('ON Data'!AK:AK,'ON Data'!$D:$D,$A$4,'ON Data'!$E:$E,5),SUMIFS('ON Data'!AK:AK,'ON Data'!$E:$E,5))</f>
        <v>0</v>
      </c>
      <c r="AG14" s="266">
        <f xml:space="preserve">
IF($A$4&lt;=12,SUMIFS('ON Data'!AL:AL,'ON Data'!$D:$D,$A$4,'ON Data'!$E:$E,5),SUMIFS('ON Data'!AL:AL,'ON Data'!$E:$E,5))</f>
        <v>0</v>
      </c>
      <c r="AH14" s="585">
        <f xml:space="preserve">
IF($A$4&lt;=12,SUMIFS('ON Data'!AN:AN,'ON Data'!$D:$D,$A$4,'ON Data'!$E:$E,5),SUMIFS('ON Data'!AN:AN,'ON Data'!$E:$E,5))</f>
        <v>0</v>
      </c>
      <c r="AI14" s="594"/>
    </row>
    <row r="15" spans="1:35" x14ac:dyDescent="0.3">
      <c r="A15" s="163" t="s">
        <v>199</v>
      </c>
      <c r="B15" s="267"/>
      <c r="C15" s="268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586"/>
      <c r="AI15" s="594"/>
    </row>
    <row r="16" spans="1:35" x14ac:dyDescent="0.3">
      <c r="A16" s="246" t="s">
        <v>190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Data'!G:G,'ON Data'!$D:$D,$A$4,'ON Data'!$E:$E,7),SUMIFS('ON Data'!G:G,'ON Data'!$E:$E,7))</f>
        <v>0</v>
      </c>
      <c r="D16" s="263">
        <f xml:space="preserve">
IF($A$4&lt;=12,SUMIFS('ON Data'!H:H,'ON Data'!$D:$D,$A$4,'ON Data'!$E:$E,7),SUMIFS('ON Data'!H:H,'ON Data'!$E:$E,7))</f>
        <v>0</v>
      </c>
      <c r="E16" s="263">
        <f xml:space="preserve">
IF($A$4&lt;=12,SUMIFS('ON Data'!I:I,'ON Data'!$D:$D,$A$4,'ON Data'!$E:$E,7),SUMIFS('ON Data'!I:I,'ON Data'!$E:$E,7))</f>
        <v>0</v>
      </c>
      <c r="F16" s="263">
        <f xml:space="preserve">
IF($A$4&lt;=12,SUMIFS('ON Data'!K:K,'ON Data'!$D:$D,$A$4,'ON Data'!$E:$E,7),SUMIFS('ON Data'!K:K,'ON Data'!$E:$E,7))</f>
        <v>0</v>
      </c>
      <c r="G16" s="263">
        <f xml:space="preserve">
IF($A$4&lt;=12,SUMIFS('ON Data'!L:L,'ON Data'!$D:$D,$A$4,'ON Data'!$E:$E,7),SUMIFS('ON Data'!L:L,'ON Data'!$E:$E,7))</f>
        <v>0</v>
      </c>
      <c r="H16" s="263">
        <f xml:space="preserve">
IF($A$4&lt;=12,SUMIFS('ON Data'!M:M,'ON Data'!$D:$D,$A$4,'ON Data'!$E:$E,7),SUMIFS('ON Data'!M:M,'ON Data'!$E:$E,7))</f>
        <v>0</v>
      </c>
      <c r="I16" s="263">
        <f xml:space="preserve">
IF($A$4&lt;=12,SUMIFS('ON Data'!N:N,'ON Data'!$D:$D,$A$4,'ON Data'!$E:$E,7),SUMIFS('ON Data'!N:N,'ON Data'!$E:$E,7))</f>
        <v>0</v>
      </c>
      <c r="J16" s="263">
        <f xml:space="preserve">
IF($A$4&lt;=12,SUMIFS('ON Data'!O:O,'ON Data'!$D:$D,$A$4,'ON Data'!$E:$E,7),SUMIFS('ON Data'!O:O,'ON Data'!$E:$E,7))</f>
        <v>0</v>
      </c>
      <c r="K16" s="263">
        <f xml:space="preserve">
IF($A$4&lt;=12,SUMIFS('ON Data'!P:P,'ON Data'!$D:$D,$A$4,'ON Data'!$E:$E,7),SUMIFS('ON Data'!P:P,'ON Data'!$E:$E,7))</f>
        <v>0</v>
      </c>
      <c r="L16" s="263">
        <f xml:space="preserve">
IF($A$4&lt;=12,SUMIFS('ON Data'!Q:Q,'ON Data'!$D:$D,$A$4,'ON Data'!$E:$E,7),SUMIFS('ON Data'!Q:Q,'ON Data'!$E:$E,7))</f>
        <v>0</v>
      </c>
      <c r="M16" s="263">
        <f xml:space="preserve">
IF($A$4&lt;=12,SUMIFS('ON Data'!R:R,'ON Data'!$D:$D,$A$4,'ON Data'!$E:$E,7),SUMIFS('ON Data'!R:R,'ON Data'!$E:$E,7))</f>
        <v>0</v>
      </c>
      <c r="N16" s="263">
        <f xml:space="preserve">
IF($A$4&lt;=12,SUMIFS('ON Data'!S:S,'ON Data'!$D:$D,$A$4,'ON Data'!$E:$E,7),SUMIFS('ON Data'!S:S,'ON Data'!$E:$E,7))</f>
        <v>0</v>
      </c>
      <c r="O16" s="263">
        <f xml:space="preserve">
IF($A$4&lt;=12,SUMIFS('ON Data'!T:T,'ON Data'!$D:$D,$A$4,'ON Data'!$E:$E,7),SUMIFS('ON Data'!T:T,'ON Data'!$E:$E,7))</f>
        <v>0</v>
      </c>
      <c r="P16" s="263">
        <f xml:space="preserve">
IF($A$4&lt;=12,SUMIFS('ON Data'!U:U,'ON Data'!$D:$D,$A$4,'ON Data'!$E:$E,7),SUMIFS('ON Data'!U:U,'ON Data'!$E:$E,7))</f>
        <v>0</v>
      </c>
      <c r="Q16" s="263">
        <f xml:space="preserve">
IF($A$4&lt;=12,SUMIFS('ON Data'!V:V,'ON Data'!$D:$D,$A$4,'ON Data'!$E:$E,7),SUMIFS('ON Data'!V:V,'ON Data'!$E:$E,7))</f>
        <v>0</v>
      </c>
      <c r="R16" s="263">
        <f xml:space="preserve">
IF($A$4&lt;=12,SUMIFS('ON Data'!W:W,'ON Data'!$D:$D,$A$4,'ON Data'!$E:$E,7),SUMIFS('ON Data'!W:W,'ON Data'!$E:$E,7))</f>
        <v>0</v>
      </c>
      <c r="S16" s="263">
        <f xml:space="preserve">
IF($A$4&lt;=12,SUMIFS('ON Data'!X:X,'ON Data'!$D:$D,$A$4,'ON Data'!$E:$E,7),SUMIFS('ON Data'!X:X,'ON Data'!$E:$E,7))</f>
        <v>0</v>
      </c>
      <c r="T16" s="263">
        <f xml:space="preserve">
IF($A$4&lt;=12,SUMIFS('ON Data'!Y:Y,'ON Data'!$D:$D,$A$4,'ON Data'!$E:$E,7),SUMIFS('ON Data'!Y:Y,'ON Data'!$E:$E,7))</f>
        <v>0</v>
      </c>
      <c r="U16" s="263">
        <f xml:space="preserve">
IF($A$4&lt;=12,SUMIFS('ON Data'!Z:Z,'ON Data'!$D:$D,$A$4,'ON Data'!$E:$E,7),SUMIFS('ON Data'!Z:Z,'ON Data'!$E:$E,7))</f>
        <v>0</v>
      </c>
      <c r="V16" s="263">
        <f xml:space="preserve">
IF($A$4&lt;=12,SUMIFS('ON Data'!AA:AA,'ON Data'!$D:$D,$A$4,'ON Data'!$E:$E,7),SUMIFS('ON Data'!AA:AA,'ON Data'!$E:$E,7))</f>
        <v>0</v>
      </c>
      <c r="W16" s="263">
        <f xml:space="preserve">
IF($A$4&lt;=12,SUMIFS('ON Data'!AB:AB,'ON Data'!$D:$D,$A$4,'ON Data'!$E:$E,7),SUMIFS('ON Data'!AB:AB,'ON Data'!$E:$E,7))</f>
        <v>0</v>
      </c>
      <c r="X16" s="263">
        <f xml:space="preserve">
IF($A$4&lt;=12,SUMIFS('ON Data'!AC:AC,'ON Data'!$D:$D,$A$4,'ON Data'!$E:$E,7),SUMIFS('ON Data'!AC:AC,'ON Data'!$E:$E,7))</f>
        <v>0</v>
      </c>
      <c r="Y16" s="263">
        <f xml:space="preserve">
IF($A$4&lt;=12,SUMIFS('ON Data'!AD:AD,'ON Data'!$D:$D,$A$4,'ON Data'!$E:$E,7),SUMIFS('ON Data'!AD:AD,'ON Data'!$E:$E,7))</f>
        <v>0</v>
      </c>
      <c r="Z16" s="263">
        <f xml:space="preserve">
IF($A$4&lt;=12,SUMIFS('ON Data'!AE:AE,'ON Data'!$D:$D,$A$4,'ON Data'!$E:$E,7),SUMIFS('ON Data'!AE:AE,'ON Data'!$E:$E,7))</f>
        <v>0</v>
      </c>
      <c r="AA16" s="263">
        <f xml:space="preserve">
IF($A$4&lt;=12,SUMIFS('ON Data'!AF:AF,'ON Data'!$D:$D,$A$4,'ON Data'!$E:$E,7),SUMIFS('ON Data'!AF:AF,'ON Data'!$E:$E,7))</f>
        <v>0</v>
      </c>
      <c r="AB16" s="263">
        <f xml:space="preserve">
IF($A$4&lt;=12,SUMIFS('ON Data'!AG:AG,'ON Data'!$D:$D,$A$4,'ON Data'!$E:$E,7),SUMIFS('ON Data'!AG:AG,'ON Data'!$E:$E,7))</f>
        <v>0</v>
      </c>
      <c r="AC16" s="263">
        <f xml:space="preserve">
IF($A$4&lt;=12,SUMIFS('ON Data'!AH:AH,'ON Data'!$D:$D,$A$4,'ON Data'!$E:$E,7),SUMIFS('ON Data'!AH:AH,'ON Data'!$E:$E,7))</f>
        <v>0</v>
      </c>
      <c r="AD16" s="263">
        <f xml:space="preserve">
IF($A$4&lt;=12,SUMIFS('ON Data'!AI:AI,'ON Data'!$D:$D,$A$4,'ON Data'!$E:$E,7),SUMIFS('ON Data'!AI:AI,'ON Data'!$E:$E,7))</f>
        <v>0</v>
      </c>
      <c r="AE16" s="263">
        <f xml:space="preserve">
IF($A$4&lt;=12,SUMIFS('ON Data'!AJ:AJ,'ON Data'!$D:$D,$A$4,'ON Data'!$E:$E,7),SUMIFS('ON Data'!AJ:AJ,'ON Data'!$E:$E,7))</f>
        <v>0</v>
      </c>
      <c r="AF16" s="263">
        <f xml:space="preserve">
IF($A$4&lt;=12,SUMIFS('ON Data'!AK:AK,'ON Data'!$D:$D,$A$4,'ON Data'!$E:$E,7),SUMIFS('ON Data'!AK:AK,'ON Data'!$E:$E,7))</f>
        <v>0</v>
      </c>
      <c r="AG16" s="263">
        <f xml:space="preserve">
IF($A$4&lt;=12,SUMIFS('ON Data'!AL:AL,'ON Data'!$D:$D,$A$4,'ON Data'!$E:$E,7),SUMIFS('ON Data'!AL:AL,'ON Data'!$E:$E,7))</f>
        <v>0</v>
      </c>
      <c r="AH16" s="584">
        <f xml:space="preserve">
IF($A$4&lt;=12,SUMIFS('ON Data'!AN:AN,'ON Data'!$D:$D,$A$4,'ON Data'!$E:$E,7),SUMIFS('ON Data'!AN:AN,'ON Data'!$E:$E,7))</f>
        <v>0</v>
      </c>
      <c r="AI16" s="594"/>
    </row>
    <row r="17" spans="1:35" x14ac:dyDescent="0.3">
      <c r="A17" s="246" t="s">
        <v>191</v>
      </c>
      <c r="B17" s="261">
        <f xml:space="preserve">
IF($A$4&lt;=12,SUMIFS('ON Data'!F:F,'ON Data'!$D:$D,$A$4,'ON Data'!$E:$E,8),SUMIFS('ON Data'!F:F,'ON Data'!$E:$E,8))</f>
        <v>0</v>
      </c>
      <c r="C17" s="262">
        <f xml:space="preserve">
IF($A$4&lt;=12,SUMIFS('ON Data'!G:G,'ON Data'!$D:$D,$A$4,'ON Data'!$E:$E,8),SUMIFS('ON Data'!G:G,'ON Data'!$E:$E,8))</f>
        <v>0</v>
      </c>
      <c r="D17" s="263">
        <f xml:space="preserve">
IF($A$4&lt;=12,SUMIFS('ON Data'!H:H,'ON Data'!$D:$D,$A$4,'ON Data'!$E:$E,8),SUMIFS('ON Data'!H:H,'ON Data'!$E:$E,8))</f>
        <v>0</v>
      </c>
      <c r="E17" s="263">
        <f xml:space="preserve">
IF($A$4&lt;=12,SUMIFS('ON Data'!I:I,'ON Data'!$D:$D,$A$4,'ON Data'!$E:$E,8),SUMIFS('ON Data'!I:I,'ON Data'!$E:$E,8))</f>
        <v>0</v>
      </c>
      <c r="F17" s="263">
        <f xml:space="preserve">
IF($A$4&lt;=12,SUMIFS('ON Data'!K:K,'ON Data'!$D:$D,$A$4,'ON Data'!$E:$E,8),SUMIFS('ON Data'!K:K,'ON Data'!$E:$E,8))</f>
        <v>0</v>
      </c>
      <c r="G17" s="263">
        <f xml:space="preserve">
IF($A$4&lt;=12,SUMIFS('ON Data'!L:L,'ON Data'!$D:$D,$A$4,'ON Data'!$E:$E,8),SUMIFS('ON Data'!L:L,'ON Data'!$E:$E,8))</f>
        <v>0</v>
      </c>
      <c r="H17" s="263">
        <f xml:space="preserve">
IF($A$4&lt;=12,SUMIFS('ON Data'!M:M,'ON Data'!$D:$D,$A$4,'ON Data'!$E:$E,8),SUMIFS('ON Data'!M:M,'ON Data'!$E:$E,8))</f>
        <v>0</v>
      </c>
      <c r="I17" s="263">
        <f xml:space="preserve">
IF($A$4&lt;=12,SUMIFS('ON Data'!N:N,'ON Data'!$D:$D,$A$4,'ON Data'!$E:$E,8),SUMIFS('ON Data'!N:N,'ON Data'!$E:$E,8))</f>
        <v>0</v>
      </c>
      <c r="J17" s="263">
        <f xml:space="preserve">
IF($A$4&lt;=12,SUMIFS('ON Data'!O:O,'ON Data'!$D:$D,$A$4,'ON Data'!$E:$E,8),SUMIFS('ON Data'!O:O,'ON Data'!$E:$E,8))</f>
        <v>0</v>
      </c>
      <c r="K17" s="263">
        <f xml:space="preserve">
IF($A$4&lt;=12,SUMIFS('ON Data'!P:P,'ON Data'!$D:$D,$A$4,'ON Data'!$E:$E,8),SUMIFS('ON Data'!P:P,'ON Data'!$E:$E,8))</f>
        <v>0</v>
      </c>
      <c r="L17" s="263">
        <f xml:space="preserve">
IF($A$4&lt;=12,SUMIFS('ON Data'!Q:Q,'ON Data'!$D:$D,$A$4,'ON Data'!$E:$E,8),SUMIFS('ON Data'!Q:Q,'ON Data'!$E:$E,8))</f>
        <v>0</v>
      </c>
      <c r="M17" s="263">
        <f xml:space="preserve">
IF($A$4&lt;=12,SUMIFS('ON Data'!R:R,'ON Data'!$D:$D,$A$4,'ON Data'!$E:$E,8),SUMIFS('ON Data'!R:R,'ON Data'!$E:$E,8))</f>
        <v>0</v>
      </c>
      <c r="N17" s="263">
        <f xml:space="preserve">
IF($A$4&lt;=12,SUMIFS('ON Data'!S:S,'ON Data'!$D:$D,$A$4,'ON Data'!$E:$E,8),SUMIFS('ON Data'!S:S,'ON Data'!$E:$E,8))</f>
        <v>0</v>
      </c>
      <c r="O17" s="263">
        <f xml:space="preserve">
IF($A$4&lt;=12,SUMIFS('ON Data'!T:T,'ON Data'!$D:$D,$A$4,'ON Data'!$E:$E,8),SUMIFS('ON Data'!T:T,'ON Data'!$E:$E,8))</f>
        <v>0</v>
      </c>
      <c r="P17" s="263">
        <f xml:space="preserve">
IF($A$4&lt;=12,SUMIFS('ON Data'!U:U,'ON Data'!$D:$D,$A$4,'ON Data'!$E:$E,8),SUMIFS('ON Data'!U:U,'ON Data'!$E:$E,8))</f>
        <v>0</v>
      </c>
      <c r="Q17" s="263">
        <f xml:space="preserve">
IF($A$4&lt;=12,SUMIFS('ON Data'!V:V,'ON Data'!$D:$D,$A$4,'ON Data'!$E:$E,8),SUMIFS('ON Data'!V:V,'ON Data'!$E:$E,8))</f>
        <v>0</v>
      </c>
      <c r="R17" s="263">
        <f xml:space="preserve">
IF($A$4&lt;=12,SUMIFS('ON Data'!W:W,'ON Data'!$D:$D,$A$4,'ON Data'!$E:$E,8),SUMIFS('ON Data'!W:W,'ON Data'!$E:$E,8))</f>
        <v>0</v>
      </c>
      <c r="S17" s="263">
        <f xml:space="preserve">
IF($A$4&lt;=12,SUMIFS('ON Data'!X:X,'ON Data'!$D:$D,$A$4,'ON Data'!$E:$E,8),SUMIFS('ON Data'!X:X,'ON Data'!$E:$E,8))</f>
        <v>0</v>
      </c>
      <c r="T17" s="263">
        <f xml:space="preserve">
IF($A$4&lt;=12,SUMIFS('ON Data'!Y:Y,'ON Data'!$D:$D,$A$4,'ON Data'!$E:$E,8),SUMIFS('ON Data'!Y:Y,'ON Data'!$E:$E,8))</f>
        <v>0</v>
      </c>
      <c r="U17" s="263">
        <f xml:space="preserve">
IF($A$4&lt;=12,SUMIFS('ON Data'!Z:Z,'ON Data'!$D:$D,$A$4,'ON Data'!$E:$E,8),SUMIFS('ON Data'!Z:Z,'ON Data'!$E:$E,8))</f>
        <v>0</v>
      </c>
      <c r="V17" s="263">
        <f xml:space="preserve">
IF($A$4&lt;=12,SUMIFS('ON Data'!AA:AA,'ON Data'!$D:$D,$A$4,'ON Data'!$E:$E,8),SUMIFS('ON Data'!AA:AA,'ON Data'!$E:$E,8))</f>
        <v>0</v>
      </c>
      <c r="W17" s="263">
        <f xml:space="preserve">
IF($A$4&lt;=12,SUMIFS('ON Data'!AB:AB,'ON Data'!$D:$D,$A$4,'ON Data'!$E:$E,8),SUMIFS('ON Data'!AB:AB,'ON Data'!$E:$E,8))</f>
        <v>0</v>
      </c>
      <c r="X17" s="263">
        <f xml:space="preserve">
IF($A$4&lt;=12,SUMIFS('ON Data'!AC:AC,'ON Data'!$D:$D,$A$4,'ON Data'!$E:$E,8),SUMIFS('ON Data'!AC:AC,'ON Data'!$E:$E,8))</f>
        <v>0</v>
      </c>
      <c r="Y17" s="263">
        <f xml:space="preserve">
IF($A$4&lt;=12,SUMIFS('ON Data'!AD:AD,'ON Data'!$D:$D,$A$4,'ON Data'!$E:$E,8),SUMIFS('ON Data'!AD:AD,'ON Data'!$E:$E,8))</f>
        <v>0</v>
      </c>
      <c r="Z17" s="263">
        <f xml:space="preserve">
IF($A$4&lt;=12,SUMIFS('ON Data'!AE:AE,'ON Data'!$D:$D,$A$4,'ON Data'!$E:$E,8),SUMIFS('ON Data'!AE:AE,'ON Data'!$E:$E,8))</f>
        <v>0</v>
      </c>
      <c r="AA17" s="263">
        <f xml:space="preserve">
IF($A$4&lt;=12,SUMIFS('ON Data'!AF:AF,'ON Data'!$D:$D,$A$4,'ON Data'!$E:$E,8),SUMIFS('ON Data'!AF:AF,'ON Data'!$E:$E,8))</f>
        <v>0</v>
      </c>
      <c r="AB17" s="263">
        <f xml:space="preserve">
IF($A$4&lt;=12,SUMIFS('ON Data'!AG:AG,'ON Data'!$D:$D,$A$4,'ON Data'!$E:$E,8),SUMIFS('ON Data'!AG:AG,'ON Data'!$E:$E,8))</f>
        <v>0</v>
      </c>
      <c r="AC17" s="263">
        <f xml:space="preserve">
IF($A$4&lt;=12,SUMIFS('ON Data'!AH:AH,'ON Data'!$D:$D,$A$4,'ON Data'!$E:$E,8),SUMIFS('ON Data'!AH:AH,'ON Data'!$E:$E,8))</f>
        <v>0</v>
      </c>
      <c r="AD17" s="263">
        <f xml:space="preserve">
IF($A$4&lt;=12,SUMIFS('ON Data'!AI:AI,'ON Data'!$D:$D,$A$4,'ON Data'!$E:$E,8),SUMIFS('ON Data'!AI:AI,'ON Data'!$E:$E,8))</f>
        <v>0</v>
      </c>
      <c r="AE17" s="263">
        <f xml:space="preserve">
IF($A$4&lt;=12,SUMIFS('ON Data'!AJ:AJ,'ON Data'!$D:$D,$A$4,'ON Data'!$E:$E,8),SUMIFS('ON Data'!AJ:AJ,'ON Data'!$E:$E,8))</f>
        <v>0</v>
      </c>
      <c r="AF17" s="263">
        <f xml:space="preserve">
IF($A$4&lt;=12,SUMIFS('ON Data'!AK:AK,'ON Data'!$D:$D,$A$4,'ON Data'!$E:$E,8),SUMIFS('ON Data'!AK:AK,'ON Data'!$E:$E,8))</f>
        <v>0</v>
      </c>
      <c r="AG17" s="263">
        <f xml:space="preserve">
IF($A$4&lt;=12,SUMIFS('ON Data'!AL:AL,'ON Data'!$D:$D,$A$4,'ON Data'!$E:$E,8),SUMIFS('ON Data'!AL:AL,'ON Data'!$E:$E,8))</f>
        <v>0</v>
      </c>
      <c r="AH17" s="584">
        <f xml:space="preserve">
IF($A$4&lt;=12,SUMIFS('ON Data'!AN:AN,'ON Data'!$D:$D,$A$4,'ON Data'!$E:$E,8),SUMIFS('ON Data'!AN:AN,'ON Data'!$E:$E,8))</f>
        <v>0</v>
      </c>
      <c r="AI17" s="594"/>
    </row>
    <row r="18" spans="1:35" x14ac:dyDescent="0.3">
      <c r="A18" s="246" t="s">
        <v>192</v>
      </c>
      <c r="B18" s="261">
        <f xml:space="preserve">
B19-B16-B17</f>
        <v>546781</v>
      </c>
      <c r="C18" s="262">
        <f t="shared" ref="C18:G18" si="0" xml:space="preserve">
C19-C16-C17</f>
        <v>0</v>
      </c>
      <c r="D18" s="263">
        <f t="shared" si="0"/>
        <v>220317</v>
      </c>
      <c r="E18" s="263">
        <f t="shared" si="0"/>
        <v>0</v>
      </c>
      <c r="F18" s="263">
        <f t="shared" si="0"/>
        <v>54581</v>
      </c>
      <c r="G18" s="263">
        <f t="shared" si="0"/>
        <v>0</v>
      </c>
      <c r="H18" s="263">
        <f t="shared" ref="H18:AH18" si="1" xml:space="preserve">
H19-H16-H17</f>
        <v>0</v>
      </c>
      <c r="I18" s="263">
        <f t="shared" si="1"/>
        <v>0</v>
      </c>
      <c r="J18" s="263">
        <f t="shared" si="1"/>
        <v>76229</v>
      </c>
      <c r="K18" s="263">
        <f t="shared" si="1"/>
        <v>0</v>
      </c>
      <c r="L18" s="263">
        <f t="shared" si="1"/>
        <v>0</v>
      </c>
      <c r="M18" s="263">
        <f t="shared" si="1"/>
        <v>0</v>
      </c>
      <c r="N18" s="263">
        <f t="shared" si="1"/>
        <v>0</v>
      </c>
      <c r="O18" s="263">
        <f t="shared" si="1"/>
        <v>0</v>
      </c>
      <c r="P18" s="263">
        <f t="shared" si="1"/>
        <v>0</v>
      </c>
      <c r="Q18" s="263">
        <f t="shared" si="1"/>
        <v>0</v>
      </c>
      <c r="R18" s="263">
        <f t="shared" si="1"/>
        <v>0</v>
      </c>
      <c r="S18" s="263">
        <f t="shared" si="1"/>
        <v>0</v>
      </c>
      <c r="T18" s="263">
        <f t="shared" si="1"/>
        <v>0</v>
      </c>
      <c r="U18" s="263">
        <f t="shared" si="1"/>
        <v>0</v>
      </c>
      <c r="V18" s="263">
        <f t="shared" si="1"/>
        <v>171880</v>
      </c>
      <c r="W18" s="263">
        <f t="shared" si="1"/>
        <v>0</v>
      </c>
      <c r="X18" s="263">
        <f t="shared" si="1"/>
        <v>0</v>
      </c>
      <c r="Y18" s="263">
        <f t="shared" si="1"/>
        <v>0</v>
      </c>
      <c r="Z18" s="263">
        <f t="shared" si="1"/>
        <v>0</v>
      </c>
      <c r="AA18" s="263">
        <f t="shared" si="1"/>
        <v>0</v>
      </c>
      <c r="AB18" s="263">
        <f t="shared" si="1"/>
        <v>0</v>
      </c>
      <c r="AC18" s="263">
        <f t="shared" si="1"/>
        <v>0</v>
      </c>
      <c r="AD18" s="263">
        <f t="shared" si="1"/>
        <v>5318</v>
      </c>
      <c r="AE18" s="263">
        <f t="shared" si="1"/>
        <v>0</v>
      </c>
      <c r="AF18" s="263">
        <f t="shared" si="1"/>
        <v>0</v>
      </c>
      <c r="AG18" s="263">
        <f t="shared" si="1"/>
        <v>0</v>
      </c>
      <c r="AH18" s="584">
        <f t="shared" si="1"/>
        <v>18456</v>
      </c>
      <c r="AI18" s="594"/>
    </row>
    <row r="19" spans="1:35" ht="15" thickBot="1" x14ac:dyDescent="0.35">
      <c r="A19" s="247" t="s">
        <v>193</v>
      </c>
      <c r="B19" s="270">
        <f xml:space="preserve">
IF($A$4&lt;=12,SUMIFS('ON Data'!F:F,'ON Data'!$D:$D,$A$4,'ON Data'!$E:$E,9),SUMIFS('ON Data'!F:F,'ON Data'!$E:$E,9))</f>
        <v>546781</v>
      </c>
      <c r="C19" s="271">
        <f xml:space="preserve">
IF($A$4&lt;=12,SUMIFS('ON Data'!G:G,'ON Data'!$D:$D,$A$4,'ON Data'!$E:$E,9),SUMIFS('ON Data'!G:G,'ON Data'!$E:$E,9))</f>
        <v>0</v>
      </c>
      <c r="D19" s="272">
        <f xml:space="preserve">
IF($A$4&lt;=12,SUMIFS('ON Data'!H:H,'ON Data'!$D:$D,$A$4,'ON Data'!$E:$E,9),SUMIFS('ON Data'!H:H,'ON Data'!$E:$E,9))</f>
        <v>220317</v>
      </c>
      <c r="E19" s="272">
        <f xml:space="preserve">
IF($A$4&lt;=12,SUMIFS('ON Data'!I:I,'ON Data'!$D:$D,$A$4,'ON Data'!$E:$E,9),SUMIFS('ON Data'!I:I,'ON Data'!$E:$E,9))</f>
        <v>0</v>
      </c>
      <c r="F19" s="272">
        <f xml:space="preserve">
IF($A$4&lt;=12,SUMIFS('ON Data'!K:K,'ON Data'!$D:$D,$A$4,'ON Data'!$E:$E,9),SUMIFS('ON Data'!K:K,'ON Data'!$E:$E,9))</f>
        <v>54581</v>
      </c>
      <c r="G19" s="272">
        <f xml:space="preserve">
IF($A$4&lt;=12,SUMIFS('ON Data'!L:L,'ON Data'!$D:$D,$A$4,'ON Data'!$E:$E,9),SUMIFS('ON Data'!L:L,'ON Data'!$E:$E,9))</f>
        <v>0</v>
      </c>
      <c r="H19" s="272">
        <f xml:space="preserve">
IF($A$4&lt;=12,SUMIFS('ON Data'!M:M,'ON Data'!$D:$D,$A$4,'ON Data'!$E:$E,9),SUMIFS('ON Data'!M:M,'ON Data'!$E:$E,9))</f>
        <v>0</v>
      </c>
      <c r="I19" s="272">
        <f xml:space="preserve">
IF($A$4&lt;=12,SUMIFS('ON Data'!N:N,'ON Data'!$D:$D,$A$4,'ON Data'!$E:$E,9),SUMIFS('ON Data'!N:N,'ON Data'!$E:$E,9))</f>
        <v>0</v>
      </c>
      <c r="J19" s="272">
        <f xml:space="preserve">
IF($A$4&lt;=12,SUMIFS('ON Data'!O:O,'ON Data'!$D:$D,$A$4,'ON Data'!$E:$E,9),SUMIFS('ON Data'!O:O,'ON Data'!$E:$E,9))</f>
        <v>76229</v>
      </c>
      <c r="K19" s="272">
        <f xml:space="preserve">
IF($A$4&lt;=12,SUMIFS('ON Data'!P:P,'ON Data'!$D:$D,$A$4,'ON Data'!$E:$E,9),SUMIFS('ON Data'!P:P,'ON Data'!$E:$E,9))</f>
        <v>0</v>
      </c>
      <c r="L19" s="272">
        <f xml:space="preserve">
IF($A$4&lt;=12,SUMIFS('ON Data'!Q:Q,'ON Data'!$D:$D,$A$4,'ON Data'!$E:$E,9),SUMIFS('ON Data'!Q:Q,'ON Data'!$E:$E,9))</f>
        <v>0</v>
      </c>
      <c r="M19" s="272">
        <f xml:space="preserve">
IF($A$4&lt;=12,SUMIFS('ON Data'!R:R,'ON Data'!$D:$D,$A$4,'ON Data'!$E:$E,9),SUMIFS('ON Data'!R:R,'ON Data'!$E:$E,9))</f>
        <v>0</v>
      </c>
      <c r="N19" s="272">
        <f xml:space="preserve">
IF($A$4&lt;=12,SUMIFS('ON Data'!S:S,'ON Data'!$D:$D,$A$4,'ON Data'!$E:$E,9),SUMIFS('ON Data'!S:S,'ON Data'!$E:$E,9))</f>
        <v>0</v>
      </c>
      <c r="O19" s="272">
        <f xml:space="preserve">
IF($A$4&lt;=12,SUMIFS('ON Data'!T:T,'ON Data'!$D:$D,$A$4,'ON Data'!$E:$E,9),SUMIFS('ON Data'!T:T,'ON Data'!$E:$E,9))</f>
        <v>0</v>
      </c>
      <c r="P19" s="272">
        <f xml:space="preserve">
IF($A$4&lt;=12,SUMIFS('ON Data'!U:U,'ON Data'!$D:$D,$A$4,'ON Data'!$E:$E,9),SUMIFS('ON Data'!U:U,'ON Data'!$E:$E,9))</f>
        <v>0</v>
      </c>
      <c r="Q19" s="272">
        <f xml:space="preserve">
IF($A$4&lt;=12,SUMIFS('ON Data'!V:V,'ON Data'!$D:$D,$A$4,'ON Data'!$E:$E,9),SUMIFS('ON Data'!V:V,'ON Data'!$E:$E,9))</f>
        <v>0</v>
      </c>
      <c r="R19" s="272">
        <f xml:space="preserve">
IF($A$4&lt;=12,SUMIFS('ON Data'!W:W,'ON Data'!$D:$D,$A$4,'ON Data'!$E:$E,9),SUMIFS('ON Data'!W:W,'ON Data'!$E:$E,9))</f>
        <v>0</v>
      </c>
      <c r="S19" s="272">
        <f xml:space="preserve">
IF($A$4&lt;=12,SUMIFS('ON Data'!X:X,'ON Data'!$D:$D,$A$4,'ON Data'!$E:$E,9),SUMIFS('ON Data'!X:X,'ON Data'!$E:$E,9))</f>
        <v>0</v>
      </c>
      <c r="T19" s="272">
        <f xml:space="preserve">
IF($A$4&lt;=12,SUMIFS('ON Data'!Y:Y,'ON Data'!$D:$D,$A$4,'ON Data'!$E:$E,9),SUMIFS('ON Data'!Y:Y,'ON Data'!$E:$E,9))</f>
        <v>0</v>
      </c>
      <c r="U19" s="272">
        <f xml:space="preserve">
IF($A$4&lt;=12,SUMIFS('ON Data'!Z:Z,'ON Data'!$D:$D,$A$4,'ON Data'!$E:$E,9),SUMIFS('ON Data'!Z:Z,'ON Data'!$E:$E,9))</f>
        <v>0</v>
      </c>
      <c r="V19" s="272">
        <f xml:space="preserve">
IF($A$4&lt;=12,SUMIFS('ON Data'!AA:AA,'ON Data'!$D:$D,$A$4,'ON Data'!$E:$E,9),SUMIFS('ON Data'!AA:AA,'ON Data'!$E:$E,9))</f>
        <v>171880</v>
      </c>
      <c r="W19" s="272">
        <f xml:space="preserve">
IF($A$4&lt;=12,SUMIFS('ON Data'!AB:AB,'ON Data'!$D:$D,$A$4,'ON Data'!$E:$E,9),SUMIFS('ON Data'!AB:AB,'ON Data'!$E:$E,9))</f>
        <v>0</v>
      </c>
      <c r="X19" s="272">
        <f xml:space="preserve">
IF($A$4&lt;=12,SUMIFS('ON Data'!AC:AC,'ON Data'!$D:$D,$A$4,'ON Data'!$E:$E,9),SUMIFS('ON Data'!AC:AC,'ON Data'!$E:$E,9))</f>
        <v>0</v>
      </c>
      <c r="Y19" s="272">
        <f xml:space="preserve">
IF($A$4&lt;=12,SUMIFS('ON Data'!AD:AD,'ON Data'!$D:$D,$A$4,'ON Data'!$E:$E,9),SUMIFS('ON Data'!AD:AD,'ON Data'!$E:$E,9))</f>
        <v>0</v>
      </c>
      <c r="Z19" s="272">
        <f xml:space="preserve">
IF($A$4&lt;=12,SUMIFS('ON Data'!AE:AE,'ON Data'!$D:$D,$A$4,'ON Data'!$E:$E,9),SUMIFS('ON Data'!AE:AE,'ON Data'!$E:$E,9))</f>
        <v>0</v>
      </c>
      <c r="AA19" s="272">
        <f xml:space="preserve">
IF($A$4&lt;=12,SUMIFS('ON Data'!AF:AF,'ON Data'!$D:$D,$A$4,'ON Data'!$E:$E,9),SUMIFS('ON Data'!AF:AF,'ON Data'!$E:$E,9))</f>
        <v>0</v>
      </c>
      <c r="AB19" s="272">
        <f xml:space="preserve">
IF($A$4&lt;=12,SUMIFS('ON Data'!AG:AG,'ON Data'!$D:$D,$A$4,'ON Data'!$E:$E,9),SUMIFS('ON Data'!AG:AG,'ON Data'!$E:$E,9))</f>
        <v>0</v>
      </c>
      <c r="AC19" s="272">
        <f xml:space="preserve">
IF($A$4&lt;=12,SUMIFS('ON Data'!AH:AH,'ON Data'!$D:$D,$A$4,'ON Data'!$E:$E,9),SUMIFS('ON Data'!AH:AH,'ON Data'!$E:$E,9))</f>
        <v>0</v>
      </c>
      <c r="AD19" s="272">
        <f xml:space="preserve">
IF($A$4&lt;=12,SUMIFS('ON Data'!AI:AI,'ON Data'!$D:$D,$A$4,'ON Data'!$E:$E,9),SUMIFS('ON Data'!AI:AI,'ON Data'!$E:$E,9))</f>
        <v>5318</v>
      </c>
      <c r="AE19" s="272">
        <f xml:space="preserve">
IF($A$4&lt;=12,SUMIFS('ON Data'!AJ:AJ,'ON Data'!$D:$D,$A$4,'ON Data'!$E:$E,9),SUMIFS('ON Data'!AJ:AJ,'ON Data'!$E:$E,9))</f>
        <v>0</v>
      </c>
      <c r="AF19" s="272">
        <f xml:space="preserve">
IF($A$4&lt;=12,SUMIFS('ON Data'!AK:AK,'ON Data'!$D:$D,$A$4,'ON Data'!$E:$E,9),SUMIFS('ON Data'!AK:AK,'ON Data'!$E:$E,9))</f>
        <v>0</v>
      </c>
      <c r="AG19" s="272">
        <f xml:space="preserve">
IF($A$4&lt;=12,SUMIFS('ON Data'!AL:AL,'ON Data'!$D:$D,$A$4,'ON Data'!$E:$E,9),SUMIFS('ON Data'!AL:AL,'ON Data'!$E:$E,9))</f>
        <v>0</v>
      </c>
      <c r="AH19" s="587">
        <f xml:space="preserve">
IF($A$4&lt;=12,SUMIFS('ON Data'!AN:AN,'ON Data'!$D:$D,$A$4,'ON Data'!$E:$E,9),SUMIFS('ON Data'!AN:AN,'ON Data'!$E:$E,9))</f>
        <v>18456</v>
      </c>
      <c r="AI19" s="594"/>
    </row>
    <row r="20" spans="1:35" ht="15" collapsed="1" thickBot="1" x14ac:dyDescent="0.35">
      <c r="A20" s="248" t="s">
        <v>73</v>
      </c>
      <c r="B20" s="273">
        <f xml:space="preserve">
IF($A$4&lt;=12,SUMIFS('ON Data'!F:F,'ON Data'!$D:$D,$A$4,'ON Data'!$E:$E,6),SUMIFS('ON Data'!F:F,'ON Data'!$E:$E,6))</f>
        <v>7660799</v>
      </c>
      <c r="C20" s="274">
        <f xml:space="preserve">
IF($A$4&lt;=12,SUMIFS('ON Data'!G:G,'ON Data'!$D:$D,$A$4,'ON Data'!$E:$E,6),SUMIFS('ON Data'!G:G,'ON Data'!$E:$E,6))</f>
        <v>40000</v>
      </c>
      <c r="D20" s="275">
        <f xml:space="preserve">
IF($A$4&lt;=12,SUMIFS('ON Data'!H:H,'ON Data'!$D:$D,$A$4,'ON Data'!$E:$E,6),SUMIFS('ON Data'!H:H,'ON Data'!$E:$E,6))</f>
        <v>2045273</v>
      </c>
      <c r="E20" s="275">
        <f xml:space="preserve">
IF($A$4&lt;=12,SUMIFS('ON Data'!I:I,'ON Data'!$D:$D,$A$4,'ON Data'!$E:$E,6),SUMIFS('ON Data'!I:I,'ON Data'!$E:$E,6))</f>
        <v>0</v>
      </c>
      <c r="F20" s="275">
        <f xml:space="preserve">
IF($A$4&lt;=12,SUMIFS('ON Data'!K:K,'ON Data'!$D:$D,$A$4,'ON Data'!$E:$E,6),SUMIFS('ON Data'!K:K,'ON Data'!$E:$E,6))</f>
        <v>828194</v>
      </c>
      <c r="G20" s="275">
        <f xml:space="preserve">
IF($A$4&lt;=12,SUMIFS('ON Data'!L:L,'ON Data'!$D:$D,$A$4,'ON Data'!$E:$E,6),SUMIFS('ON Data'!L:L,'ON Data'!$E:$E,6))</f>
        <v>0</v>
      </c>
      <c r="H20" s="275">
        <f xml:space="preserve">
IF($A$4&lt;=12,SUMIFS('ON Data'!M:M,'ON Data'!$D:$D,$A$4,'ON Data'!$E:$E,6),SUMIFS('ON Data'!M:M,'ON Data'!$E:$E,6))</f>
        <v>0</v>
      </c>
      <c r="I20" s="275">
        <f xml:space="preserve">
IF($A$4&lt;=12,SUMIFS('ON Data'!N:N,'ON Data'!$D:$D,$A$4,'ON Data'!$E:$E,6),SUMIFS('ON Data'!N:N,'ON Data'!$E:$E,6))</f>
        <v>0</v>
      </c>
      <c r="J20" s="275">
        <f xml:space="preserve">
IF($A$4&lt;=12,SUMIFS('ON Data'!O:O,'ON Data'!$D:$D,$A$4,'ON Data'!$E:$E,6),SUMIFS('ON Data'!O:O,'ON Data'!$E:$E,6))</f>
        <v>1329798</v>
      </c>
      <c r="K20" s="275">
        <f xml:space="preserve">
IF($A$4&lt;=12,SUMIFS('ON Data'!P:P,'ON Data'!$D:$D,$A$4,'ON Data'!$E:$E,6),SUMIFS('ON Data'!P:P,'ON Data'!$E:$E,6))</f>
        <v>0</v>
      </c>
      <c r="L20" s="275">
        <f xml:space="preserve">
IF($A$4&lt;=12,SUMIFS('ON Data'!Q:Q,'ON Data'!$D:$D,$A$4,'ON Data'!$E:$E,6),SUMIFS('ON Data'!Q:Q,'ON Data'!$E:$E,6))</f>
        <v>0</v>
      </c>
      <c r="M20" s="275">
        <f xml:space="preserve">
IF($A$4&lt;=12,SUMIFS('ON Data'!R:R,'ON Data'!$D:$D,$A$4,'ON Data'!$E:$E,6),SUMIFS('ON Data'!R:R,'ON Data'!$E:$E,6))</f>
        <v>0</v>
      </c>
      <c r="N20" s="275">
        <f xml:space="preserve">
IF($A$4&lt;=12,SUMIFS('ON Data'!S:S,'ON Data'!$D:$D,$A$4,'ON Data'!$E:$E,6),SUMIFS('ON Data'!S:S,'ON Data'!$E:$E,6))</f>
        <v>0</v>
      </c>
      <c r="O20" s="275">
        <f xml:space="preserve">
IF($A$4&lt;=12,SUMIFS('ON Data'!T:T,'ON Data'!$D:$D,$A$4,'ON Data'!$E:$E,6),SUMIFS('ON Data'!T:T,'ON Data'!$E:$E,6))</f>
        <v>0</v>
      </c>
      <c r="P20" s="275">
        <f xml:space="preserve">
IF($A$4&lt;=12,SUMIFS('ON Data'!U:U,'ON Data'!$D:$D,$A$4,'ON Data'!$E:$E,6),SUMIFS('ON Data'!U:U,'ON Data'!$E:$E,6))</f>
        <v>0</v>
      </c>
      <c r="Q20" s="275">
        <f xml:space="preserve">
IF($A$4&lt;=12,SUMIFS('ON Data'!V:V,'ON Data'!$D:$D,$A$4,'ON Data'!$E:$E,6),SUMIFS('ON Data'!V:V,'ON Data'!$E:$E,6))</f>
        <v>0</v>
      </c>
      <c r="R20" s="275">
        <f xml:space="preserve">
IF($A$4&lt;=12,SUMIFS('ON Data'!W:W,'ON Data'!$D:$D,$A$4,'ON Data'!$E:$E,6),SUMIFS('ON Data'!W:W,'ON Data'!$E:$E,6))</f>
        <v>0</v>
      </c>
      <c r="S20" s="275">
        <f xml:space="preserve">
IF($A$4&lt;=12,SUMIFS('ON Data'!X:X,'ON Data'!$D:$D,$A$4,'ON Data'!$E:$E,6),SUMIFS('ON Data'!X:X,'ON Data'!$E:$E,6))</f>
        <v>0</v>
      </c>
      <c r="T20" s="275">
        <f xml:space="preserve">
IF($A$4&lt;=12,SUMIFS('ON Data'!Y:Y,'ON Data'!$D:$D,$A$4,'ON Data'!$E:$E,6),SUMIFS('ON Data'!Y:Y,'ON Data'!$E:$E,6))</f>
        <v>0</v>
      </c>
      <c r="U20" s="275">
        <f xml:space="preserve">
IF($A$4&lt;=12,SUMIFS('ON Data'!Z:Z,'ON Data'!$D:$D,$A$4,'ON Data'!$E:$E,6),SUMIFS('ON Data'!Z:Z,'ON Data'!$E:$E,6))</f>
        <v>0</v>
      </c>
      <c r="V20" s="275">
        <f xml:space="preserve">
IF($A$4&lt;=12,SUMIFS('ON Data'!AA:AA,'ON Data'!$D:$D,$A$4,'ON Data'!$E:$E,6),SUMIFS('ON Data'!AA:AA,'ON Data'!$E:$E,6))</f>
        <v>2931030</v>
      </c>
      <c r="W20" s="275">
        <f xml:space="preserve">
IF($A$4&lt;=12,SUMIFS('ON Data'!AB:AB,'ON Data'!$D:$D,$A$4,'ON Data'!$E:$E,6),SUMIFS('ON Data'!AB:AB,'ON Data'!$E:$E,6))</f>
        <v>0</v>
      </c>
      <c r="X20" s="275">
        <f xml:space="preserve">
IF($A$4&lt;=12,SUMIFS('ON Data'!AC:AC,'ON Data'!$D:$D,$A$4,'ON Data'!$E:$E,6),SUMIFS('ON Data'!AC:AC,'ON Data'!$E:$E,6))</f>
        <v>0</v>
      </c>
      <c r="Y20" s="275">
        <f xml:space="preserve">
IF($A$4&lt;=12,SUMIFS('ON Data'!AD:AD,'ON Data'!$D:$D,$A$4,'ON Data'!$E:$E,6),SUMIFS('ON Data'!AD:AD,'ON Data'!$E:$E,6))</f>
        <v>0</v>
      </c>
      <c r="Z20" s="275">
        <f xml:space="preserve">
IF($A$4&lt;=12,SUMIFS('ON Data'!AE:AE,'ON Data'!$D:$D,$A$4,'ON Data'!$E:$E,6),SUMIFS('ON Data'!AE:AE,'ON Data'!$E:$E,6))</f>
        <v>0</v>
      </c>
      <c r="AA20" s="275">
        <f xml:space="preserve">
IF($A$4&lt;=12,SUMIFS('ON Data'!AF:AF,'ON Data'!$D:$D,$A$4,'ON Data'!$E:$E,6),SUMIFS('ON Data'!AF:AF,'ON Data'!$E:$E,6))</f>
        <v>0</v>
      </c>
      <c r="AB20" s="275">
        <f xml:space="preserve">
IF($A$4&lt;=12,SUMIFS('ON Data'!AG:AG,'ON Data'!$D:$D,$A$4,'ON Data'!$E:$E,6),SUMIFS('ON Data'!AG:AG,'ON Data'!$E:$E,6))</f>
        <v>0</v>
      </c>
      <c r="AC20" s="275">
        <f xml:space="preserve">
IF($A$4&lt;=12,SUMIFS('ON Data'!AH:AH,'ON Data'!$D:$D,$A$4,'ON Data'!$E:$E,6),SUMIFS('ON Data'!AH:AH,'ON Data'!$E:$E,6))</f>
        <v>0</v>
      </c>
      <c r="AD20" s="275">
        <f xml:space="preserve">
IF($A$4&lt;=12,SUMIFS('ON Data'!AI:AI,'ON Data'!$D:$D,$A$4,'ON Data'!$E:$E,6),SUMIFS('ON Data'!AI:AI,'ON Data'!$E:$E,6))</f>
        <v>116684</v>
      </c>
      <c r="AE20" s="275">
        <f xml:space="preserve">
IF($A$4&lt;=12,SUMIFS('ON Data'!AJ:AJ,'ON Data'!$D:$D,$A$4,'ON Data'!$E:$E,6),SUMIFS('ON Data'!AJ:AJ,'ON Data'!$E:$E,6))</f>
        <v>0</v>
      </c>
      <c r="AF20" s="275">
        <f xml:space="preserve">
IF($A$4&lt;=12,SUMIFS('ON Data'!AK:AK,'ON Data'!$D:$D,$A$4,'ON Data'!$E:$E,6),SUMIFS('ON Data'!AK:AK,'ON Data'!$E:$E,6))</f>
        <v>0</v>
      </c>
      <c r="AG20" s="275">
        <f xml:space="preserve">
IF($A$4&lt;=12,SUMIFS('ON Data'!AL:AL,'ON Data'!$D:$D,$A$4,'ON Data'!$E:$E,6),SUMIFS('ON Data'!AL:AL,'ON Data'!$E:$E,6))</f>
        <v>0</v>
      </c>
      <c r="AH20" s="588">
        <f xml:space="preserve">
IF($A$4&lt;=12,SUMIFS('ON Data'!AN:AN,'ON Data'!$D:$D,$A$4,'ON Data'!$E:$E,6),SUMIFS('ON Data'!AN:AN,'ON Data'!$E:$E,6))</f>
        <v>369820</v>
      </c>
      <c r="AI20" s="594"/>
    </row>
    <row r="21" spans="1:35" ht="15" hidden="1" outlineLevel="1" thickBot="1" x14ac:dyDescent="0.35">
      <c r="A21" s="241" t="s">
        <v>107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Data'!G:G,'ON Data'!$D:$D,$A$4,'ON Data'!$E:$E,12),SUMIFS('ON Data'!G:G,'ON Data'!$E:$E,12))</f>
        <v>0</v>
      </c>
      <c r="D21" s="263">
        <f xml:space="preserve">
IF($A$4&lt;=12,SUMIFS('ON Data'!H:H,'ON Data'!$D:$D,$A$4,'ON Data'!$E:$E,12),SUMIFS('ON Data'!H:H,'ON Data'!$E:$E,12))</f>
        <v>0</v>
      </c>
      <c r="E21" s="263">
        <f xml:space="preserve">
IF($A$4&lt;=12,SUMIFS('ON Data'!I:I,'ON Data'!$D:$D,$A$4,'ON Data'!$E:$E,12),SUMIFS('ON Data'!I:I,'ON Data'!$E:$E,12))</f>
        <v>0</v>
      </c>
      <c r="F21" s="263">
        <f xml:space="preserve">
IF($A$4&lt;=12,SUMIFS('ON Data'!K:K,'ON Data'!$D:$D,$A$4,'ON Data'!$E:$E,12),SUMIFS('ON Data'!K:K,'ON Data'!$E:$E,12))</f>
        <v>0</v>
      </c>
      <c r="G21" s="263">
        <f xml:space="preserve">
IF($A$4&lt;=12,SUMIFS('ON Data'!L:L,'ON Data'!$D:$D,$A$4,'ON Data'!$E:$E,12),SUMIFS('ON Data'!L:L,'ON Data'!$E:$E,12))</f>
        <v>0</v>
      </c>
      <c r="H21" s="263">
        <f xml:space="preserve">
IF($A$4&lt;=12,SUMIFS('ON Data'!M:M,'ON Data'!$D:$D,$A$4,'ON Data'!$E:$E,12),SUMIFS('ON Data'!M:M,'ON Data'!$E:$E,12))</f>
        <v>0</v>
      </c>
      <c r="I21" s="263">
        <f xml:space="preserve">
IF($A$4&lt;=12,SUMIFS('ON Data'!N:N,'ON Data'!$D:$D,$A$4,'ON Data'!$E:$E,12),SUMIFS('ON Data'!N:N,'ON Data'!$E:$E,12))</f>
        <v>0</v>
      </c>
      <c r="J21" s="263">
        <f xml:space="preserve">
IF($A$4&lt;=12,SUMIFS('ON Data'!O:O,'ON Data'!$D:$D,$A$4,'ON Data'!$E:$E,12),SUMIFS('ON Data'!O:O,'ON Data'!$E:$E,12))</f>
        <v>0</v>
      </c>
      <c r="K21" s="263">
        <f xml:space="preserve">
IF($A$4&lt;=12,SUMIFS('ON Data'!P:P,'ON Data'!$D:$D,$A$4,'ON Data'!$E:$E,12),SUMIFS('ON Data'!P:P,'ON Data'!$E:$E,12))</f>
        <v>0</v>
      </c>
      <c r="L21" s="263">
        <f xml:space="preserve">
IF($A$4&lt;=12,SUMIFS('ON Data'!Q:Q,'ON Data'!$D:$D,$A$4,'ON Data'!$E:$E,12),SUMIFS('ON Data'!Q:Q,'ON Data'!$E:$E,12))</f>
        <v>0</v>
      </c>
      <c r="M21" s="263">
        <f xml:space="preserve">
IF($A$4&lt;=12,SUMIFS('ON Data'!R:R,'ON Data'!$D:$D,$A$4,'ON Data'!$E:$E,12),SUMIFS('ON Data'!R:R,'ON Data'!$E:$E,12))</f>
        <v>0</v>
      </c>
      <c r="N21" s="263">
        <f xml:space="preserve">
IF($A$4&lt;=12,SUMIFS('ON Data'!S:S,'ON Data'!$D:$D,$A$4,'ON Data'!$E:$E,12),SUMIFS('ON Data'!S:S,'ON Data'!$E:$E,12))</f>
        <v>0</v>
      </c>
      <c r="O21" s="263">
        <f xml:space="preserve">
IF($A$4&lt;=12,SUMIFS('ON Data'!T:T,'ON Data'!$D:$D,$A$4,'ON Data'!$E:$E,12),SUMIFS('ON Data'!T:T,'ON Data'!$E:$E,12))</f>
        <v>0</v>
      </c>
      <c r="P21" s="263">
        <f xml:space="preserve">
IF($A$4&lt;=12,SUMIFS('ON Data'!U:U,'ON Data'!$D:$D,$A$4,'ON Data'!$E:$E,12),SUMIFS('ON Data'!U:U,'ON Data'!$E:$E,12))</f>
        <v>0</v>
      </c>
      <c r="Q21" s="263">
        <f xml:space="preserve">
IF($A$4&lt;=12,SUMIFS('ON Data'!V:V,'ON Data'!$D:$D,$A$4,'ON Data'!$E:$E,12),SUMIFS('ON Data'!V:V,'ON Data'!$E:$E,12))</f>
        <v>0</v>
      </c>
      <c r="R21" s="263">
        <f xml:space="preserve">
IF($A$4&lt;=12,SUMIFS('ON Data'!W:W,'ON Data'!$D:$D,$A$4,'ON Data'!$E:$E,12),SUMIFS('ON Data'!W:W,'ON Data'!$E:$E,12))</f>
        <v>0</v>
      </c>
      <c r="S21" s="263">
        <f xml:space="preserve">
IF($A$4&lt;=12,SUMIFS('ON Data'!X:X,'ON Data'!$D:$D,$A$4,'ON Data'!$E:$E,12),SUMIFS('ON Data'!X:X,'ON Data'!$E:$E,12))</f>
        <v>0</v>
      </c>
      <c r="T21" s="263">
        <f xml:space="preserve">
IF($A$4&lt;=12,SUMIFS('ON Data'!Y:Y,'ON Data'!$D:$D,$A$4,'ON Data'!$E:$E,12),SUMIFS('ON Data'!Y:Y,'ON Data'!$E:$E,12))</f>
        <v>0</v>
      </c>
      <c r="U21" s="263">
        <f xml:space="preserve">
IF($A$4&lt;=12,SUMIFS('ON Data'!Z:Z,'ON Data'!$D:$D,$A$4,'ON Data'!$E:$E,12),SUMIFS('ON Data'!Z:Z,'ON Data'!$E:$E,12))</f>
        <v>0</v>
      </c>
      <c r="V21" s="263">
        <f xml:space="preserve">
IF($A$4&lt;=12,SUMIFS('ON Data'!AA:AA,'ON Data'!$D:$D,$A$4,'ON Data'!$E:$E,12),SUMIFS('ON Data'!AA:AA,'ON Data'!$E:$E,12))</f>
        <v>0</v>
      </c>
      <c r="W21" s="263">
        <f xml:space="preserve">
IF($A$4&lt;=12,SUMIFS('ON Data'!AB:AB,'ON Data'!$D:$D,$A$4,'ON Data'!$E:$E,12),SUMIFS('ON Data'!AB:AB,'ON Data'!$E:$E,12))</f>
        <v>0</v>
      </c>
      <c r="X21" s="263">
        <f xml:space="preserve">
IF($A$4&lt;=12,SUMIFS('ON Data'!AC:AC,'ON Data'!$D:$D,$A$4,'ON Data'!$E:$E,12),SUMIFS('ON Data'!AC:AC,'ON Data'!$E:$E,12))</f>
        <v>0</v>
      </c>
      <c r="Y21" s="263">
        <f xml:space="preserve">
IF($A$4&lt;=12,SUMIFS('ON Data'!AD:AD,'ON Data'!$D:$D,$A$4,'ON Data'!$E:$E,12),SUMIFS('ON Data'!AD:AD,'ON Data'!$E:$E,12))</f>
        <v>0</v>
      </c>
      <c r="Z21" s="263">
        <f xml:space="preserve">
IF($A$4&lt;=12,SUMIFS('ON Data'!AE:AE,'ON Data'!$D:$D,$A$4,'ON Data'!$E:$E,12),SUMIFS('ON Data'!AE:AE,'ON Data'!$E:$E,12))</f>
        <v>0</v>
      </c>
      <c r="AA21" s="263">
        <f xml:space="preserve">
IF($A$4&lt;=12,SUMIFS('ON Data'!AF:AF,'ON Data'!$D:$D,$A$4,'ON Data'!$E:$E,12),SUMIFS('ON Data'!AF:AF,'ON Data'!$E:$E,12))</f>
        <v>0</v>
      </c>
      <c r="AB21" s="263">
        <f xml:space="preserve">
IF($A$4&lt;=12,SUMIFS('ON Data'!AG:AG,'ON Data'!$D:$D,$A$4,'ON Data'!$E:$E,12),SUMIFS('ON Data'!AG:AG,'ON Data'!$E:$E,12))</f>
        <v>0</v>
      </c>
      <c r="AC21" s="263">
        <f xml:space="preserve">
IF($A$4&lt;=12,SUMIFS('ON Data'!AH:AH,'ON Data'!$D:$D,$A$4,'ON Data'!$E:$E,12),SUMIFS('ON Data'!AH:AH,'ON Data'!$E:$E,12))</f>
        <v>0</v>
      </c>
      <c r="AD21" s="263">
        <f xml:space="preserve">
IF($A$4&lt;=12,SUMIFS('ON Data'!AI:AI,'ON Data'!$D:$D,$A$4,'ON Data'!$E:$E,12),SUMIFS('ON Data'!AI:AI,'ON Data'!$E:$E,12))</f>
        <v>0</v>
      </c>
      <c r="AE21" s="263">
        <f xml:space="preserve">
IF($A$4&lt;=12,SUMIFS('ON Data'!AJ:AJ,'ON Data'!$D:$D,$A$4,'ON Data'!$E:$E,12),SUMIFS('ON Data'!AJ:AJ,'ON Data'!$E:$E,12))</f>
        <v>0</v>
      </c>
      <c r="AF21" s="263">
        <f xml:space="preserve">
IF($A$4&lt;=12,SUMIFS('ON Data'!AK:AK,'ON Data'!$D:$D,$A$4,'ON Data'!$E:$E,12),SUMIFS('ON Data'!AK:AK,'ON Data'!$E:$E,12))</f>
        <v>0</v>
      </c>
      <c r="AG21" s="263">
        <f xml:space="preserve">
IF($A$4&lt;=12,SUMIFS('ON Data'!AL:AL,'ON Data'!$D:$D,$A$4,'ON Data'!$E:$E,12),SUMIFS('ON Data'!AL:AL,'ON Data'!$E:$E,12))</f>
        <v>0</v>
      </c>
      <c r="AH21" s="584">
        <f xml:space="preserve">
IF($A$4&lt;=12,SUMIFS('ON Data'!AN:AN,'ON Data'!$D:$D,$A$4,'ON Data'!$E:$E,12),SUMIFS('ON Data'!AN:AN,'ON Data'!$E:$E,12))</f>
        <v>0</v>
      </c>
      <c r="AI21" s="594"/>
    </row>
    <row r="22" spans="1:35" ht="15" hidden="1" outlineLevel="1" thickBot="1" x14ac:dyDescent="0.35">
      <c r="A22" s="241" t="s">
        <v>75</v>
      </c>
      <c r="B22" s="317" t="str">
        <f xml:space="preserve">
IF(OR(B21="",B21=0),"",B20/B21)</f>
        <v/>
      </c>
      <c r="C22" s="318" t="str">
        <f t="shared" ref="C22:G22" si="2" xml:space="preserve">
IF(OR(C21="",C21=0),"",C20/C21)</f>
        <v/>
      </c>
      <c r="D22" s="319" t="str">
        <f t="shared" si="2"/>
        <v/>
      </c>
      <c r="E22" s="319" t="str">
        <f t="shared" si="2"/>
        <v/>
      </c>
      <c r="F22" s="319" t="str">
        <f t="shared" si="2"/>
        <v/>
      </c>
      <c r="G22" s="319" t="str">
        <f t="shared" si="2"/>
        <v/>
      </c>
      <c r="H22" s="319" t="str">
        <f t="shared" ref="H22:AH22" si="3" xml:space="preserve">
IF(OR(H21="",H21=0),"",H20/H21)</f>
        <v/>
      </c>
      <c r="I22" s="319" t="str">
        <f t="shared" si="3"/>
        <v/>
      </c>
      <c r="J22" s="319" t="str">
        <f t="shared" si="3"/>
        <v/>
      </c>
      <c r="K22" s="319" t="str">
        <f t="shared" si="3"/>
        <v/>
      </c>
      <c r="L22" s="319" t="str">
        <f t="shared" si="3"/>
        <v/>
      </c>
      <c r="M22" s="319" t="str">
        <f t="shared" si="3"/>
        <v/>
      </c>
      <c r="N22" s="319" t="str">
        <f t="shared" si="3"/>
        <v/>
      </c>
      <c r="O22" s="319" t="str">
        <f t="shared" si="3"/>
        <v/>
      </c>
      <c r="P22" s="319" t="str">
        <f t="shared" si="3"/>
        <v/>
      </c>
      <c r="Q22" s="319" t="str">
        <f t="shared" si="3"/>
        <v/>
      </c>
      <c r="R22" s="319" t="str">
        <f t="shared" si="3"/>
        <v/>
      </c>
      <c r="S22" s="319" t="str">
        <f t="shared" si="3"/>
        <v/>
      </c>
      <c r="T22" s="319" t="str">
        <f t="shared" si="3"/>
        <v/>
      </c>
      <c r="U22" s="319" t="str">
        <f t="shared" si="3"/>
        <v/>
      </c>
      <c r="V22" s="319" t="str">
        <f t="shared" si="3"/>
        <v/>
      </c>
      <c r="W22" s="319" t="str">
        <f t="shared" si="3"/>
        <v/>
      </c>
      <c r="X22" s="319" t="str">
        <f t="shared" si="3"/>
        <v/>
      </c>
      <c r="Y22" s="319" t="str">
        <f t="shared" si="3"/>
        <v/>
      </c>
      <c r="Z22" s="319" t="str">
        <f t="shared" si="3"/>
        <v/>
      </c>
      <c r="AA22" s="319" t="str">
        <f t="shared" si="3"/>
        <v/>
      </c>
      <c r="AB22" s="319" t="str">
        <f t="shared" si="3"/>
        <v/>
      </c>
      <c r="AC22" s="319" t="str">
        <f t="shared" si="3"/>
        <v/>
      </c>
      <c r="AD22" s="319" t="str">
        <f t="shared" si="3"/>
        <v/>
      </c>
      <c r="AE22" s="319" t="str">
        <f t="shared" si="3"/>
        <v/>
      </c>
      <c r="AF22" s="319" t="str">
        <f t="shared" si="3"/>
        <v/>
      </c>
      <c r="AG22" s="319" t="str">
        <f t="shared" si="3"/>
        <v/>
      </c>
      <c r="AH22" s="589" t="str">
        <f t="shared" si="3"/>
        <v/>
      </c>
      <c r="AI22" s="594"/>
    </row>
    <row r="23" spans="1:35" ht="15" hidden="1" outlineLevel="1" thickBot="1" x14ac:dyDescent="0.35">
      <c r="A23" s="249" t="s">
        <v>68</v>
      </c>
      <c r="B23" s="264">
        <f xml:space="preserve">
IF(B21="","",B20-B21)</f>
        <v>7660799</v>
      </c>
      <c r="C23" s="265">
        <f t="shared" ref="C23:G23" si="4" xml:space="preserve">
IF(C21="","",C20-C21)</f>
        <v>40000</v>
      </c>
      <c r="D23" s="266">
        <f t="shared" si="4"/>
        <v>2045273</v>
      </c>
      <c r="E23" s="266">
        <f t="shared" si="4"/>
        <v>0</v>
      </c>
      <c r="F23" s="266">
        <f t="shared" si="4"/>
        <v>828194</v>
      </c>
      <c r="G23" s="266">
        <f t="shared" si="4"/>
        <v>0</v>
      </c>
      <c r="H23" s="266">
        <f t="shared" ref="H23:AH23" si="5" xml:space="preserve">
IF(H21="","",H20-H21)</f>
        <v>0</v>
      </c>
      <c r="I23" s="266">
        <f t="shared" si="5"/>
        <v>0</v>
      </c>
      <c r="J23" s="266">
        <f t="shared" si="5"/>
        <v>1329798</v>
      </c>
      <c r="K23" s="266">
        <f t="shared" si="5"/>
        <v>0</v>
      </c>
      <c r="L23" s="266">
        <f t="shared" si="5"/>
        <v>0</v>
      </c>
      <c r="M23" s="266">
        <f t="shared" si="5"/>
        <v>0</v>
      </c>
      <c r="N23" s="266">
        <f t="shared" si="5"/>
        <v>0</v>
      </c>
      <c r="O23" s="266">
        <f t="shared" si="5"/>
        <v>0</v>
      </c>
      <c r="P23" s="266">
        <f t="shared" si="5"/>
        <v>0</v>
      </c>
      <c r="Q23" s="266">
        <f t="shared" si="5"/>
        <v>0</v>
      </c>
      <c r="R23" s="266">
        <f t="shared" si="5"/>
        <v>0</v>
      </c>
      <c r="S23" s="266">
        <f t="shared" si="5"/>
        <v>0</v>
      </c>
      <c r="T23" s="266">
        <f t="shared" si="5"/>
        <v>0</v>
      </c>
      <c r="U23" s="266">
        <f t="shared" si="5"/>
        <v>0</v>
      </c>
      <c r="V23" s="266">
        <f t="shared" si="5"/>
        <v>2931030</v>
      </c>
      <c r="W23" s="266">
        <f t="shared" si="5"/>
        <v>0</v>
      </c>
      <c r="X23" s="266">
        <f t="shared" si="5"/>
        <v>0</v>
      </c>
      <c r="Y23" s="266">
        <f t="shared" si="5"/>
        <v>0</v>
      </c>
      <c r="Z23" s="266">
        <f t="shared" si="5"/>
        <v>0</v>
      </c>
      <c r="AA23" s="266">
        <f t="shared" si="5"/>
        <v>0</v>
      </c>
      <c r="AB23" s="266">
        <f t="shared" si="5"/>
        <v>0</v>
      </c>
      <c r="AC23" s="266">
        <f t="shared" si="5"/>
        <v>0</v>
      </c>
      <c r="AD23" s="266">
        <f t="shared" si="5"/>
        <v>116684</v>
      </c>
      <c r="AE23" s="266">
        <f t="shared" si="5"/>
        <v>0</v>
      </c>
      <c r="AF23" s="266">
        <f t="shared" si="5"/>
        <v>0</v>
      </c>
      <c r="AG23" s="266">
        <f t="shared" si="5"/>
        <v>0</v>
      </c>
      <c r="AH23" s="585">
        <f t="shared" si="5"/>
        <v>369820</v>
      </c>
      <c r="AI23" s="594"/>
    </row>
    <row r="24" spans="1:35" x14ac:dyDescent="0.3">
      <c r="A24" s="243" t="s">
        <v>194</v>
      </c>
      <c r="B24" s="290" t="s">
        <v>3</v>
      </c>
      <c r="C24" s="595" t="s">
        <v>205</v>
      </c>
      <c r="D24" s="569"/>
      <c r="E24" s="570"/>
      <c r="F24" s="570" t="s">
        <v>206</v>
      </c>
      <c r="G24" s="570"/>
      <c r="H24" s="570"/>
      <c r="I24" s="570"/>
      <c r="J24" s="570"/>
      <c r="K24" s="570"/>
      <c r="L24" s="570"/>
      <c r="M24" s="570"/>
      <c r="N24" s="570"/>
      <c r="O24" s="570"/>
      <c r="P24" s="570"/>
      <c r="Q24" s="570"/>
      <c r="R24" s="570"/>
      <c r="S24" s="570"/>
      <c r="T24" s="570"/>
      <c r="U24" s="570"/>
      <c r="V24" s="570"/>
      <c r="W24" s="570"/>
      <c r="X24" s="570"/>
      <c r="Y24" s="570"/>
      <c r="Z24" s="570"/>
      <c r="AA24" s="570"/>
      <c r="AB24" s="570"/>
      <c r="AC24" s="570"/>
      <c r="AD24" s="570"/>
      <c r="AE24" s="570"/>
      <c r="AF24" s="570"/>
      <c r="AG24" s="570"/>
      <c r="AH24" s="590" t="s">
        <v>207</v>
      </c>
      <c r="AI24" s="594"/>
    </row>
    <row r="25" spans="1:35" x14ac:dyDescent="0.3">
      <c r="A25" s="244" t="s">
        <v>73</v>
      </c>
      <c r="B25" s="261">
        <f xml:space="preserve">
SUM(C25:AH25)</f>
        <v>39247.630000000005</v>
      </c>
      <c r="C25" s="596">
        <f xml:space="preserve">
IF($A$4&lt;=12,SUMIFS('ON Data'!H:H,'ON Data'!$D:$D,$A$4,'ON Data'!$E:$E,10),SUMIFS('ON Data'!H:H,'ON Data'!$E:$E,10))</f>
        <v>14516.630000000001</v>
      </c>
      <c r="D25" s="571"/>
      <c r="E25" s="572"/>
      <c r="F25" s="572">
        <f xml:space="preserve">
IF($A$4&lt;=12,SUMIFS('ON Data'!K:K,'ON Data'!$D:$D,$A$4,'ON Data'!$E:$E,10),SUMIFS('ON Data'!K:K,'ON Data'!$E:$E,10))</f>
        <v>24731</v>
      </c>
      <c r="G25" s="572"/>
      <c r="H25" s="572"/>
      <c r="I25" s="572"/>
      <c r="J25" s="572"/>
      <c r="K25" s="572"/>
      <c r="L25" s="572"/>
      <c r="M25" s="572"/>
      <c r="N25" s="572"/>
      <c r="O25" s="572"/>
      <c r="P25" s="572"/>
      <c r="Q25" s="572"/>
      <c r="R25" s="572"/>
      <c r="S25" s="572"/>
      <c r="T25" s="572"/>
      <c r="U25" s="572"/>
      <c r="V25" s="572"/>
      <c r="W25" s="572"/>
      <c r="X25" s="572"/>
      <c r="Y25" s="572"/>
      <c r="Z25" s="572"/>
      <c r="AA25" s="572"/>
      <c r="AB25" s="572"/>
      <c r="AC25" s="572"/>
      <c r="AD25" s="572"/>
      <c r="AE25" s="572"/>
      <c r="AF25" s="572"/>
      <c r="AG25" s="572"/>
      <c r="AH25" s="591">
        <f xml:space="preserve">
IF($A$4&lt;=12,SUMIFS('ON Data'!AN:AN,'ON Data'!$D:$D,$A$4,'ON Data'!$E:$E,10),SUMIFS('ON Data'!AN:AN,'ON Data'!$E:$E,10))</f>
        <v>0</v>
      </c>
      <c r="AI25" s="594"/>
    </row>
    <row r="26" spans="1:35" x14ac:dyDescent="0.3">
      <c r="A26" s="250" t="s">
        <v>204</v>
      </c>
      <c r="B26" s="270">
        <f xml:space="preserve">
SUM(C26:AH26)</f>
        <v>51471.462948108841</v>
      </c>
      <c r="C26" s="596">
        <f xml:space="preserve">
IF($A$4&lt;=12,SUMIFS('ON Data'!H:H,'ON Data'!$D:$D,$A$4,'ON Data'!$E:$E,11),SUMIFS('ON Data'!H:H,'ON Data'!$E:$E,11))</f>
        <v>12471.462948108841</v>
      </c>
      <c r="D26" s="571"/>
      <c r="E26" s="572"/>
      <c r="F26" s="573">
        <f xml:space="preserve">
IF($A$4&lt;=12,SUMIFS('ON Data'!K:K,'ON Data'!$D:$D,$A$4,'ON Data'!$E:$E,11),SUMIFS('ON Data'!K:K,'ON Data'!$E:$E,11))</f>
        <v>39000</v>
      </c>
      <c r="G26" s="573"/>
      <c r="H26" s="573"/>
      <c r="I26" s="573"/>
      <c r="J26" s="573"/>
      <c r="K26" s="573"/>
      <c r="L26" s="573"/>
      <c r="M26" s="573"/>
      <c r="N26" s="573"/>
      <c r="O26" s="573"/>
      <c r="P26" s="573"/>
      <c r="Q26" s="573"/>
      <c r="R26" s="573"/>
      <c r="S26" s="573"/>
      <c r="T26" s="573"/>
      <c r="U26" s="573"/>
      <c r="V26" s="573"/>
      <c r="W26" s="573"/>
      <c r="X26" s="573"/>
      <c r="Y26" s="573"/>
      <c r="Z26" s="573"/>
      <c r="AA26" s="573"/>
      <c r="AB26" s="573"/>
      <c r="AC26" s="573"/>
      <c r="AD26" s="573"/>
      <c r="AE26" s="573"/>
      <c r="AF26" s="573"/>
      <c r="AG26" s="573"/>
      <c r="AH26" s="591">
        <f xml:space="preserve">
IF($A$4&lt;=12,SUMIFS('ON Data'!AN:AN,'ON Data'!$D:$D,$A$4,'ON Data'!$E:$E,11),SUMIFS('ON Data'!AN:AN,'ON Data'!$E:$E,11))</f>
        <v>0</v>
      </c>
      <c r="AI26" s="594"/>
    </row>
    <row r="27" spans="1:35" x14ac:dyDescent="0.3">
      <c r="A27" s="250" t="s">
        <v>75</v>
      </c>
      <c r="B27" s="291">
        <f xml:space="preserve">
IF(B26=0,0,B25/B26)</f>
        <v>0.7625124244004422</v>
      </c>
      <c r="C27" s="597">
        <f xml:space="preserve">
IF(C26=0,0,C25/C26)</f>
        <v>1.1639877422881881</v>
      </c>
      <c r="D27" s="574"/>
      <c r="E27" s="575"/>
      <c r="F27" s="575">
        <f xml:space="preserve">
IF(F26=0,0,F25/F26)</f>
        <v>0.63412820512820511</v>
      </c>
      <c r="G27" s="575"/>
      <c r="H27" s="575"/>
      <c r="I27" s="575"/>
      <c r="J27" s="575"/>
      <c r="K27" s="575"/>
      <c r="L27" s="575"/>
      <c r="M27" s="575"/>
      <c r="N27" s="575"/>
      <c r="O27" s="575"/>
      <c r="P27" s="575"/>
      <c r="Q27" s="575"/>
      <c r="R27" s="575"/>
      <c r="S27" s="575"/>
      <c r="T27" s="575"/>
      <c r="U27" s="575"/>
      <c r="V27" s="575"/>
      <c r="W27" s="575"/>
      <c r="X27" s="575"/>
      <c r="Y27" s="575"/>
      <c r="Z27" s="575"/>
      <c r="AA27" s="575"/>
      <c r="AB27" s="575"/>
      <c r="AC27" s="575"/>
      <c r="AD27" s="575"/>
      <c r="AE27" s="575"/>
      <c r="AF27" s="575"/>
      <c r="AG27" s="575"/>
      <c r="AH27" s="592">
        <f xml:space="preserve">
IF(AH26=0,0,AH25/AH26)</f>
        <v>0</v>
      </c>
      <c r="AI27" s="594"/>
    </row>
    <row r="28" spans="1:35" ht="15" thickBot="1" x14ac:dyDescent="0.35">
      <c r="A28" s="250" t="s">
        <v>203</v>
      </c>
      <c r="B28" s="270">
        <f xml:space="preserve">
SUM(C28:AH28)</f>
        <v>12223.83294810884</v>
      </c>
      <c r="C28" s="598">
        <f xml:space="preserve">
C26-C25</f>
        <v>-2045.1670518911596</v>
      </c>
      <c r="D28" s="576"/>
      <c r="E28" s="577"/>
      <c r="F28" s="577">
        <f xml:space="preserve">
F26-F25</f>
        <v>14269</v>
      </c>
      <c r="G28" s="577"/>
      <c r="H28" s="577"/>
      <c r="I28" s="577"/>
      <c r="J28" s="577"/>
      <c r="K28" s="577"/>
      <c r="L28" s="577"/>
      <c r="M28" s="577"/>
      <c r="N28" s="577"/>
      <c r="O28" s="577"/>
      <c r="P28" s="577"/>
      <c r="Q28" s="577"/>
      <c r="R28" s="577"/>
      <c r="S28" s="577"/>
      <c r="T28" s="577"/>
      <c r="U28" s="577"/>
      <c r="V28" s="577"/>
      <c r="W28" s="577"/>
      <c r="X28" s="577"/>
      <c r="Y28" s="577"/>
      <c r="Z28" s="577"/>
      <c r="AA28" s="577"/>
      <c r="AB28" s="577"/>
      <c r="AC28" s="577"/>
      <c r="AD28" s="577"/>
      <c r="AE28" s="577"/>
      <c r="AF28" s="577"/>
      <c r="AG28" s="577"/>
      <c r="AH28" s="593">
        <f xml:space="preserve">
AH26-AH25</f>
        <v>0</v>
      </c>
      <c r="AI28" s="594"/>
    </row>
    <row r="29" spans="1:35" x14ac:dyDescent="0.3">
      <c r="A29" s="251"/>
      <c r="B29" s="251"/>
      <c r="C29" s="252"/>
      <c r="D29" s="251"/>
      <c r="E29" s="251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1"/>
      <c r="AG29" s="251"/>
      <c r="AH29" s="251"/>
    </row>
    <row r="30" spans="1:35" x14ac:dyDescent="0.3">
      <c r="A30" s="113" t="s">
        <v>157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51"/>
    </row>
    <row r="31" spans="1:35" x14ac:dyDescent="0.3">
      <c r="A31" s="114" t="s">
        <v>201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51"/>
    </row>
    <row r="32" spans="1:35" ht="14.4" customHeight="1" x14ac:dyDescent="0.3">
      <c r="A32" s="287" t="s">
        <v>198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</row>
    <row r="33" spans="1:1" x14ac:dyDescent="0.3">
      <c r="A33" s="289" t="s">
        <v>208</v>
      </c>
    </row>
    <row r="34" spans="1:1" x14ac:dyDescent="0.3">
      <c r="A34" s="289" t="s">
        <v>209</v>
      </c>
    </row>
    <row r="35" spans="1:1" x14ac:dyDescent="0.3">
      <c r="A35" s="289" t="s">
        <v>210</v>
      </c>
    </row>
    <row r="36" spans="1:1" x14ac:dyDescent="0.3">
      <c r="A36" s="289" t="s">
        <v>211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65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1" x14ac:dyDescent="0.3">
      <c r="A1" s="230" t="s">
        <v>1056</v>
      </c>
    </row>
    <row r="2" spans="1:41" x14ac:dyDescent="0.3">
      <c r="A2" s="234" t="s">
        <v>277</v>
      </c>
    </row>
    <row r="3" spans="1:41" x14ac:dyDescent="0.3">
      <c r="A3" s="230" t="s">
        <v>168</v>
      </c>
      <c r="B3" s="255">
        <v>2015</v>
      </c>
      <c r="D3" s="231">
        <f>MAX(D5:D1048576)</f>
        <v>9</v>
      </c>
      <c r="F3" s="231">
        <f>SUMIF($E5:$E1048576,"&lt;10",F5:F1048576)</f>
        <v>8241427.5099999998</v>
      </c>
      <c r="G3" s="231">
        <f t="shared" ref="G3:AO3" si="0">SUMIF($E5:$E1048576,"&lt;10",G5:G1048576)</f>
        <v>40100</v>
      </c>
      <c r="H3" s="231">
        <f t="shared" si="0"/>
        <v>2271524.8000000003</v>
      </c>
      <c r="I3" s="231">
        <f t="shared" si="0"/>
        <v>0</v>
      </c>
      <c r="J3" s="231">
        <f t="shared" si="0"/>
        <v>0</v>
      </c>
      <c r="K3" s="231">
        <f t="shared" si="0"/>
        <v>886405.5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1413399</v>
      </c>
      <c r="P3" s="231">
        <f t="shared" si="0"/>
        <v>0</v>
      </c>
      <c r="Q3" s="231">
        <f t="shared" si="0"/>
        <v>0</v>
      </c>
      <c r="R3" s="231">
        <f t="shared" si="0"/>
        <v>0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0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3115979.21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0</v>
      </c>
      <c r="AI3" s="231">
        <f t="shared" si="0"/>
        <v>123226</v>
      </c>
      <c r="AJ3" s="231">
        <f t="shared" si="0"/>
        <v>0</v>
      </c>
      <c r="AK3" s="231">
        <f t="shared" si="0"/>
        <v>0</v>
      </c>
      <c r="AL3" s="231">
        <f t="shared" si="0"/>
        <v>0</v>
      </c>
      <c r="AM3" s="231">
        <f t="shared" si="0"/>
        <v>0</v>
      </c>
      <c r="AN3" s="231">
        <f t="shared" si="0"/>
        <v>390793</v>
      </c>
      <c r="AO3" s="231">
        <f t="shared" si="0"/>
        <v>0</v>
      </c>
    </row>
    <row r="4" spans="1:41" x14ac:dyDescent="0.3">
      <c r="A4" s="230" t="s">
        <v>169</v>
      </c>
      <c r="B4" s="255">
        <v>1</v>
      </c>
      <c r="C4" s="232" t="s">
        <v>5</v>
      </c>
      <c r="D4" s="233" t="s">
        <v>67</v>
      </c>
      <c r="E4" s="233" t="s">
        <v>163</v>
      </c>
      <c r="F4" s="233" t="s">
        <v>3</v>
      </c>
      <c r="G4" s="233" t="s">
        <v>164</v>
      </c>
      <c r="H4" s="233" t="s">
        <v>165</v>
      </c>
      <c r="I4" s="233" t="s">
        <v>166</v>
      </c>
      <c r="J4" s="233" t="s">
        <v>167</v>
      </c>
      <c r="K4" s="233">
        <v>305</v>
      </c>
      <c r="L4" s="233">
        <v>306</v>
      </c>
      <c r="M4" s="233">
        <v>407</v>
      </c>
      <c r="N4" s="233">
        <v>408</v>
      </c>
      <c r="O4" s="233">
        <v>409</v>
      </c>
      <c r="P4" s="233">
        <v>410</v>
      </c>
      <c r="Q4" s="233">
        <v>415</v>
      </c>
      <c r="R4" s="233">
        <v>416</v>
      </c>
      <c r="S4" s="233">
        <v>418</v>
      </c>
      <c r="T4" s="233">
        <v>419</v>
      </c>
      <c r="U4" s="233">
        <v>420</v>
      </c>
      <c r="V4" s="233">
        <v>421</v>
      </c>
      <c r="W4" s="233">
        <v>522</v>
      </c>
      <c r="X4" s="233">
        <v>523</v>
      </c>
      <c r="Y4" s="233">
        <v>524</v>
      </c>
      <c r="Z4" s="233">
        <v>525</v>
      </c>
      <c r="AA4" s="233">
        <v>526</v>
      </c>
      <c r="AB4" s="233">
        <v>527</v>
      </c>
      <c r="AC4" s="233">
        <v>528</v>
      </c>
      <c r="AD4" s="233">
        <v>629</v>
      </c>
      <c r="AE4" s="233">
        <v>630</v>
      </c>
      <c r="AF4" s="233">
        <v>636</v>
      </c>
      <c r="AG4" s="233">
        <v>637</v>
      </c>
      <c r="AH4" s="233">
        <v>640</v>
      </c>
      <c r="AI4" s="233">
        <v>642</v>
      </c>
      <c r="AJ4" s="233">
        <v>743</v>
      </c>
      <c r="AK4" s="233">
        <v>745</v>
      </c>
      <c r="AL4" s="233">
        <v>746</v>
      </c>
      <c r="AM4" s="233">
        <v>747</v>
      </c>
      <c r="AN4" s="233">
        <v>930</v>
      </c>
      <c r="AO4" s="233">
        <v>940</v>
      </c>
    </row>
    <row r="5" spans="1:41" x14ac:dyDescent="0.3">
      <c r="A5" s="230" t="s">
        <v>170</v>
      </c>
      <c r="B5" s="255">
        <v>2</v>
      </c>
      <c r="C5" s="230">
        <v>28</v>
      </c>
      <c r="D5" s="230">
        <v>1</v>
      </c>
      <c r="E5" s="230">
        <v>1</v>
      </c>
      <c r="F5" s="230">
        <v>22.4</v>
      </c>
      <c r="G5" s="230">
        <v>0</v>
      </c>
      <c r="H5" s="230">
        <v>3</v>
      </c>
      <c r="I5" s="230">
        <v>0</v>
      </c>
      <c r="J5" s="230">
        <v>0</v>
      </c>
      <c r="K5" s="230">
        <v>2.5</v>
      </c>
      <c r="L5" s="230">
        <v>0</v>
      </c>
      <c r="M5" s="230">
        <v>0</v>
      </c>
      <c r="N5" s="230">
        <v>0</v>
      </c>
      <c r="O5" s="230">
        <v>5.5</v>
      </c>
      <c r="P5" s="230">
        <v>0</v>
      </c>
      <c r="Q5" s="230">
        <v>0</v>
      </c>
      <c r="R5" s="230">
        <v>0</v>
      </c>
      <c r="S5" s="230">
        <v>0</v>
      </c>
      <c r="T5" s="230">
        <v>0</v>
      </c>
      <c r="U5" s="230">
        <v>0</v>
      </c>
      <c r="V5" s="230">
        <v>0</v>
      </c>
      <c r="W5" s="230">
        <v>0</v>
      </c>
      <c r="X5" s="230">
        <v>0</v>
      </c>
      <c r="Y5" s="230">
        <v>0</v>
      </c>
      <c r="Z5" s="230">
        <v>0</v>
      </c>
      <c r="AA5" s="230">
        <v>8.6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0</v>
      </c>
      <c r="AI5" s="230">
        <v>1</v>
      </c>
      <c r="AJ5" s="230">
        <v>0</v>
      </c>
      <c r="AK5" s="230">
        <v>0</v>
      </c>
      <c r="AL5" s="230">
        <v>0</v>
      </c>
      <c r="AM5" s="230">
        <v>0</v>
      </c>
      <c r="AN5" s="230">
        <v>1.8</v>
      </c>
      <c r="AO5" s="230">
        <v>0</v>
      </c>
    </row>
    <row r="6" spans="1:41" x14ac:dyDescent="0.3">
      <c r="A6" s="230" t="s">
        <v>171</v>
      </c>
      <c r="B6" s="255">
        <v>3</v>
      </c>
      <c r="C6" s="230">
        <v>28</v>
      </c>
      <c r="D6" s="230">
        <v>1</v>
      </c>
      <c r="E6" s="230">
        <v>2</v>
      </c>
      <c r="F6" s="230">
        <v>3481.64</v>
      </c>
      <c r="G6" s="230">
        <v>0</v>
      </c>
      <c r="H6" s="230">
        <v>512.79999999999995</v>
      </c>
      <c r="I6" s="230">
        <v>0</v>
      </c>
      <c r="J6" s="230">
        <v>0</v>
      </c>
      <c r="K6" s="230">
        <v>424</v>
      </c>
      <c r="L6" s="230">
        <v>0</v>
      </c>
      <c r="M6" s="230">
        <v>0</v>
      </c>
      <c r="N6" s="230">
        <v>0</v>
      </c>
      <c r="O6" s="230">
        <v>948</v>
      </c>
      <c r="P6" s="230">
        <v>0</v>
      </c>
      <c r="Q6" s="230">
        <v>0</v>
      </c>
      <c r="R6" s="230">
        <v>0</v>
      </c>
      <c r="S6" s="230">
        <v>0</v>
      </c>
      <c r="T6" s="230">
        <v>0</v>
      </c>
      <c r="U6" s="230">
        <v>0</v>
      </c>
      <c r="V6" s="230">
        <v>0</v>
      </c>
      <c r="W6" s="230">
        <v>0</v>
      </c>
      <c r="X6" s="230">
        <v>0</v>
      </c>
      <c r="Y6" s="230">
        <v>0</v>
      </c>
      <c r="Z6" s="230">
        <v>0</v>
      </c>
      <c r="AA6" s="230">
        <v>1280.04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0</v>
      </c>
      <c r="AI6" s="230">
        <v>0</v>
      </c>
      <c r="AJ6" s="230">
        <v>0</v>
      </c>
      <c r="AK6" s="230">
        <v>0</v>
      </c>
      <c r="AL6" s="230">
        <v>0</v>
      </c>
      <c r="AM6" s="230">
        <v>0</v>
      </c>
      <c r="AN6" s="230">
        <v>316.8</v>
      </c>
      <c r="AO6" s="230">
        <v>0</v>
      </c>
    </row>
    <row r="7" spans="1:41" x14ac:dyDescent="0.3">
      <c r="A7" s="230" t="s">
        <v>172</v>
      </c>
      <c r="B7" s="255">
        <v>4</v>
      </c>
      <c r="C7" s="230">
        <v>28</v>
      </c>
      <c r="D7" s="230">
        <v>1</v>
      </c>
      <c r="E7" s="230">
        <v>3</v>
      </c>
      <c r="F7" s="230">
        <v>54</v>
      </c>
      <c r="G7" s="230">
        <v>0</v>
      </c>
      <c r="H7" s="230">
        <v>40</v>
      </c>
      <c r="I7" s="230">
        <v>0</v>
      </c>
      <c r="J7" s="230">
        <v>0</v>
      </c>
      <c r="K7" s="230">
        <v>10</v>
      </c>
      <c r="L7" s="230">
        <v>0</v>
      </c>
      <c r="M7" s="230">
        <v>0</v>
      </c>
      <c r="N7" s="230">
        <v>0</v>
      </c>
      <c r="O7" s="230">
        <v>4</v>
      </c>
      <c r="P7" s="230">
        <v>0</v>
      </c>
      <c r="Q7" s="230">
        <v>0</v>
      </c>
      <c r="R7" s="230">
        <v>0</v>
      </c>
      <c r="S7" s="230">
        <v>0</v>
      </c>
      <c r="T7" s="230">
        <v>0</v>
      </c>
      <c r="U7" s="230">
        <v>0</v>
      </c>
      <c r="V7" s="230">
        <v>0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</row>
    <row r="8" spans="1:41" x14ac:dyDescent="0.3">
      <c r="A8" s="230" t="s">
        <v>173</v>
      </c>
      <c r="B8" s="255">
        <v>5</v>
      </c>
      <c r="C8" s="230">
        <v>28</v>
      </c>
      <c r="D8" s="230">
        <v>1</v>
      </c>
      <c r="E8" s="230">
        <v>6</v>
      </c>
      <c r="F8" s="230">
        <v>708848</v>
      </c>
      <c r="G8" s="230">
        <v>0</v>
      </c>
      <c r="H8" s="230">
        <v>158599</v>
      </c>
      <c r="I8" s="230">
        <v>0</v>
      </c>
      <c r="J8" s="230">
        <v>0</v>
      </c>
      <c r="K8" s="230">
        <v>83772</v>
      </c>
      <c r="L8" s="230">
        <v>0</v>
      </c>
      <c r="M8" s="230">
        <v>0</v>
      </c>
      <c r="N8" s="230">
        <v>0</v>
      </c>
      <c r="O8" s="230">
        <v>150998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273988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41491</v>
      </c>
      <c r="AO8" s="230">
        <v>0</v>
      </c>
    </row>
    <row r="9" spans="1:41" x14ac:dyDescent="0.3">
      <c r="A9" s="230" t="s">
        <v>174</v>
      </c>
      <c r="B9" s="255">
        <v>6</v>
      </c>
      <c r="C9" s="230">
        <v>28</v>
      </c>
      <c r="D9" s="230">
        <v>1</v>
      </c>
      <c r="E9" s="230">
        <v>9</v>
      </c>
      <c r="F9" s="230">
        <v>10376</v>
      </c>
      <c r="G9" s="230">
        <v>0</v>
      </c>
      <c r="H9" s="230">
        <v>0</v>
      </c>
      <c r="I9" s="230">
        <v>0</v>
      </c>
      <c r="J9" s="230">
        <v>0</v>
      </c>
      <c r="K9" s="230">
        <v>670</v>
      </c>
      <c r="L9" s="230">
        <v>0</v>
      </c>
      <c r="M9" s="230">
        <v>0</v>
      </c>
      <c r="N9" s="230">
        <v>0</v>
      </c>
      <c r="O9" s="230">
        <v>7235</v>
      </c>
      <c r="P9" s="230">
        <v>0</v>
      </c>
      <c r="Q9" s="230">
        <v>0</v>
      </c>
      <c r="R9" s="230">
        <v>0</v>
      </c>
      <c r="S9" s="230">
        <v>0</v>
      </c>
      <c r="T9" s="230">
        <v>0</v>
      </c>
      <c r="U9" s="230">
        <v>0</v>
      </c>
      <c r="V9" s="230">
        <v>0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0</v>
      </c>
      <c r="AK9" s="230">
        <v>0</v>
      </c>
      <c r="AL9" s="230">
        <v>0</v>
      </c>
      <c r="AM9" s="230">
        <v>0</v>
      </c>
      <c r="AN9" s="230">
        <v>2471</v>
      </c>
      <c r="AO9" s="230">
        <v>0</v>
      </c>
    </row>
    <row r="10" spans="1:41" x14ac:dyDescent="0.3">
      <c r="A10" s="230" t="s">
        <v>175</v>
      </c>
      <c r="B10" s="255">
        <v>7</v>
      </c>
      <c r="C10" s="230">
        <v>28</v>
      </c>
      <c r="D10" s="230">
        <v>1</v>
      </c>
      <c r="E10" s="230">
        <v>10</v>
      </c>
      <c r="F10" s="230">
        <v>12818.630000000001</v>
      </c>
      <c r="G10" s="230">
        <v>0</v>
      </c>
      <c r="H10" s="230">
        <v>4087.63</v>
      </c>
      <c r="I10" s="230">
        <v>0</v>
      </c>
      <c r="J10" s="230">
        <v>0</v>
      </c>
      <c r="K10" s="230">
        <v>8731</v>
      </c>
      <c r="L10" s="230">
        <v>0</v>
      </c>
      <c r="M10" s="230">
        <v>0</v>
      </c>
      <c r="N10" s="230">
        <v>0</v>
      </c>
      <c r="O10" s="230">
        <v>0</v>
      </c>
      <c r="P10" s="230">
        <v>0</v>
      </c>
      <c r="Q10" s="230">
        <v>0</v>
      </c>
      <c r="R10" s="230">
        <v>0</v>
      </c>
      <c r="S10" s="230">
        <v>0</v>
      </c>
      <c r="T10" s="230">
        <v>0</v>
      </c>
      <c r="U10" s="230">
        <v>0</v>
      </c>
      <c r="V10" s="230">
        <v>0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0</v>
      </c>
      <c r="AI10" s="230">
        <v>0</v>
      </c>
      <c r="AJ10" s="230">
        <v>0</v>
      </c>
      <c r="AK10" s="230">
        <v>0</v>
      </c>
      <c r="AL10" s="230">
        <v>0</v>
      </c>
      <c r="AM10" s="230">
        <v>0</v>
      </c>
      <c r="AN10" s="230">
        <v>0</v>
      </c>
      <c r="AO10" s="230">
        <v>0</v>
      </c>
    </row>
    <row r="11" spans="1:41" x14ac:dyDescent="0.3">
      <c r="A11" s="230" t="s">
        <v>176</v>
      </c>
      <c r="B11" s="255">
        <v>8</v>
      </c>
      <c r="C11" s="230">
        <v>28</v>
      </c>
      <c r="D11" s="230">
        <v>1</v>
      </c>
      <c r="E11" s="230">
        <v>11</v>
      </c>
      <c r="F11" s="230">
        <v>5719.05143867876</v>
      </c>
      <c r="G11" s="230">
        <v>0</v>
      </c>
      <c r="H11" s="230">
        <v>1385.7181053454269</v>
      </c>
      <c r="I11" s="230">
        <v>0</v>
      </c>
      <c r="J11" s="230">
        <v>0</v>
      </c>
      <c r="K11" s="230">
        <v>4333.333333333333</v>
      </c>
      <c r="L11" s="230">
        <v>0</v>
      </c>
      <c r="M11" s="230">
        <v>0</v>
      </c>
      <c r="N11" s="230">
        <v>0</v>
      </c>
      <c r="O11" s="230">
        <v>0</v>
      </c>
      <c r="P11" s="230">
        <v>0</v>
      </c>
      <c r="Q11" s="230">
        <v>0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</row>
    <row r="12" spans="1:41" x14ac:dyDescent="0.3">
      <c r="A12" s="230" t="s">
        <v>177</v>
      </c>
      <c r="B12" s="255">
        <v>9</v>
      </c>
      <c r="C12" s="230">
        <v>28</v>
      </c>
      <c r="D12" s="230">
        <v>2</v>
      </c>
      <c r="E12" s="230">
        <v>1</v>
      </c>
      <c r="F12" s="230">
        <v>23.5</v>
      </c>
      <c r="G12" s="230">
        <v>0</v>
      </c>
      <c r="H12" s="230">
        <v>3.1</v>
      </c>
      <c r="I12" s="230">
        <v>0</v>
      </c>
      <c r="J12" s="230">
        <v>0</v>
      </c>
      <c r="K12" s="230">
        <v>2.5</v>
      </c>
      <c r="L12" s="230">
        <v>0</v>
      </c>
      <c r="M12" s="230">
        <v>0</v>
      </c>
      <c r="N12" s="230">
        <v>0</v>
      </c>
      <c r="O12" s="230">
        <v>5.5</v>
      </c>
      <c r="P12" s="230">
        <v>0</v>
      </c>
      <c r="Q12" s="230">
        <v>0</v>
      </c>
      <c r="R12" s="230">
        <v>0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8.6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2</v>
      </c>
      <c r="AJ12" s="230">
        <v>0</v>
      </c>
      <c r="AK12" s="230">
        <v>0</v>
      </c>
      <c r="AL12" s="230">
        <v>0</v>
      </c>
      <c r="AM12" s="230">
        <v>0</v>
      </c>
      <c r="AN12" s="230">
        <v>1.8</v>
      </c>
      <c r="AO12" s="230">
        <v>0</v>
      </c>
    </row>
    <row r="13" spans="1:41" x14ac:dyDescent="0.3">
      <c r="A13" s="230" t="s">
        <v>178</v>
      </c>
      <c r="B13" s="255">
        <v>10</v>
      </c>
      <c r="C13" s="230">
        <v>28</v>
      </c>
      <c r="D13" s="230">
        <v>2</v>
      </c>
      <c r="E13" s="230">
        <v>2</v>
      </c>
      <c r="F13" s="230">
        <v>3208.04</v>
      </c>
      <c r="G13" s="230">
        <v>0</v>
      </c>
      <c r="H13" s="230">
        <v>436</v>
      </c>
      <c r="I13" s="230">
        <v>0</v>
      </c>
      <c r="J13" s="230">
        <v>0</v>
      </c>
      <c r="K13" s="230">
        <v>320</v>
      </c>
      <c r="L13" s="230">
        <v>0</v>
      </c>
      <c r="M13" s="230">
        <v>0</v>
      </c>
      <c r="N13" s="230">
        <v>0</v>
      </c>
      <c r="O13" s="230">
        <v>768</v>
      </c>
      <c r="P13" s="230">
        <v>0</v>
      </c>
      <c r="Q13" s="230">
        <v>0</v>
      </c>
      <c r="R13" s="230">
        <v>0</v>
      </c>
      <c r="S13" s="230">
        <v>0</v>
      </c>
      <c r="T13" s="230">
        <v>0</v>
      </c>
      <c r="U13" s="230">
        <v>0</v>
      </c>
      <c r="V13" s="230">
        <v>0</v>
      </c>
      <c r="W13" s="230">
        <v>0</v>
      </c>
      <c r="X13" s="230">
        <v>0</v>
      </c>
      <c r="Y13" s="230">
        <v>0</v>
      </c>
      <c r="Z13" s="230">
        <v>0</v>
      </c>
      <c r="AA13" s="230">
        <v>1328.04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0</v>
      </c>
      <c r="AI13" s="230">
        <v>80</v>
      </c>
      <c r="AJ13" s="230">
        <v>0</v>
      </c>
      <c r="AK13" s="230">
        <v>0</v>
      </c>
      <c r="AL13" s="230">
        <v>0</v>
      </c>
      <c r="AM13" s="230">
        <v>0</v>
      </c>
      <c r="AN13" s="230">
        <v>276</v>
      </c>
      <c r="AO13" s="230">
        <v>0</v>
      </c>
    </row>
    <row r="14" spans="1:41" x14ac:dyDescent="0.3">
      <c r="A14" s="230" t="s">
        <v>179</v>
      </c>
      <c r="B14" s="255">
        <v>11</v>
      </c>
      <c r="C14" s="230">
        <v>28</v>
      </c>
      <c r="D14" s="230">
        <v>2</v>
      </c>
      <c r="E14" s="230">
        <v>3</v>
      </c>
      <c r="F14" s="230">
        <v>20</v>
      </c>
      <c r="G14" s="230">
        <v>0</v>
      </c>
      <c r="H14" s="230">
        <v>0</v>
      </c>
      <c r="I14" s="230">
        <v>0</v>
      </c>
      <c r="J14" s="230">
        <v>0</v>
      </c>
      <c r="K14" s="230">
        <v>16</v>
      </c>
      <c r="L14" s="230">
        <v>0</v>
      </c>
      <c r="M14" s="230">
        <v>0</v>
      </c>
      <c r="N14" s="230">
        <v>0</v>
      </c>
      <c r="O14" s="230">
        <v>4</v>
      </c>
      <c r="P14" s="230">
        <v>0</v>
      </c>
      <c r="Q14" s="230">
        <v>0</v>
      </c>
      <c r="R14" s="230">
        <v>0</v>
      </c>
      <c r="S14" s="230">
        <v>0</v>
      </c>
      <c r="T14" s="230">
        <v>0</v>
      </c>
      <c r="U14" s="230">
        <v>0</v>
      </c>
      <c r="V14" s="230">
        <v>0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0</v>
      </c>
      <c r="AK14" s="230">
        <v>0</v>
      </c>
      <c r="AL14" s="230">
        <v>0</v>
      </c>
      <c r="AM14" s="230">
        <v>0</v>
      </c>
      <c r="AN14" s="230">
        <v>0</v>
      </c>
      <c r="AO14" s="230">
        <v>0</v>
      </c>
    </row>
    <row r="15" spans="1:41" x14ac:dyDescent="0.3">
      <c r="A15" s="230" t="s">
        <v>180</v>
      </c>
      <c r="B15" s="255">
        <v>12</v>
      </c>
      <c r="C15" s="230">
        <v>28</v>
      </c>
      <c r="D15" s="230">
        <v>2</v>
      </c>
      <c r="E15" s="230">
        <v>4</v>
      </c>
      <c r="F15" s="230">
        <v>10</v>
      </c>
      <c r="G15" s="230">
        <v>0</v>
      </c>
      <c r="H15" s="230">
        <v>0</v>
      </c>
      <c r="I15" s="230">
        <v>0</v>
      </c>
      <c r="J15" s="230">
        <v>0</v>
      </c>
      <c r="K15" s="230">
        <v>10</v>
      </c>
      <c r="L15" s="230">
        <v>0</v>
      </c>
      <c r="M15" s="230">
        <v>0</v>
      </c>
      <c r="N15" s="230">
        <v>0</v>
      </c>
      <c r="O15" s="230">
        <v>0</v>
      </c>
      <c r="P15" s="230">
        <v>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</row>
    <row r="16" spans="1:41" x14ac:dyDescent="0.3">
      <c r="A16" s="230" t="s">
        <v>168</v>
      </c>
      <c r="B16" s="255">
        <v>2015</v>
      </c>
      <c r="C16" s="230">
        <v>28</v>
      </c>
      <c r="D16" s="230">
        <v>2</v>
      </c>
      <c r="E16" s="230">
        <v>6</v>
      </c>
      <c r="F16" s="230">
        <v>716684</v>
      </c>
      <c r="G16" s="230">
        <v>0</v>
      </c>
      <c r="H16" s="230">
        <v>142810</v>
      </c>
      <c r="I16" s="230">
        <v>0</v>
      </c>
      <c r="J16" s="230">
        <v>0</v>
      </c>
      <c r="K16" s="230">
        <v>88515</v>
      </c>
      <c r="L16" s="230">
        <v>0</v>
      </c>
      <c r="M16" s="230">
        <v>0</v>
      </c>
      <c r="N16" s="230">
        <v>0</v>
      </c>
      <c r="O16" s="230">
        <v>143945</v>
      </c>
      <c r="P16" s="230">
        <v>0</v>
      </c>
      <c r="Q16" s="230">
        <v>0</v>
      </c>
      <c r="R16" s="230">
        <v>0</v>
      </c>
      <c r="S16" s="230">
        <v>0</v>
      </c>
      <c r="T16" s="230">
        <v>0</v>
      </c>
      <c r="U16" s="230">
        <v>0</v>
      </c>
      <c r="V16" s="230">
        <v>0</v>
      </c>
      <c r="W16" s="230">
        <v>0</v>
      </c>
      <c r="X16" s="230">
        <v>0</v>
      </c>
      <c r="Y16" s="230">
        <v>0</v>
      </c>
      <c r="Z16" s="230">
        <v>0</v>
      </c>
      <c r="AA16" s="230">
        <v>295688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6645</v>
      </c>
      <c r="AJ16" s="230">
        <v>0</v>
      </c>
      <c r="AK16" s="230">
        <v>0</v>
      </c>
      <c r="AL16" s="230">
        <v>0</v>
      </c>
      <c r="AM16" s="230">
        <v>0</v>
      </c>
      <c r="AN16" s="230">
        <v>39081</v>
      </c>
      <c r="AO16" s="230">
        <v>0</v>
      </c>
    </row>
    <row r="17" spans="3:41" x14ac:dyDescent="0.3">
      <c r="C17" s="230">
        <v>28</v>
      </c>
      <c r="D17" s="230">
        <v>2</v>
      </c>
      <c r="E17" s="230">
        <v>10</v>
      </c>
      <c r="F17" s="230">
        <v>5529</v>
      </c>
      <c r="G17" s="230">
        <v>0</v>
      </c>
      <c r="H17" s="230">
        <v>5529</v>
      </c>
      <c r="I17" s="230">
        <v>0</v>
      </c>
      <c r="J17" s="230">
        <v>0</v>
      </c>
      <c r="K17" s="230">
        <v>0</v>
      </c>
      <c r="L17" s="230">
        <v>0</v>
      </c>
      <c r="M17" s="230">
        <v>0</v>
      </c>
      <c r="N17" s="230">
        <v>0</v>
      </c>
      <c r="O17" s="230">
        <v>0</v>
      </c>
      <c r="P17" s="230">
        <v>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0">
        <v>0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0</v>
      </c>
      <c r="AK17" s="230">
        <v>0</v>
      </c>
      <c r="AL17" s="230">
        <v>0</v>
      </c>
      <c r="AM17" s="230">
        <v>0</v>
      </c>
      <c r="AN17" s="230">
        <v>0</v>
      </c>
      <c r="AO17" s="230">
        <v>0</v>
      </c>
    </row>
    <row r="18" spans="3:41" x14ac:dyDescent="0.3">
      <c r="C18" s="230">
        <v>28</v>
      </c>
      <c r="D18" s="230">
        <v>2</v>
      </c>
      <c r="E18" s="230">
        <v>11</v>
      </c>
      <c r="F18" s="230">
        <v>5719.05143867876</v>
      </c>
      <c r="G18" s="230">
        <v>0</v>
      </c>
      <c r="H18" s="230">
        <v>1385.7181053454269</v>
      </c>
      <c r="I18" s="230">
        <v>0</v>
      </c>
      <c r="J18" s="230">
        <v>0</v>
      </c>
      <c r="K18" s="230">
        <v>4333.333333333333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0</v>
      </c>
    </row>
    <row r="19" spans="3:41" x14ac:dyDescent="0.3">
      <c r="C19" s="230">
        <v>28</v>
      </c>
      <c r="D19" s="230">
        <v>3</v>
      </c>
      <c r="E19" s="230">
        <v>1</v>
      </c>
      <c r="F19" s="230">
        <v>23.8</v>
      </c>
      <c r="G19" s="230">
        <v>0</v>
      </c>
      <c r="H19" s="230">
        <v>3.4</v>
      </c>
      <c r="I19" s="230">
        <v>0</v>
      </c>
      <c r="J19" s="230">
        <v>0</v>
      </c>
      <c r="K19" s="230">
        <v>2.5</v>
      </c>
      <c r="L19" s="230">
        <v>0</v>
      </c>
      <c r="M19" s="230">
        <v>0</v>
      </c>
      <c r="N19" s="230">
        <v>0</v>
      </c>
      <c r="O19" s="230">
        <v>5.5</v>
      </c>
      <c r="P19" s="230">
        <v>0</v>
      </c>
      <c r="Q19" s="230">
        <v>0</v>
      </c>
      <c r="R19" s="230">
        <v>0</v>
      </c>
      <c r="S19" s="230">
        <v>0</v>
      </c>
      <c r="T19" s="230">
        <v>0</v>
      </c>
      <c r="U19" s="230">
        <v>0</v>
      </c>
      <c r="V19" s="230">
        <v>0</v>
      </c>
      <c r="W19" s="230">
        <v>0</v>
      </c>
      <c r="X19" s="230">
        <v>0</v>
      </c>
      <c r="Y19" s="230">
        <v>0</v>
      </c>
      <c r="Z19" s="230">
        <v>0</v>
      </c>
      <c r="AA19" s="230">
        <v>8.6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2</v>
      </c>
      <c r="AJ19" s="230">
        <v>0</v>
      </c>
      <c r="AK19" s="230">
        <v>0</v>
      </c>
      <c r="AL19" s="230">
        <v>0</v>
      </c>
      <c r="AM19" s="230">
        <v>0</v>
      </c>
      <c r="AN19" s="230">
        <v>1.8</v>
      </c>
      <c r="AO19" s="230">
        <v>0</v>
      </c>
    </row>
    <row r="20" spans="3:41" x14ac:dyDescent="0.3">
      <c r="C20" s="230">
        <v>28</v>
      </c>
      <c r="D20" s="230">
        <v>3</v>
      </c>
      <c r="E20" s="230">
        <v>2</v>
      </c>
      <c r="F20" s="230">
        <v>3843.37</v>
      </c>
      <c r="G20" s="230">
        <v>0</v>
      </c>
      <c r="H20" s="230">
        <v>603.20000000000005</v>
      </c>
      <c r="I20" s="230">
        <v>0</v>
      </c>
      <c r="J20" s="230">
        <v>0</v>
      </c>
      <c r="K20" s="230">
        <v>388</v>
      </c>
      <c r="L20" s="230">
        <v>0</v>
      </c>
      <c r="M20" s="230">
        <v>0</v>
      </c>
      <c r="N20" s="230">
        <v>0</v>
      </c>
      <c r="O20" s="230">
        <v>876</v>
      </c>
      <c r="P20" s="230">
        <v>0</v>
      </c>
      <c r="Q20" s="230">
        <v>0</v>
      </c>
      <c r="R20" s="230">
        <v>0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30">
        <v>0</v>
      </c>
      <c r="Z20" s="230">
        <v>0</v>
      </c>
      <c r="AA20" s="230">
        <v>1487.37</v>
      </c>
      <c r="AB20" s="230">
        <v>0</v>
      </c>
      <c r="AC20" s="230">
        <v>0</v>
      </c>
      <c r="AD20" s="230">
        <v>0</v>
      </c>
      <c r="AE20" s="230">
        <v>0</v>
      </c>
      <c r="AF20" s="230">
        <v>0</v>
      </c>
      <c r="AG20" s="230">
        <v>0</v>
      </c>
      <c r="AH20" s="230">
        <v>0</v>
      </c>
      <c r="AI20" s="230">
        <v>176</v>
      </c>
      <c r="AJ20" s="230">
        <v>0</v>
      </c>
      <c r="AK20" s="230">
        <v>0</v>
      </c>
      <c r="AL20" s="230">
        <v>0</v>
      </c>
      <c r="AM20" s="230">
        <v>0</v>
      </c>
      <c r="AN20" s="230">
        <v>312.8</v>
      </c>
      <c r="AO20" s="230">
        <v>0</v>
      </c>
    </row>
    <row r="21" spans="3:41" x14ac:dyDescent="0.3">
      <c r="C21" s="230">
        <v>28</v>
      </c>
      <c r="D21" s="230">
        <v>3</v>
      </c>
      <c r="E21" s="230">
        <v>3</v>
      </c>
      <c r="F21" s="230">
        <v>46</v>
      </c>
      <c r="G21" s="230">
        <v>0</v>
      </c>
      <c r="H21" s="230">
        <v>20</v>
      </c>
      <c r="I21" s="230">
        <v>0</v>
      </c>
      <c r="J21" s="230">
        <v>0</v>
      </c>
      <c r="K21" s="230">
        <v>26</v>
      </c>
      <c r="L21" s="230">
        <v>0</v>
      </c>
      <c r="M21" s="230">
        <v>0</v>
      </c>
      <c r="N21" s="230">
        <v>0</v>
      </c>
      <c r="O21" s="230">
        <v>0</v>
      </c>
      <c r="P21" s="230">
        <v>0</v>
      </c>
      <c r="Q21" s="230">
        <v>0</v>
      </c>
      <c r="R21" s="230">
        <v>0</v>
      </c>
      <c r="S21" s="230">
        <v>0</v>
      </c>
      <c r="T21" s="230">
        <v>0</v>
      </c>
      <c r="U21" s="230">
        <v>0</v>
      </c>
      <c r="V21" s="230">
        <v>0</v>
      </c>
      <c r="W21" s="230">
        <v>0</v>
      </c>
      <c r="X21" s="230">
        <v>0</v>
      </c>
      <c r="Y21" s="230">
        <v>0</v>
      </c>
      <c r="Z21" s="230">
        <v>0</v>
      </c>
      <c r="AA21" s="230">
        <v>0</v>
      </c>
      <c r="AB21" s="230">
        <v>0</v>
      </c>
      <c r="AC21" s="230">
        <v>0</v>
      </c>
      <c r="AD21" s="230">
        <v>0</v>
      </c>
      <c r="AE21" s="230">
        <v>0</v>
      </c>
      <c r="AF21" s="230">
        <v>0</v>
      </c>
      <c r="AG21" s="230">
        <v>0</v>
      </c>
      <c r="AH21" s="230">
        <v>0</v>
      </c>
      <c r="AI21" s="230">
        <v>0</v>
      </c>
      <c r="AJ21" s="230">
        <v>0</v>
      </c>
      <c r="AK21" s="230">
        <v>0</v>
      </c>
      <c r="AL21" s="230">
        <v>0</v>
      </c>
      <c r="AM21" s="230">
        <v>0</v>
      </c>
      <c r="AN21" s="230">
        <v>0</v>
      </c>
      <c r="AO21" s="230">
        <v>0</v>
      </c>
    </row>
    <row r="22" spans="3:41" x14ac:dyDescent="0.3">
      <c r="C22" s="230">
        <v>28</v>
      </c>
      <c r="D22" s="230">
        <v>3</v>
      </c>
      <c r="E22" s="230">
        <v>6</v>
      </c>
      <c r="F22" s="230">
        <v>751599</v>
      </c>
      <c r="G22" s="230">
        <v>0</v>
      </c>
      <c r="H22" s="230">
        <v>174806</v>
      </c>
      <c r="I22" s="230">
        <v>0</v>
      </c>
      <c r="J22" s="230">
        <v>0</v>
      </c>
      <c r="K22" s="230">
        <v>86490</v>
      </c>
      <c r="L22" s="230">
        <v>0</v>
      </c>
      <c r="M22" s="230">
        <v>0</v>
      </c>
      <c r="N22" s="230">
        <v>0</v>
      </c>
      <c r="O22" s="230">
        <v>141972</v>
      </c>
      <c r="P22" s="230">
        <v>0</v>
      </c>
      <c r="Q22" s="230">
        <v>0</v>
      </c>
      <c r="R22" s="230">
        <v>0</v>
      </c>
      <c r="S22" s="230">
        <v>0</v>
      </c>
      <c r="T22" s="230">
        <v>0</v>
      </c>
      <c r="U22" s="230">
        <v>0</v>
      </c>
      <c r="V22" s="230">
        <v>0</v>
      </c>
      <c r="W22" s="230">
        <v>0</v>
      </c>
      <c r="X22" s="230">
        <v>0</v>
      </c>
      <c r="Y22" s="230">
        <v>0</v>
      </c>
      <c r="Z22" s="230">
        <v>0</v>
      </c>
      <c r="AA22" s="230">
        <v>295957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13290</v>
      </c>
      <c r="AJ22" s="230">
        <v>0</v>
      </c>
      <c r="AK22" s="230">
        <v>0</v>
      </c>
      <c r="AL22" s="230">
        <v>0</v>
      </c>
      <c r="AM22" s="230">
        <v>0</v>
      </c>
      <c r="AN22" s="230">
        <v>39084</v>
      </c>
      <c r="AO22" s="230">
        <v>0</v>
      </c>
    </row>
    <row r="23" spans="3:41" x14ac:dyDescent="0.3">
      <c r="C23" s="230">
        <v>28</v>
      </c>
      <c r="D23" s="230">
        <v>3</v>
      </c>
      <c r="E23" s="230">
        <v>10</v>
      </c>
      <c r="F23" s="230">
        <v>700</v>
      </c>
      <c r="G23" s="230">
        <v>0</v>
      </c>
      <c r="H23" s="230">
        <v>500</v>
      </c>
      <c r="I23" s="230">
        <v>0</v>
      </c>
      <c r="J23" s="230">
        <v>0</v>
      </c>
      <c r="K23" s="230">
        <v>200</v>
      </c>
      <c r="L23" s="230">
        <v>0</v>
      </c>
      <c r="M23" s="230">
        <v>0</v>
      </c>
      <c r="N23" s="230">
        <v>0</v>
      </c>
      <c r="O23" s="230">
        <v>0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</row>
    <row r="24" spans="3:41" x14ac:dyDescent="0.3">
      <c r="C24" s="230">
        <v>28</v>
      </c>
      <c r="D24" s="230">
        <v>3</v>
      </c>
      <c r="E24" s="230">
        <v>11</v>
      </c>
      <c r="F24" s="230">
        <v>5719.05143867876</v>
      </c>
      <c r="G24" s="230">
        <v>0</v>
      </c>
      <c r="H24" s="230">
        <v>1385.7181053454269</v>
      </c>
      <c r="I24" s="230">
        <v>0</v>
      </c>
      <c r="J24" s="230">
        <v>0</v>
      </c>
      <c r="K24" s="230">
        <v>4333.333333333333</v>
      </c>
      <c r="L24" s="230">
        <v>0</v>
      </c>
      <c r="M24" s="230">
        <v>0</v>
      </c>
      <c r="N24" s="230">
        <v>0</v>
      </c>
      <c r="O24" s="230">
        <v>0</v>
      </c>
      <c r="P24" s="230">
        <v>0</v>
      </c>
      <c r="Q24" s="230">
        <v>0</v>
      </c>
      <c r="R24" s="230">
        <v>0</v>
      </c>
      <c r="S24" s="230">
        <v>0</v>
      </c>
      <c r="T24" s="230">
        <v>0</v>
      </c>
      <c r="U24" s="230">
        <v>0</v>
      </c>
      <c r="V24" s="230">
        <v>0</v>
      </c>
      <c r="W24" s="230">
        <v>0</v>
      </c>
      <c r="X24" s="230">
        <v>0</v>
      </c>
      <c r="Y24" s="230">
        <v>0</v>
      </c>
      <c r="Z24" s="230">
        <v>0</v>
      </c>
      <c r="AA24" s="230">
        <v>0</v>
      </c>
      <c r="AB24" s="230">
        <v>0</v>
      </c>
      <c r="AC24" s="230">
        <v>0</v>
      </c>
      <c r="AD24" s="230">
        <v>0</v>
      </c>
      <c r="AE24" s="230">
        <v>0</v>
      </c>
      <c r="AF24" s="230">
        <v>0</v>
      </c>
      <c r="AG24" s="230">
        <v>0</v>
      </c>
      <c r="AH24" s="230">
        <v>0</v>
      </c>
      <c r="AI24" s="230">
        <v>0</v>
      </c>
      <c r="AJ24" s="230">
        <v>0</v>
      </c>
      <c r="AK24" s="230">
        <v>0</v>
      </c>
      <c r="AL24" s="230">
        <v>0</v>
      </c>
      <c r="AM24" s="230">
        <v>0</v>
      </c>
      <c r="AN24" s="230">
        <v>0</v>
      </c>
      <c r="AO24" s="230">
        <v>0</v>
      </c>
    </row>
    <row r="25" spans="3:41" x14ac:dyDescent="0.3">
      <c r="C25" s="230">
        <v>28</v>
      </c>
      <c r="D25" s="230">
        <v>4</v>
      </c>
      <c r="E25" s="230">
        <v>1</v>
      </c>
      <c r="F25" s="230">
        <v>25</v>
      </c>
      <c r="G25" s="230">
        <v>0</v>
      </c>
      <c r="H25" s="230">
        <v>3.6</v>
      </c>
      <c r="I25" s="230">
        <v>0</v>
      </c>
      <c r="J25" s="230">
        <v>0</v>
      </c>
      <c r="K25" s="230">
        <v>2.5</v>
      </c>
      <c r="L25" s="230">
        <v>0</v>
      </c>
      <c r="M25" s="230">
        <v>0</v>
      </c>
      <c r="N25" s="230">
        <v>0</v>
      </c>
      <c r="O25" s="230">
        <v>5.5</v>
      </c>
      <c r="P25" s="230">
        <v>0</v>
      </c>
      <c r="Q25" s="230">
        <v>0</v>
      </c>
      <c r="R25" s="230">
        <v>0</v>
      </c>
      <c r="S25" s="230">
        <v>0</v>
      </c>
      <c r="T25" s="230">
        <v>0</v>
      </c>
      <c r="U25" s="230">
        <v>0</v>
      </c>
      <c r="V25" s="230">
        <v>0</v>
      </c>
      <c r="W25" s="230">
        <v>0</v>
      </c>
      <c r="X25" s="230">
        <v>0</v>
      </c>
      <c r="Y25" s="230">
        <v>0</v>
      </c>
      <c r="Z25" s="230">
        <v>0</v>
      </c>
      <c r="AA25" s="230">
        <v>9.6</v>
      </c>
      <c r="AB25" s="230">
        <v>0</v>
      </c>
      <c r="AC25" s="230">
        <v>0</v>
      </c>
      <c r="AD25" s="230">
        <v>0</v>
      </c>
      <c r="AE25" s="230">
        <v>0</v>
      </c>
      <c r="AF25" s="230">
        <v>0</v>
      </c>
      <c r="AG25" s="230">
        <v>0</v>
      </c>
      <c r="AH25" s="230">
        <v>0</v>
      </c>
      <c r="AI25" s="230">
        <v>2</v>
      </c>
      <c r="AJ25" s="230">
        <v>0</v>
      </c>
      <c r="AK25" s="230">
        <v>0</v>
      </c>
      <c r="AL25" s="230">
        <v>0</v>
      </c>
      <c r="AM25" s="230">
        <v>0</v>
      </c>
      <c r="AN25" s="230">
        <v>1.8</v>
      </c>
      <c r="AO25" s="230">
        <v>0</v>
      </c>
    </row>
    <row r="26" spans="3:41" x14ac:dyDescent="0.3">
      <c r="C26" s="230">
        <v>28</v>
      </c>
      <c r="D26" s="230">
        <v>4</v>
      </c>
      <c r="E26" s="230">
        <v>2</v>
      </c>
      <c r="F26" s="230">
        <v>3994.44</v>
      </c>
      <c r="G26" s="230">
        <v>0</v>
      </c>
      <c r="H26" s="230">
        <v>589.6</v>
      </c>
      <c r="I26" s="230">
        <v>0</v>
      </c>
      <c r="J26" s="230">
        <v>0</v>
      </c>
      <c r="K26" s="230">
        <v>400</v>
      </c>
      <c r="L26" s="230">
        <v>0</v>
      </c>
      <c r="M26" s="230">
        <v>0</v>
      </c>
      <c r="N26" s="230">
        <v>0</v>
      </c>
      <c r="O26" s="230">
        <v>944</v>
      </c>
      <c r="P26" s="230">
        <v>0</v>
      </c>
      <c r="Q26" s="230">
        <v>0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1576.04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176</v>
      </c>
      <c r="AJ26" s="230">
        <v>0</v>
      </c>
      <c r="AK26" s="230">
        <v>0</v>
      </c>
      <c r="AL26" s="230">
        <v>0</v>
      </c>
      <c r="AM26" s="230">
        <v>0</v>
      </c>
      <c r="AN26" s="230">
        <v>308.8</v>
      </c>
      <c r="AO26" s="230">
        <v>0</v>
      </c>
    </row>
    <row r="27" spans="3:41" x14ac:dyDescent="0.3">
      <c r="C27" s="230">
        <v>28</v>
      </c>
      <c r="D27" s="230">
        <v>4</v>
      </c>
      <c r="E27" s="230">
        <v>3</v>
      </c>
      <c r="F27" s="230">
        <v>16</v>
      </c>
      <c r="G27" s="230">
        <v>0</v>
      </c>
      <c r="H27" s="230">
        <v>0</v>
      </c>
      <c r="I27" s="230">
        <v>0</v>
      </c>
      <c r="J27" s="230">
        <v>0</v>
      </c>
      <c r="K27" s="230">
        <v>16</v>
      </c>
      <c r="L27" s="230">
        <v>0</v>
      </c>
      <c r="M27" s="230">
        <v>0</v>
      </c>
      <c r="N27" s="230">
        <v>0</v>
      </c>
      <c r="O27" s="230">
        <v>0</v>
      </c>
      <c r="P27" s="230">
        <v>0</v>
      </c>
      <c r="Q27" s="230">
        <v>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</row>
    <row r="28" spans="3:41" x14ac:dyDescent="0.3">
      <c r="C28" s="230">
        <v>28</v>
      </c>
      <c r="D28" s="230">
        <v>4</v>
      </c>
      <c r="E28" s="230">
        <v>4</v>
      </c>
      <c r="F28" s="230">
        <v>8</v>
      </c>
      <c r="G28" s="230">
        <v>0</v>
      </c>
      <c r="H28" s="230">
        <v>0</v>
      </c>
      <c r="I28" s="230">
        <v>0</v>
      </c>
      <c r="J28" s="230">
        <v>0</v>
      </c>
      <c r="K28" s="230">
        <v>0</v>
      </c>
      <c r="L28" s="230">
        <v>0</v>
      </c>
      <c r="M28" s="230">
        <v>0</v>
      </c>
      <c r="N28" s="230">
        <v>0</v>
      </c>
      <c r="O28" s="230">
        <v>8</v>
      </c>
      <c r="P28" s="230">
        <v>0</v>
      </c>
      <c r="Q28" s="230">
        <v>0</v>
      </c>
      <c r="R28" s="230">
        <v>0</v>
      </c>
      <c r="S28" s="230">
        <v>0</v>
      </c>
      <c r="T28" s="230">
        <v>0</v>
      </c>
      <c r="U28" s="230">
        <v>0</v>
      </c>
      <c r="V28" s="230">
        <v>0</v>
      </c>
      <c r="W28" s="230">
        <v>0</v>
      </c>
      <c r="X28" s="230">
        <v>0</v>
      </c>
      <c r="Y28" s="230">
        <v>0</v>
      </c>
      <c r="Z28" s="230">
        <v>0</v>
      </c>
      <c r="AA28" s="230">
        <v>0</v>
      </c>
      <c r="AB28" s="230">
        <v>0</v>
      </c>
      <c r="AC28" s="230">
        <v>0</v>
      </c>
      <c r="AD28" s="230">
        <v>0</v>
      </c>
      <c r="AE28" s="230">
        <v>0</v>
      </c>
      <c r="AF28" s="230">
        <v>0</v>
      </c>
      <c r="AG28" s="230">
        <v>0</v>
      </c>
      <c r="AH28" s="230">
        <v>0</v>
      </c>
      <c r="AI28" s="230">
        <v>0</v>
      </c>
      <c r="AJ28" s="230">
        <v>0</v>
      </c>
      <c r="AK28" s="230">
        <v>0</v>
      </c>
      <c r="AL28" s="230">
        <v>0</v>
      </c>
      <c r="AM28" s="230">
        <v>0</v>
      </c>
      <c r="AN28" s="230">
        <v>0</v>
      </c>
      <c r="AO28" s="230">
        <v>0</v>
      </c>
    </row>
    <row r="29" spans="3:41" x14ac:dyDescent="0.3">
      <c r="C29" s="230">
        <v>28</v>
      </c>
      <c r="D29" s="230">
        <v>4</v>
      </c>
      <c r="E29" s="230">
        <v>6</v>
      </c>
      <c r="F29" s="230">
        <v>776372</v>
      </c>
      <c r="G29" s="230">
        <v>0</v>
      </c>
      <c r="H29" s="230">
        <v>176269</v>
      </c>
      <c r="I29" s="230">
        <v>0</v>
      </c>
      <c r="J29" s="230">
        <v>0</v>
      </c>
      <c r="K29" s="230">
        <v>84874</v>
      </c>
      <c r="L29" s="230">
        <v>0</v>
      </c>
      <c r="M29" s="230">
        <v>0</v>
      </c>
      <c r="N29" s="230">
        <v>0</v>
      </c>
      <c r="O29" s="230">
        <v>144852</v>
      </c>
      <c r="P29" s="230">
        <v>0</v>
      </c>
      <c r="Q29" s="230">
        <v>0</v>
      </c>
      <c r="R29" s="230">
        <v>0</v>
      </c>
      <c r="S29" s="230">
        <v>0</v>
      </c>
      <c r="T29" s="230">
        <v>0</v>
      </c>
      <c r="U29" s="230">
        <v>0</v>
      </c>
      <c r="V29" s="230">
        <v>0</v>
      </c>
      <c r="W29" s="230">
        <v>0</v>
      </c>
      <c r="X29" s="230">
        <v>0</v>
      </c>
      <c r="Y29" s="230">
        <v>0</v>
      </c>
      <c r="Z29" s="230">
        <v>0</v>
      </c>
      <c r="AA29" s="230">
        <v>317970</v>
      </c>
      <c r="AB29" s="230">
        <v>0</v>
      </c>
      <c r="AC29" s="230">
        <v>0</v>
      </c>
      <c r="AD29" s="230">
        <v>0</v>
      </c>
      <c r="AE29" s="230">
        <v>0</v>
      </c>
      <c r="AF29" s="230">
        <v>0</v>
      </c>
      <c r="AG29" s="230">
        <v>0</v>
      </c>
      <c r="AH29" s="230">
        <v>0</v>
      </c>
      <c r="AI29" s="230">
        <v>13290</v>
      </c>
      <c r="AJ29" s="230">
        <v>0</v>
      </c>
      <c r="AK29" s="230">
        <v>0</v>
      </c>
      <c r="AL29" s="230">
        <v>0</v>
      </c>
      <c r="AM29" s="230">
        <v>0</v>
      </c>
      <c r="AN29" s="230">
        <v>39117</v>
      </c>
      <c r="AO29" s="230">
        <v>0</v>
      </c>
    </row>
    <row r="30" spans="3:41" x14ac:dyDescent="0.3">
      <c r="C30" s="230">
        <v>28</v>
      </c>
      <c r="D30" s="230">
        <v>4</v>
      </c>
      <c r="E30" s="230">
        <v>10</v>
      </c>
      <c r="F30" s="230">
        <v>900</v>
      </c>
      <c r="G30" s="230">
        <v>0</v>
      </c>
      <c r="H30" s="230">
        <v>900</v>
      </c>
      <c r="I30" s="230">
        <v>0</v>
      </c>
      <c r="J30" s="230">
        <v>0</v>
      </c>
      <c r="K30" s="230">
        <v>0</v>
      </c>
      <c r="L30" s="230">
        <v>0</v>
      </c>
      <c r="M30" s="230">
        <v>0</v>
      </c>
      <c r="N30" s="230">
        <v>0</v>
      </c>
      <c r="O30" s="230">
        <v>0</v>
      </c>
      <c r="P30" s="230">
        <v>0</v>
      </c>
      <c r="Q30" s="230">
        <v>0</v>
      </c>
      <c r="R30" s="230">
        <v>0</v>
      </c>
      <c r="S30" s="230">
        <v>0</v>
      </c>
      <c r="T30" s="230">
        <v>0</v>
      </c>
      <c r="U30" s="230">
        <v>0</v>
      </c>
      <c r="V30" s="230">
        <v>0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0</v>
      </c>
      <c r="AK30" s="230">
        <v>0</v>
      </c>
      <c r="AL30" s="230">
        <v>0</v>
      </c>
      <c r="AM30" s="230">
        <v>0</v>
      </c>
      <c r="AN30" s="230">
        <v>0</v>
      </c>
      <c r="AO30" s="230">
        <v>0</v>
      </c>
    </row>
    <row r="31" spans="3:41" x14ac:dyDescent="0.3">
      <c r="C31" s="230">
        <v>28</v>
      </c>
      <c r="D31" s="230">
        <v>4</v>
      </c>
      <c r="E31" s="230">
        <v>11</v>
      </c>
      <c r="F31" s="230">
        <v>5719.05143867876</v>
      </c>
      <c r="G31" s="230">
        <v>0</v>
      </c>
      <c r="H31" s="230">
        <v>1385.7181053454269</v>
      </c>
      <c r="I31" s="230">
        <v>0</v>
      </c>
      <c r="J31" s="230">
        <v>0</v>
      </c>
      <c r="K31" s="230">
        <v>4333.333333333333</v>
      </c>
      <c r="L31" s="230">
        <v>0</v>
      </c>
      <c r="M31" s="230">
        <v>0</v>
      </c>
      <c r="N31" s="230">
        <v>0</v>
      </c>
      <c r="O31" s="230">
        <v>0</v>
      </c>
      <c r="P31" s="230">
        <v>0</v>
      </c>
      <c r="Q31" s="230">
        <v>0</v>
      </c>
      <c r="R31" s="230">
        <v>0</v>
      </c>
      <c r="S31" s="230">
        <v>0</v>
      </c>
      <c r="T31" s="230">
        <v>0</v>
      </c>
      <c r="U31" s="230">
        <v>0</v>
      </c>
      <c r="V31" s="230">
        <v>0</v>
      </c>
      <c r="W31" s="230">
        <v>0</v>
      </c>
      <c r="X31" s="230">
        <v>0</v>
      </c>
      <c r="Y31" s="230">
        <v>0</v>
      </c>
      <c r="Z31" s="230">
        <v>0</v>
      </c>
      <c r="AA31" s="230">
        <v>0</v>
      </c>
      <c r="AB31" s="230">
        <v>0</v>
      </c>
      <c r="AC31" s="230">
        <v>0</v>
      </c>
      <c r="AD31" s="230">
        <v>0</v>
      </c>
      <c r="AE31" s="230">
        <v>0</v>
      </c>
      <c r="AF31" s="230">
        <v>0</v>
      </c>
      <c r="AG31" s="230">
        <v>0</v>
      </c>
      <c r="AH31" s="230">
        <v>0</v>
      </c>
      <c r="AI31" s="230">
        <v>0</v>
      </c>
      <c r="AJ31" s="230">
        <v>0</v>
      </c>
      <c r="AK31" s="230">
        <v>0</v>
      </c>
      <c r="AL31" s="230">
        <v>0</v>
      </c>
      <c r="AM31" s="230">
        <v>0</v>
      </c>
      <c r="AN31" s="230">
        <v>0</v>
      </c>
      <c r="AO31" s="230">
        <v>0</v>
      </c>
    </row>
    <row r="32" spans="3:41" x14ac:dyDescent="0.3">
      <c r="C32" s="230">
        <v>28</v>
      </c>
      <c r="D32" s="230">
        <v>5</v>
      </c>
      <c r="E32" s="230">
        <v>1</v>
      </c>
      <c r="F32" s="230">
        <v>25.35</v>
      </c>
      <c r="G32" s="230">
        <v>0</v>
      </c>
      <c r="H32" s="230">
        <v>3.95</v>
      </c>
      <c r="I32" s="230">
        <v>0</v>
      </c>
      <c r="J32" s="230">
        <v>0</v>
      </c>
      <c r="K32" s="230">
        <v>2.5</v>
      </c>
      <c r="L32" s="230">
        <v>0</v>
      </c>
      <c r="M32" s="230">
        <v>0</v>
      </c>
      <c r="N32" s="230">
        <v>0</v>
      </c>
      <c r="O32" s="230">
        <v>5.5</v>
      </c>
      <c r="P32" s="230">
        <v>0</v>
      </c>
      <c r="Q32" s="230">
        <v>0</v>
      </c>
      <c r="R32" s="230">
        <v>0</v>
      </c>
      <c r="S32" s="230">
        <v>0</v>
      </c>
      <c r="T32" s="230">
        <v>0</v>
      </c>
      <c r="U32" s="230">
        <v>0</v>
      </c>
      <c r="V32" s="230">
        <v>0</v>
      </c>
      <c r="W32" s="230">
        <v>0</v>
      </c>
      <c r="X32" s="230">
        <v>0</v>
      </c>
      <c r="Y32" s="230">
        <v>0</v>
      </c>
      <c r="Z32" s="230">
        <v>0</v>
      </c>
      <c r="AA32" s="230">
        <v>9.6</v>
      </c>
      <c r="AB32" s="230">
        <v>0</v>
      </c>
      <c r="AC32" s="230">
        <v>0</v>
      </c>
      <c r="AD32" s="230">
        <v>0</v>
      </c>
      <c r="AE32" s="230">
        <v>0</v>
      </c>
      <c r="AF32" s="230">
        <v>0</v>
      </c>
      <c r="AG32" s="230">
        <v>0</v>
      </c>
      <c r="AH32" s="230">
        <v>0</v>
      </c>
      <c r="AI32" s="230">
        <v>2</v>
      </c>
      <c r="AJ32" s="230">
        <v>0</v>
      </c>
      <c r="AK32" s="230">
        <v>0</v>
      </c>
      <c r="AL32" s="230">
        <v>0</v>
      </c>
      <c r="AM32" s="230">
        <v>0</v>
      </c>
      <c r="AN32" s="230">
        <v>1.8</v>
      </c>
      <c r="AO32" s="230">
        <v>0</v>
      </c>
    </row>
    <row r="33" spans="3:41" x14ac:dyDescent="0.3">
      <c r="C33" s="230">
        <v>28</v>
      </c>
      <c r="D33" s="230">
        <v>5</v>
      </c>
      <c r="E33" s="230">
        <v>2</v>
      </c>
      <c r="F33" s="230">
        <v>3812.84</v>
      </c>
      <c r="G33" s="230">
        <v>0</v>
      </c>
      <c r="H33" s="230">
        <v>590.4</v>
      </c>
      <c r="I33" s="230">
        <v>0</v>
      </c>
      <c r="J33" s="230">
        <v>0</v>
      </c>
      <c r="K33" s="230">
        <v>412</v>
      </c>
      <c r="L33" s="230">
        <v>0</v>
      </c>
      <c r="M33" s="230">
        <v>0</v>
      </c>
      <c r="N33" s="230">
        <v>0</v>
      </c>
      <c r="O33" s="230">
        <v>852</v>
      </c>
      <c r="P33" s="230">
        <v>0</v>
      </c>
      <c r="Q33" s="230">
        <v>0</v>
      </c>
      <c r="R33" s="230">
        <v>0</v>
      </c>
      <c r="S33" s="230">
        <v>0</v>
      </c>
      <c r="T33" s="230">
        <v>0</v>
      </c>
      <c r="U33" s="230">
        <v>0</v>
      </c>
      <c r="V33" s="230">
        <v>0</v>
      </c>
      <c r="W33" s="230">
        <v>0</v>
      </c>
      <c r="X33" s="230">
        <v>0</v>
      </c>
      <c r="Y33" s="230">
        <v>0</v>
      </c>
      <c r="Z33" s="230">
        <v>0</v>
      </c>
      <c r="AA33" s="230">
        <v>1508.04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168</v>
      </c>
      <c r="AJ33" s="230">
        <v>0</v>
      </c>
      <c r="AK33" s="230">
        <v>0</v>
      </c>
      <c r="AL33" s="230">
        <v>0</v>
      </c>
      <c r="AM33" s="230">
        <v>0</v>
      </c>
      <c r="AN33" s="230">
        <v>282.39999999999998</v>
      </c>
      <c r="AO33" s="230">
        <v>0</v>
      </c>
    </row>
    <row r="34" spans="3:41" x14ac:dyDescent="0.3">
      <c r="C34" s="230">
        <v>28</v>
      </c>
      <c r="D34" s="230">
        <v>5</v>
      </c>
      <c r="E34" s="230">
        <v>3</v>
      </c>
      <c r="F34" s="230">
        <v>32</v>
      </c>
      <c r="G34" s="230">
        <v>0</v>
      </c>
      <c r="H34" s="230">
        <v>0</v>
      </c>
      <c r="I34" s="230">
        <v>0</v>
      </c>
      <c r="J34" s="230">
        <v>0</v>
      </c>
      <c r="K34" s="230">
        <v>16</v>
      </c>
      <c r="L34" s="230">
        <v>0</v>
      </c>
      <c r="M34" s="230">
        <v>0</v>
      </c>
      <c r="N34" s="230">
        <v>0</v>
      </c>
      <c r="O34" s="230">
        <v>0</v>
      </c>
      <c r="P34" s="230">
        <v>0</v>
      </c>
      <c r="Q34" s="230">
        <v>0</v>
      </c>
      <c r="R34" s="230">
        <v>0</v>
      </c>
      <c r="S34" s="230">
        <v>0</v>
      </c>
      <c r="T34" s="230">
        <v>0</v>
      </c>
      <c r="U34" s="230">
        <v>0</v>
      </c>
      <c r="V34" s="230">
        <v>0</v>
      </c>
      <c r="W34" s="230">
        <v>0</v>
      </c>
      <c r="X34" s="230">
        <v>0</v>
      </c>
      <c r="Y34" s="230">
        <v>0</v>
      </c>
      <c r="Z34" s="230">
        <v>0</v>
      </c>
      <c r="AA34" s="230">
        <v>16</v>
      </c>
      <c r="AB34" s="230">
        <v>0</v>
      </c>
      <c r="AC34" s="230">
        <v>0</v>
      </c>
      <c r="AD34" s="230">
        <v>0</v>
      </c>
      <c r="AE34" s="230">
        <v>0</v>
      </c>
      <c r="AF34" s="230">
        <v>0</v>
      </c>
      <c r="AG34" s="230">
        <v>0</v>
      </c>
      <c r="AH34" s="230">
        <v>0</v>
      </c>
      <c r="AI34" s="230">
        <v>0</v>
      </c>
      <c r="AJ34" s="230">
        <v>0</v>
      </c>
      <c r="AK34" s="230">
        <v>0</v>
      </c>
      <c r="AL34" s="230">
        <v>0</v>
      </c>
      <c r="AM34" s="230">
        <v>0</v>
      </c>
      <c r="AN34" s="230">
        <v>0</v>
      </c>
      <c r="AO34" s="230">
        <v>0</v>
      </c>
    </row>
    <row r="35" spans="3:41" x14ac:dyDescent="0.3">
      <c r="C35" s="230">
        <v>28</v>
      </c>
      <c r="D35" s="230">
        <v>5</v>
      </c>
      <c r="E35" s="230">
        <v>6</v>
      </c>
      <c r="F35" s="230">
        <v>783113</v>
      </c>
      <c r="G35" s="230">
        <v>0</v>
      </c>
      <c r="H35" s="230">
        <v>189195</v>
      </c>
      <c r="I35" s="230">
        <v>0</v>
      </c>
      <c r="J35" s="230">
        <v>0</v>
      </c>
      <c r="K35" s="230">
        <v>83658</v>
      </c>
      <c r="L35" s="230">
        <v>0</v>
      </c>
      <c r="M35" s="230">
        <v>0</v>
      </c>
      <c r="N35" s="230">
        <v>0</v>
      </c>
      <c r="O35" s="230">
        <v>139785</v>
      </c>
      <c r="P35" s="230">
        <v>0</v>
      </c>
      <c r="Q35" s="230">
        <v>0</v>
      </c>
      <c r="R35" s="230">
        <v>0</v>
      </c>
      <c r="S35" s="230">
        <v>0</v>
      </c>
      <c r="T35" s="230">
        <v>0</v>
      </c>
      <c r="U35" s="230">
        <v>0</v>
      </c>
      <c r="V35" s="230">
        <v>0</v>
      </c>
      <c r="W35" s="230">
        <v>0</v>
      </c>
      <c r="X35" s="230">
        <v>0</v>
      </c>
      <c r="Y35" s="230">
        <v>0</v>
      </c>
      <c r="Z35" s="230">
        <v>0</v>
      </c>
      <c r="AA35" s="230">
        <v>318027</v>
      </c>
      <c r="AB35" s="230">
        <v>0</v>
      </c>
      <c r="AC35" s="230">
        <v>0</v>
      </c>
      <c r="AD35" s="230">
        <v>0</v>
      </c>
      <c r="AE35" s="230">
        <v>0</v>
      </c>
      <c r="AF35" s="230">
        <v>0</v>
      </c>
      <c r="AG35" s="230">
        <v>0</v>
      </c>
      <c r="AH35" s="230">
        <v>0</v>
      </c>
      <c r="AI35" s="230">
        <v>13290</v>
      </c>
      <c r="AJ35" s="230">
        <v>0</v>
      </c>
      <c r="AK35" s="230">
        <v>0</v>
      </c>
      <c r="AL35" s="230">
        <v>0</v>
      </c>
      <c r="AM35" s="230">
        <v>0</v>
      </c>
      <c r="AN35" s="230">
        <v>39158</v>
      </c>
      <c r="AO35" s="230">
        <v>0</v>
      </c>
    </row>
    <row r="36" spans="3:41" x14ac:dyDescent="0.3">
      <c r="C36" s="230">
        <v>28</v>
      </c>
      <c r="D36" s="230">
        <v>5</v>
      </c>
      <c r="E36" s="230">
        <v>11</v>
      </c>
      <c r="F36" s="230">
        <v>5719.05143867876</v>
      </c>
      <c r="G36" s="230">
        <v>0</v>
      </c>
      <c r="H36" s="230">
        <v>1385.7181053454269</v>
      </c>
      <c r="I36" s="230">
        <v>0</v>
      </c>
      <c r="J36" s="230">
        <v>0</v>
      </c>
      <c r="K36" s="230">
        <v>4333.333333333333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0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v>0</v>
      </c>
      <c r="AF36" s="230">
        <v>0</v>
      </c>
      <c r="AG36" s="230">
        <v>0</v>
      </c>
      <c r="AH36" s="230">
        <v>0</v>
      </c>
      <c r="AI36" s="230">
        <v>0</v>
      </c>
      <c r="AJ36" s="230">
        <v>0</v>
      </c>
      <c r="AK36" s="230">
        <v>0</v>
      </c>
      <c r="AL36" s="230">
        <v>0</v>
      </c>
      <c r="AM36" s="230">
        <v>0</v>
      </c>
      <c r="AN36" s="230">
        <v>0</v>
      </c>
      <c r="AO36" s="230">
        <v>0</v>
      </c>
    </row>
    <row r="37" spans="3:41" x14ac:dyDescent="0.3">
      <c r="C37" s="230">
        <v>28</v>
      </c>
      <c r="D37" s="230">
        <v>6</v>
      </c>
      <c r="E37" s="230">
        <v>1</v>
      </c>
      <c r="F37" s="230">
        <v>25.65</v>
      </c>
      <c r="G37" s="230">
        <v>0</v>
      </c>
      <c r="H37" s="230">
        <v>4.25</v>
      </c>
      <c r="I37" s="230">
        <v>0</v>
      </c>
      <c r="J37" s="230">
        <v>0</v>
      </c>
      <c r="K37" s="230">
        <v>2.5</v>
      </c>
      <c r="L37" s="230">
        <v>0</v>
      </c>
      <c r="M37" s="230">
        <v>0</v>
      </c>
      <c r="N37" s="230">
        <v>0</v>
      </c>
      <c r="O37" s="230">
        <v>5.5</v>
      </c>
      <c r="P37" s="230">
        <v>0</v>
      </c>
      <c r="Q37" s="230">
        <v>0</v>
      </c>
      <c r="R37" s="230">
        <v>0</v>
      </c>
      <c r="S37" s="230">
        <v>0</v>
      </c>
      <c r="T37" s="230">
        <v>0</v>
      </c>
      <c r="U37" s="230">
        <v>0</v>
      </c>
      <c r="V37" s="230">
        <v>0</v>
      </c>
      <c r="W37" s="230">
        <v>0</v>
      </c>
      <c r="X37" s="230">
        <v>0</v>
      </c>
      <c r="Y37" s="230">
        <v>0</v>
      </c>
      <c r="Z37" s="230">
        <v>0</v>
      </c>
      <c r="AA37" s="230">
        <v>9.6</v>
      </c>
      <c r="AB37" s="230">
        <v>0</v>
      </c>
      <c r="AC37" s="230">
        <v>0</v>
      </c>
      <c r="AD37" s="230">
        <v>0</v>
      </c>
      <c r="AE37" s="230">
        <v>0</v>
      </c>
      <c r="AF37" s="230">
        <v>0</v>
      </c>
      <c r="AG37" s="230">
        <v>0</v>
      </c>
      <c r="AH37" s="230">
        <v>0</v>
      </c>
      <c r="AI37" s="230">
        <v>2</v>
      </c>
      <c r="AJ37" s="230">
        <v>0</v>
      </c>
      <c r="AK37" s="230">
        <v>0</v>
      </c>
      <c r="AL37" s="230">
        <v>0</v>
      </c>
      <c r="AM37" s="230">
        <v>0</v>
      </c>
      <c r="AN37" s="230">
        <v>1.8</v>
      </c>
      <c r="AO37" s="230">
        <v>0</v>
      </c>
    </row>
    <row r="38" spans="3:41" x14ac:dyDescent="0.3">
      <c r="C38" s="230">
        <v>28</v>
      </c>
      <c r="D38" s="230">
        <v>6</v>
      </c>
      <c r="E38" s="230">
        <v>2</v>
      </c>
      <c r="F38" s="230">
        <v>3870.18</v>
      </c>
      <c r="G38" s="230">
        <v>0</v>
      </c>
      <c r="H38" s="230">
        <v>684.8</v>
      </c>
      <c r="I38" s="230">
        <v>0</v>
      </c>
      <c r="J38" s="230">
        <v>0</v>
      </c>
      <c r="K38" s="230">
        <v>436</v>
      </c>
      <c r="L38" s="230">
        <v>0</v>
      </c>
      <c r="M38" s="230">
        <v>0</v>
      </c>
      <c r="N38" s="230">
        <v>0</v>
      </c>
      <c r="O38" s="230">
        <v>808</v>
      </c>
      <c r="P38" s="230">
        <v>0</v>
      </c>
      <c r="Q38" s="230">
        <v>0</v>
      </c>
      <c r="R38" s="230">
        <v>0</v>
      </c>
      <c r="S38" s="230">
        <v>0</v>
      </c>
      <c r="T38" s="230">
        <v>0</v>
      </c>
      <c r="U38" s="230">
        <v>0</v>
      </c>
      <c r="V38" s="230">
        <v>0</v>
      </c>
      <c r="W38" s="230">
        <v>0</v>
      </c>
      <c r="X38" s="230">
        <v>0</v>
      </c>
      <c r="Y38" s="230">
        <v>0</v>
      </c>
      <c r="Z38" s="230">
        <v>0</v>
      </c>
      <c r="AA38" s="230">
        <v>1485.38</v>
      </c>
      <c r="AB38" s="230">
        <v>0</v>
      </c>
      <c r="AC38" s="230">
        <v>0</v>
      </c>
      <c r="AD38" s="230">
        <v>0</v>
      </c>
      <c r="AE38" s="230">
        <v>0</v>
      </c>
      <c r="AF38" s="230">
        <v>0</v>
      </c>
      <c r="AG38" s="230">
        <v>0</v>
      </c>
      <c r="AH38" s="230">
        <v>0</v>
      </c>
      <c r="AI38" s="230">
        <v>160</v>
      </c>
      <c r="AJ38" s="230">
        <v>0</v>
      </c>
      <c r="AK38" s="230">
        <v>0</v>
      </c>
      <c r="AL38" s="230">
        <v>0</v>
      </c>
      <c r="AM38" s="230">
        <v>0</v>
      </c>
      <c r="AN38" s="230">
        <v>296</v>
      </c>
      <c r="AO38" s="230">
        <v>0</v>
      </c>
    </row>
    <row r="39" spans="3:41" x14ac:dyDescent="0.3">
      <c r="C39" s="230">
        <v>28</v>
      </c>
      <c r="D39" s="230">
        <v>6</v>
      </c>
      <c r="E39" s="230">
        <v>3</v>
      </c>
      <c r="F39" s="230">
        <v>18</v>
      </c>
      <c r="G39" s="230">
        <v>0</v>
      </c>
      <c r="H39" s="230">
        <v>0</v>
      </c>
      <c r="I39" s="230">
        <v>0</v>
      </c>
      <c r="J39" s="230">
        <v>0</v>
      </c>
      <c r="K39" s="230">
        <v>18</v>
      </c>
      <c r="L39" s="230">
        <v>0</v>
      </c>
      <c r="M39" s="230">
        <v>0</v>
      </c>
      <c r="N39" s="230">
        <v>0</v>
      </c>
      <c r="O39" s="230">
        <v>0</v>
      </c>
      <c r="P39" s="230">
        <v>0</v>
      </c>
      <c r="Q39" s="230">
        <v>0</v>
      </c>
      <c r="R39" s="230">
        <v>0</v>
      </c>
      <c r="S39" s="230">
        <v>0</v>
      </c>
      <c r="T39" s="230">
        <v>0</v>
      </c>
      <c r="U39" s="230">
        <v>0</v>
      </c>
      <c r="V39" s="230">
        <v>0</v>
      </c>
      <c r="W39" s="230">
        <v>0</v>
      </c>
      <c r="X39" s="230">
        <v>0</v>
      </c>
      <c r="Y39" s="230">
        <v>0</v>
      </c>
      <c r="Z39" s="230">
        <v>0</v>
      </c>
      <c r="AA39" s="230">
        <v>0</v>
      </c>
      <c r="AB39" s="230">
        <v>0</v>
      </c>
      <c r="AC39" s="230">
        <v>0</v>
      </c>
      <c r="AD39" s="230">
        <v>0</v>
      </c>
      <c r="AE39" s="230">
        <v>0</v>
      </c>
      <c r="AF39" s="230">
        <v>0</v>
      </c>
      <c r="AG39" s="230">
        <v>0</v>
      </c>
      <c r="AH39" s="230">
        <v>0</v>
      </c>
      <c r="AI39" s="230">
        <v>0</v>
      </c>
      <c r="AJ39" s="230">
        <v>0</v>
      </c>
      <c r="AK39" s="230">
        <v>0</v>
      </c>
      <c r="AL39" s="230">
        <v>0</v>
      </c>
      <c r="AM39" s="230">
        <v>0</v>
      </c>
      <c r="AN39" s="230">
        <v>0</v>
      </c>
      <c r="AO39" s="230">
        <v>0</v>
      </c>
    </row>
    <row r="40" spans="3:41" x14ac:dyDescent="0.3">
      <c r="C40" s="230">
        <v>28</v>
      </c>
      <c r="D40" s="230">
        <v>6</v>
      </c>
      <c r="E40" s="230">
        <v>5</v>
      </c>
      <c r="F40" s="230">
        <v>38</v>
      </c>
      <c r="G40" s="230">
        <v>38</v>
      </c>
      <c r="H40" s="230">
        <v>0</v>
      </c>
      <c r="I40" s="230">
        <v>0</v>
      </c>
      <c r="J40" s="230">
        <v>0</v>
      </c>
      <c r="K40" s="230">
        <v>0</v>
      </c>
      <c r="L40" s="230">
        <v>0</v>
      </c>
      <c r="M40" s="230">
        <v>0</v>
      </c>
      <c r="N40" s="230">
        <v>0</v>
      </c>
      <c r="O40" s="230">
        <v>0</v>
      </c>
      <c r="P40" s="230">
        <v>0</v>
      </c>
      <c r="Q40" s="230">
        <v>0</v>
      </c>
      <c r="R40" s="230">
        <v>0</v>
      </c>
      <c r="S40" s="230">
        <v>0</v>
      </c>
      <c r="T40" s="230">
        <v>0</v>
      </c>
      <c r="U40" s="230">
        <v>0</v>
      </c>
      <c r="V40" s="230">
        <v>0</v>
      </c>
      <c r="W40" s="230">
        <v>0</v>
      </c>
      <c r="X40" s="230">
        <v>0</v>
      </c>
      <c r="Y40" s="230">
        <v>0</v>
      </c>
      <c r="Z40" s="230">
        <v>0</v>
      </c>
      <c r="AA40" s="230">
        <v>0</v>
      </c>
      <c r="AB40" s="230">
        <v>0</v>
      </c>
      <c r="AC40" s="230">
        <v>0</v>
      </c>
      <c r="AD40" s="230">
        <v>0</v>
      </c>
      <c r="AE40" s="230">
        <v>0</v>
      </c>
      <c r="AF40" s="230">
        <v>0</v>
      </c>
      <c r="AG40" s="230">
        <v>0</v>
      </c>
      <c r="AH40" s="230">
        <v>0</v>
      </c>
      <c r="AI40" s="230">
        <v>0</v>
      </c>
      <c r="AJ40" s="230">
        <v>0</v>
      </c>
      <c r="AK40" s="230">
        <v>0</v>
      </c>
      <c r="AL40" s="230">
        <v>0</v>
      </c>
      <c r="AM40" s="230">
        <v>0</v>
      </c>
      <c r="AN40" s="230">
        <v>0</v>
      </c>
      <c r="AO40" s="230">
        <v>0</v>
      </c>
    </row>
    <row r="41" spans="3:41" x14ac:dyDescent="0.3">
      <c r="C41" s="230">
        <v>28</v>
      </c>
      <c r="D41" s="230">
        <v>6</v>
      </c>
      <c r="E41" s="230">
        <v>6</v>
      </c>
      <c r="F41" s="230">
        <v>828213</v>
      </c>
      <c r="G41" s="230">
        <v>15200</v>
      </c>
      <c r="H41" s="230">
        <v>218740</v>
      </c>
      <c r="I41" s="230">
        <v>0</v>
      </c>
      <c r="J41" s="230">
        <v>0</v>
      </c>
      <c r="K41" s="230">
        <v>83880</v>
      </c>
      <c r="L41" s="230">
        <v>0</v>
      </c>
      <c r="M41" s="230">
        <v>0</v>
      </c>
      <c r="N41" s="230">
        <v>0</v>
      </c>
      <c r="O41" s="230">
        <v>156321</v>
      </c>
      <c r="P41" s="230">
        <v>0</v>
      </c>
      <c r="Q41" s="230">
        <v>0</v>
      </c>
      <c r="R41" s="230">
        <v>0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301440</v>
      </c>
      <c r="AB41" s="230">
        <v>0</v>
      </c>
      <c r="AC41" s="230">
        <v>0</v>
      </c>
      <c r="AD41" s="230">
        <v>0</v>
      </c>
      <c r="AE41" s="230">
        <v>0</v>
      </c>
      <c r="AF41" s="230">
        <v>0</v>
      </c>
      <c r="AG41" s="230">
        <v>0</v>
      </c>
      <c r="AH41" s="230">
        <v>0</v>
      </c>
      <c r="AI41" s="230">
        <v>13328</v>
      </c>
      <c r="AJ41" s="230">
        <v>0</v>
      </c>
      <c r="AK41" s="230">
        <v>0</v>
      </c>
      <c r="AL41" s="230">
        <v>0</v>
      </c>
      <c r="AM41" s="230">
        <v>0</v>
      </c>
      <c r="AN41" s="230">
        <v>39304</v>
      </c>
      <c r="AO41" s="230">
        <v>0</v>
      </c>
    </row>
    <row r="42" spans="3:41" x14ac:dyDescent="0.3">
      <c r="C42" s="230">
        <v>28</v>
      </c>
      <c r="D42" s="230">
        <v>6</v>
      </c>
      <c r="E42" s="230">
        <v>9</v>
      </c>
      <c r="F42" s="230">
        <v>10000</v>
      </c>
      <c r="G42" s="230">
        <v>0</v>
      </c>
      <c r="H42" s="230">
        <v>0</v>
      </c>
      <c r="I42" s="230">
        <v>0</v>
      </c>
      <c r="J42" s="230">
        <v>0</v>
      </c>
      <c r="K42" s="230">
        <v>0</v>
      </c>
      <c r="L42" s="230">
        <v>0</v>
      </c>
      <c r="M42" s="230">
        <v>0</v>
      </c>
      <c r="N42" s="230">
        <v>0</v>
      </c>
      <c r="O42" s="230">
        <v>10000</v>
      </c>
      <c r="P42" s="230">
        <v>0</v>
      </c>
      <c r="Q42" s="230">
        <v>0</v>
      </c>
      <c r="R42" s="230">
        <v>0</v>
      </c>
      <c r="S42" s="230">
        <v>0</v>
      </c>
      <c r="T42" s="230">
        <v>0</v>
      </c>
      <c r="U42" s="230">
        <v>0</v>
      </c>
      <c r="V42" s="230">
        <v>0</v>
      </c>
      <c r="W42" s="230">
        <v>0</v>
      </c>
      <c r="X42" s="230">
        <v>0</v>
      </c>
      <c r="Y42" s="230">
        <v>0</v>
      </c>
      <c r="Z42" s="230">
        <v>0</v>
      </c>
      <c r="AA42" s="230">
        <v>0</v>
      </c>
      <c r="AB42" s="230">
        <v>0</v>
      </c>
      <c r="AC42" s="230">
        <v>0</v>
      </c>
      <c r="AD42" s="230">
        <v>0</v>
      </c>
      <c r="AE42" s="230">
        <v>0</v>
      </c>
      <c r="AF42" s="230">
        <v>0</v>
      </c>
      <c r="AG42" s="230">
        <v>0</v>
      </c>
      <c r="AH42" s="230">
        <v>0</v>
      </c>
      <c r="AI42" s="230">
        <v>0</v>
      </c>
      <c r="AJ42" s="230">
        <v>0</v>
      </c>
      <c r="AK42" s="230">
        <v>0</v>
      </c>
      <c r="AL42" s="230">
        <v>0</v>
      </c>
      <c r="AM42" s="230">
        <v>0</v>
      </c>
      <c r="AN42" s="230">
        <v>0</v>
      </c>
      <c r="AO42" s="230">
        <v>0</v>
      </c>
    </row>
    <row r="43" spans="3:41" x14ac:dyDescent="0.3">
      <c r="C43" s="230">
        <v>28</v>
      </c>
      <c r="D43" s="230">
        <v>6</v>
      </c>
      <c r="E43" s="230">
        <v>10</v>
      </c>
      <c r="F43" s="230">
        <v>3500</v>
      </c>
      <c r="G43" s="230">
        <v>0</v>
      </c>
      <c r="H43" s="230">
        <v>3500</v>
      </c>
      <c r="I43" s="230">
        <v>0</v>
      </c>
      <c r="J43" s="230">
        <v>0</v>
      </c>
      <c r="K43" s="230">
        <v>0</v>
      </c>
      <c r="L43" s="230">
        <v>0</v>
      </c>
      <c r="M43" s="230">
        <v>0</v>
      </c>
      <c r="N43" s="230">
        <v>0</v>
      </c>
      <c r="O43" s="230">
        <v>0</v>
      </c>
      <c r="P43" s="230">
        <v>0</v>
      </c>
      <c r="Q43" s="230">
        <v>0</v>
      </c>
      <c r="R43" s="230">
        <v>0</v>
      </c>
      <c r="S43" s="230">
        <v>0</v>
      </c>
      <c r="T43" s="230">
        <v>0</v>
      </c>
      <c r="U43" s="230">
        <v>0</v>
      </c>
      <c r="V43" s="230">
        <v>0</v>
      </c>
      <c r="W43" s="230">
        <v>0</v>
      </c>
      <c r="X43" s="230">
        <v>0</v>
      </c>
      <c r="Y43" s="230">
        <v>0</v>
      </c>
      <c r="Z43" s="230">
        <v>0</v>
      </c>
      <c r="AA43" s="230">
        <v>0</v>
      </c>
      <c r="AB43" s="230">
        <v>0</v>
      </c>
      <c r="AC43" s="230">
        <v>0</v>
      </c>
      <c r="AD43" s="230">
        <v>0</v>
      </c>
      <c r="AE43" s="230">
        <v>0</v>
      </c>
      <c r="AF43" s="230">
        <v>0</v>
      </c>
      <c r="AG43" s="230">
        <v>0</v>
      </c>
      <c r="AH43" s="230">
        <v>0</v>
      </c>
      <c r="AI43" s="230">
        <v>0</v>
      </c>
      <c r="AJ43" s="230">
        <v>0</v>
      </c>
      <c r="AK43" s="230">
        <v>0</v>
      </c>
      <c r="AL43" s="230">
        <v>0</v>
      </c>
      <c r="AM43" s="230">
        <v>0</v>
      </c>
      <c r="AN43" s="230">
        <v>0</v>
      </c>
      <c r="AO43" s="230">
        <v>0</v>
      </c>
    </row>
    <row r="44" spans="3:41" x14ac:dyDescent="0.3">
      <c r="C44" s="230">
        <v>28</v>
      </c>
      <c r="D44" s="230">
        <v>6</v>
      </c>
      <c r="E44" s="230">
        <v>11</v>
      </c>
      <c r="F44" s="230">
        <v>5719.05143867876</v>
      </c>
      <c r="G44" s="230">
        <v>0</v>
      </c>
      <c r="H44" s="230">
        <v>1385.7181053454269</v>
      </c>
      <c r="I44" s="230">
        <v>0</v>
      </c>
      <c r="J44" s="230">
        <v>0</v>
      </c>
      <c r="K44" s="230">
        <v>4333.333333333333</v>
      </c>
      <c r="L44" s="230">
        <v>0</v>
      </c>
      <c r="M44" s="230">
        <v>0</v>
      </c>
      <c r="N44" s="230">
        <v>0</v>
      </c>
      <c r="O44" s="230">
        <v>0</v>
      </c>
      <c r="P44" s="230">
        <v>0</v>
      </c>
      <c r="Q44" s="230">
        <v>0</v>
      </c>
      <c r="R44" s="230">
        <v>0</v>
      </c>
      <c r="S44" s="230">
        <v>0</v>
      </c>
      <c r="T44" s="230">
        <v>0</v>
      </c>
      <c r="U44" s="230">
        <v>0</v>
      </c>
      <c r="V44" s="230">
        <v>0</v>
      </c>
      <c r="W44" s="230">
        <v>0</v>
      </c>
      <c r="X44" s="230">
        <v>0</v>
      </c>
      <c r="Y44" s="230">
        <v>0</v>
      </c>
      <c r="Z44" s="230">
        <v>0</v>
      </c>
      <c r="AA44" s="230">
        <v>0</v>
      </c>
      <c r="AB44" s="230">
        <v>0</v>
      </c>
      <c r="AC44" s="230">
        <v>0</v>
      </c>
      <c r="AD44" s="230">
        <v>0</v>
      </c>
      <c r="AE44" s="230">
        <v>0</v>
      </c>
      <c r="AF44" s="230">
        <v>0</v>
      </c>
      <c r="AG44" s="230">
        <v>0</v>
      </c>
      <c r="AH44" s="230">
        <v>0</v>
      </c>
      <c r="AI44" s="230">
        <v>0</v>
      </c>
      <c r="AJ44" s="230">
        <v>0</v>
      </c>
      <c r="AK44" s="230">
        <v>0</v>
      </c>
      <c r="AL44" s="230">
        <v>0</v>
      </c>
      <c r="AM44" s="230">
        <v>0</v>
      </c>
      <c r="AN44" s="230">
        <v>0</v>
      </c>
      <c r="AO44" s="230">
        <v>0</v>
      </c>
    </row>
    <row r="45" spans="3:41" x14ac:dyDescent="0.3">
      <c r="C45" s="230">
        <v>28</v>
      </c>
      <c r="D45" s="230">
        <v>7</v>
      </c>
      <c r="E45" s="230">
        <v>1</v>
      </c>
      <c r="F45" s="230">
        <v>26.25</v>
      </c>
      <c r="G45" s="230">
        <v>0</v>
      </c>
      <c r="H45" s="230">
        <v>5.05</v>
      </c>
      <c r="I45" s="230">
        <v>0</v>
      </c>
      <c r="J45" s="230">
        <v>0</v>
      </c>
      <c r="K45" s="230">
        <v>2.5</v>
      </c>
      <c r="L45" s="230">
        <v>0</v>
      </c>
      <c r="M45" s="230">
        <v>0</v>
      </c>
      <c r="N45" s="230">
        <v>0</v>
      </c>
      <c r="O45" s="230">
        <v>5</v>
      </c>
      <c r="P45" s="230">
        <v>0</v>
      </c>
      <c r="Q45" s="230">
        <v>0</v>
      </c>
      <c r="R45" s="230">
        <v>0</v>
      </c>
      <c r="S45" s="230">
        <v>0</v>
      </c>
      <c r="T45" s="230">
        <v>0</v>
      </c>
      <c r="U45" s="230">
        <v>0</v>
      </c>
      <c r="V45" s="230">
        <v>0</v>
      </c>
      <c r="W45" s="230">
        <v>0</v>
      </c>
      <c r="X45" s="230">
        <v>0</v>
      </c>
      <c r="Y45" s="230">
        <v>0</v>
      </c>
      <c r="Z45" s="230">
        <v>0</v>
      </c>
      <c r="AA45" s="230">
        <v>9.9</v>
      </c>
      <c r="AB45" s="230">
        <v>0</v>
      </c>
      <c r="AC45" s="230">
        <v>0</v>
      </c>
      <c r="AD45" s="230">
        <v>0</v>
      </c>
      <c r="AE45" s="230">
        <v>0</v>
      </c>
      <c r="AF45" s="230">
        <v>0</v>
      </c>
      <c r="AG45" s="230">
        <v>0</v>
      </c>
      <c r="AH45" s="230">
        <v>0</v>
      </c>
      <c r="AI45" s="230">
        <v>2</v>
      </c>
      <c r="AJ45" s="230">
        <v>0</v>
      </c>
      <c r="AK45" s="230">
        <v>0</v>
      </c>
      <c r="AL45" s="230">
        <v>0</v>
      </c>
      <c r="AM45" s="230">
        <v>0</v>
      </c>
      <c r="AN45" s="230">
        <v>1.8</v>
      </c>
      <c r="AO45" s="230">
        <v>0</v>
      </c>
    </row>
    <row r="46" spans="3:41" x14ac:dyDescent="0.3">
      <c r="C46" s="230">
        <v>28</v>
      </c>
      <c r="D46" s="230">
        <v>7</v>
      </c>
      <c r="E46" s="230">
        <v>2</v>
      </c>
      <c r="F46" s="230">
        <v>3584</v>
      </c>
      <c r="G46" s="230">
        <v>0</v>
      </c>
      <c r="H46" s="230">
        <v>746.4</v>
      </c>
      <c r="I46" s="230">
        <v>0</v>
      </c>
      <c r="J46" s="230">
        <v>0</v>
      </c>
      <c r="K46" s="230">
        <v>340</v>
      </c>
      <c r="L46" s="230">
        <v>0</v>
      </c>
      <c r="M46" s="230">
        <v>0</v>
      </c>
      <c r="N46" s="230">
        <v>0</v>
      </c>
      <c r="O46" s="230">
        <v>648</v>
      </c>
      <c r="P46" s="230">
        <v>0</v>
      </c>
      <c r="Q46" s="230">
        <v>0</v>
      </c>
      <c r="R46" s="230">
        <v>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1400</v>
      </c>
      <c r="AB46" s="230">
        <v>0</v>
      </c>
      <c r="AC46" s="230">
        <v>0</v>
      </c>
      <c r="AD46" s="230">
        <v>0</v>
      </c>
      <c r="AE46" s="230">
        <v>0</v>
      </c>
      <c r="AF46" s="230">
        <v>0</v>
      </c>
      <c r="AG46" s="230">
        <v>0</v>
      </c>
      <c r="AH46" s="230">
        <v>0</v>
      </c>
      <c r="AI46" s="230">
        <v>144</v>
      </c>
      <c r="AJ46" s="230">
        <v>0</v>
      </c>
      <c r="AK46" s="230">
        <v>0</v>
      </c>
      <c r="AL46" s="230">
        <v>0</v>
      </c>
      <c r="AM46" s="230">
        <v>0</v>
      </c>
      <c r="AN46" s="230">
        <v>305.60000000000002</v>
      </c>
      <c r="AO46" s="230">
        <v>0</v>
      </c>
    </row>
    <row r="47" spans="3:41" x14ac:dyDescent="0.3">
      <c r="C47" s="230">
        <v>28</v>
      </c>
      <c r="D47" s="230">
        <v>7</v>
      </c>
      <c r="E47" s="230">
        <v>3</v>
      </c>
      <c r="F47" s="230">
        <v>140</v>
      </c>
      <c r="G47" s="230">
        <v>0</v>
      </c>
      <c r="H47" s="230">
        <v>86</v>
      </c>
      <c r="I47" s="230">
        <v>0</v>
      </c>
      <c r="J47" s="230">
        <v>0</v>
      </c>
      <c r="K47" s="230">
        <v>54</v>
      </c>
      <c r="L47" s="230">
        <v>0</v>
      </c>
      <c r="M47" s="230">
        <v>0</v>
      </c>
      <c r="N47" s="230">
        <v>0</v>
      </c>
      <c r="O47" s="230">
        <v>0</v>
      </c>
      <c r="P47" s="230">
        <v>0</v>
      </c>
      <c r="Q47" s="230">
        <v>0</v>
      </c>
      <c r="R47" s="230">
        <v>0</v>
      </c>
      <c r="S47" s="230">
        <v>0</v>
      </c>
      <c r="T47" s="230">
        <v>0</v>
      </c>
      <c r="U47" s="230">
        <v>0</v>
      </c>
      <c r="V47" s="230">
        <v>0</v>
      </c>
      <c r="W47" s="230">
        <v>0</v>
      </c>
      <c r="X47" s="230">
        <v>0</v>
      </c>
      <c r="Y47" s="230">
        <v>0</v>
      </c>
      <c r="Z47" s="230">
        <v>0</v>
      </c>
      <c r="AA47" s="230">
        <v>0</v>
      </c>
      <c r="AB47" s="230">
        <v>0</v>
      </c>
      <c r="AC47" s="230">
        <v>0</v>
      </c>
      <c r="AD47" s="230">
        <v>0</v>
      </c>
      <c r="AE47" s="230">
        <v>0</v>
      </c>
      <c r="AF47" s="230">
        <v>0</v>
      </c>
      <c r="AG47" s="230">
        <v>0</v>
      </c>
      <c r="AH47" s="230">
        <v>0</v>
      </c>
      <c r="AI47" s="230">
        <v>0</v>
      </c>
      <c r="AJ47" s="230">
        <v>0</v>
      </c>
      <c r="AK47" s="230">
        <v>0</v>
      </c>
      <c r="AL47" s="230">
        <v>0</v>
      </c>
      <c r="AM47" s="230">
        <v>0</v>
      </c>
      <c r="AN47" s="230">
        <v>0</v>
      </c>
      <c r="AO47" s="230">
        <v>0</v>
      </c>
    </row>
    <row r="48" spans="3:41" x14ac:dyDescent="0.3">
      <c r="C48" s="230">
        <v>28</v>
      </c>
      <c r="D48" s="230">
        <v>7</v>
      </c>
      <c r="E48" s="230">
        <v>5</v>
      </c>
      <c r="F48" s="230">
        <v>20</v>
      </c>
      <c r="G48" s="230">
        <v>20</v>
      </c>
      <c r="H48" s="230">
        <v>0</v>
      </c>
      <c r="I48" s="230">
        <v>0</v>
      </c>
      <c r="J48" s="230">
        <v>0</v>
      </c>
      <c r="K48" s="230">
        <v>0</v>
      </c>
      <c r="L48" s="230">
        <v>0</v>
      </c>
      <c r="M48" s="230">
        <v>0</v>
      </c>
      <c r="N48" s="230">
        <v>0</v>
      </c>
      <c r="O48" s="230">
        <v>0</v>
      </c>
      <c r="P48" s="230">
        <v>0</v>
      </c>
      <c r="Q48" s="230">
        <v>0</v>
      </c>
      <c r="R48" s="230">
        <v>0</v>
      </c>
      <c r="S48" s="230">
        <v>0</v>
      </c>
      <c r="T48" s="230">
        <v>0</v>
      </c>
      <c r="U48" s="230">
        <v>0</v>
      </c>
      <c r="V48" s="230">
        <v>0</v>
      </c>
      <c r="W48" s="230">
        <v>0</v>
      </c>
      <c r="X48" s="230">
        <v>0</v>
      </c>
      <c r="Y48" s="230">
        <v>0</v>
      </c>
      <c r="Z48" s="230">
        <v>0</v>
      </c>
      <c r="AA48" s="230">
        <v>0</v>
      </c>
      <c r="AB48" s="230">
        <v>0</v>
      </c>
      <c r="AC48" s="230">
        <v>0</v>
      </c>
      <c r="AD48" s="230">
        <v>0</v>
      </c>
      <c r="AE48" s="230">
        <v>0</v>
      </c>
      <c r="AF48" s="230">
        <v>0</v>
      </c>
      <c r="AG48" s="230">
        <v>0</v>
      </c>
      <c r="AH48" s="230">
        <v>0</v>
      </c>
      <c r="AI48" s="230">
        <v>0</v>
      </c>
      <c r="AJ48" s="230">
        <v>0</v>
      </c>
      <c r="AK48" s="230">
        <v>0</v>
      </c>
      <c r="AL48" s="230">
        <v>0</v>
      </c>
      <c r="AM48" s="230">
        <v>0</v>
      </c>
      <c r="AN48" s="230">
        <v>0</v>
      </c>
      <c r="AO48" s="230">
        <v>0</v>
      </c>
    </row>
    <row r="49" spans="3:41" x14ac:dyDescent="0.3">
      <c r="C49" s="230">
        <v>28</v>
      </c>
      <c r="D49" s="230">
        <v>7</v>
      </c>
      <c r="E49" s="230">
        <v>6</v>
      </c>
      <c r="F49" s="230">
        <v>1397215</v>
      </c>
      <c r="G49" s="230">
        <v>8000</v>
      </c>
      <c r="H49" s="230">
        <v>481432</v>
      </c>
      <c r="I49" s="230">
        <v>0</v>
      </c>
      <c r="J49" s="230">
        <v>0</v>
      </c>
      <c r="K49" s="230">
        <v>144958</v>
      </c>
      <c r="L49" s="230">
        <v>0</v>
      </c>
      <c r="M49" s="230">
        <v>0</v>
      </c>
      <c r="N49" s="230">
        <v>0</v>
      </c>
      <c r="O49" s="230">
        <v>191138</v>
      </c>
      <c r="P49" s="230">
        <v>0</v>
      </c>
      <c r="Q49" s="230">
        <v>0</v>
      </c>
      <c r="R49" s="230">
        <v>0</v>
      </c>
      <c r="S49" s="230">
        <v>0</v>
      </c>
      <c r="T49" s="230">
        <v>0</v>
      </c>
      <c r="U49" s="230">
        <v>0</v>
      </c>
      <c r="V49" s="230">
        <v>0</v>
      </c>
      <c r="W49" s="230">
        <v>0</v>
      </c>
      <c r="X49" s="230">
        <v>0</v>
      </c>
      <c r="Y49" s="230">
        <v>0</v>
      </c>
      <c r="Z49" s="230">
        <v>0</v>
      </c>
      <c r="AA49" s="230">
        <v>496123</v>
      </c>
      <c r="AB49" s="230">
        <v>0</v>
      </c>
      <c r="AC49" s="230">
        <v>0</v>
      </c>
      <c r="AD49" s="230">
        <v>0</v>
      </c>
      <c r="AE49" s="230">
        <v>0</v>
      </c>
      <c r="AF49" s="230">
        <v>0</v>
      </c>
      <c r="AG49" s="230">
        <v>0</v>
      </c>
      <c r="AH49" s="230">
        <v>0</v>
      </c>
      <c r="AI49" s="230">
        <v>20376</v>
      </c>
      <c r="AJ49" s="230">
        <v>0</v>
      </c>
      <c r="AK49" s="230">
        <v>0</v>
      </c>
      <c r="AL49" s="230">
        <v>0</v>
      </c>
      <c r="AM49" s="230">
        <v>0</v>
      </c>
      <c r="AN49" s="230">
        <v>55188</v>
      </c>
      <c r="AO49" s="230">
        <v>0</v>
      </c>
    </row>
    <row r="50" spans="3:41" x14ac:dyDescent="0.3">
      <c r="C50" s="230">
        <v>28</v>
      </c>
      <c r="D50" s="230">
        <v>7</v>
      </c>
      <c r="E50" s="230">
        <v>9</v>
      </c>
      <c r="F50" s="230">
        <v>526405</v>
      </c>
      <c r="G50" s="230">
        <v>0</v>
      </c>
      <c r="H50" s="230">
        <v>220317</v>
      </c>
      <c r="I50" s="230">
        <v>0</v>
      </c>
      <c r="J50" s="230">
        <v>0</v>
      </c>
      <c r="K50" s="230">
        <v>53911</v>
      </c>
      <c r="L50" s="230">
        <v>0</v>
      </c>
      <c r="M50" s="230">
        <v>0</v>
      </c>
      <c r="N50" s="230">
        <v>0</v>
      </c>
      <c r="O50" s="230">
        <v>58994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171880</v>
      </c>
      <c r="AB50" s="230">
        <v>0</v>
      </c>
      <c r="AC50" s="230">
        <v>0</v>
      </c>
      <c r="AD50" s="230">
        <v>0</v>
      </c>
      <c r="AE50" s="230">
        <v>0</v>
      </c>
      <c r="AF50" s="230">
        <v>0</v>
      </c>
      <c r="AG50" s="230">
        <v>0</v>
      </c>
      <c r="AH50" s="230">
        <v>0</v>
      </c>
      <c r="AI50" s="230">
        <v>5318</v>
      </c>
      <c r="AJ50" s="230">
        <v>0</v>
      </c>
      <c r="AK50" s="230">
        <v>0</v>
      </c>
      <c r="AL50" s="230">
        <v>0</v>
      </c>
      <c r="AM50" s="230">
        <v>0</v>
      </c>
      <c r="AN50" s="230">
        <v>15985</v>
      </c>
      <c r="AO50" s="230">
        <v>0</v>
      </c>
    </row>
    <row r="51" spans="3:41" x14ac:dyDescent="0.3">
      <c r="C51" s="230">
        <v>28</v>
      </c>
      <c r="D51" s="230">
        <v>7</v>
      </c>
      <c r="E51" s="230">
        <v>10</v>
      </c>
      <c r="F51" s="230">
        <v>500</v>
      </c>
      <c r="G51" s="230">
        <v>0</v>
      </c>
      <c r="H51" s="230">
        <v>0</v>
      </c>
      <c r="I51" s="230">
        <v>0</v>
      </c>
      <c r="J51" s="230">
        <v>0</v>
      </c>
      <c r="K51" s="230">
        <v>500</v>
      </c>
      <c r="L51" s="230">
        <v>0</v>
      </c>
      <c r="M51" s="230">
        <v>0</v>
      </c>
      <c r="N51" s="230">
        <v>0</v>
      </c>
      <c r="O51" s="230">
        <v>0</v>
      </c>
      <c r="P51" s="230">
        <v>0</v>
      </c>
      <c r="Q51" s="230">
        <v>0</v>
      </c>
      <c r="R51" s="230">
        <v>0</v>
      </c>
      <c r="S51" s="230">
        <v>0</v>
      </c>
      <c r="T51" s="230">
        <v>0</v>
      </c>
      <c r="U51" s="230">
        <v>0</v>
      </c>
      <c r="V51" s="230">
        <v>0</v>
      </c>
      <c r="W51" s="230">
        <v>0</v>
      </c>
      <c r="X51" s="230">
        <v>0</v>
      </c>
      <c r="Y51" s="230">
        <v>0</v>
      </c>
      <c r="Z51" s="230">
        <v>0</v>
      </c>
      <c r="AA51" s="230">
        <v>0</v>
      </c>
      <c r="AB51" s="230">
        <v>0</v>
      </c>
      <c r="AC51" s="230">
        <v>0</v>
      </c>
      <c r="AD51" s="230">
        <v>0</v>
      </c>
      <c r="AE51" s="230">
        <v>0</v>
      </c>
      <c r="AF51" s="230">
        <v>0</v>
      </c>
      <c r="AG51" s="230">
        <v>0</v>
      </c>
      <c r="AH51" s="230">
        <v>0</v>
      </c>
      <c r="AI51" s="230">
        <v>0</v>
      </c>
      <c r="AJ51" s="230">
        <v>0</v>
      </c>
      <c r="AK51" s="230">
        <v>0</v>
      </c>
      <c r="AL51" s="230">
        <v>0</v>
      </c>
      <c r="AM51" s="230">
        <v>0</v>
      </c>
      <c r="AN51" s="230">
        <v>0</v>
      </c>
      <c r="AO51" s="230">
        <v>0</v>
      </c>
    </row>
    <row r="52" spans="3:41" x14ac:dyDescent="0.3">
      <c r="C52" s="230">
        <v>28</v>
      </c>
      <c r="D52" s="230">
        <v>7</v>
      </c>
      <c r="E52" s="230">
        <v>11</v>
      </c>
      <c r="F52" s="230">
        <v>5719.05143867876</v>
      </c>
      <c r="G52" s="230">
        <v>0</v>
      </c>
      <c r="H52" s="230">
        <v>1385.7181053454269</v>
      </c>
      <c r="I52" s="230">
        <v>0</v>
      </c>
      <c r="J52" s="230">
        <v>0</v>
      </c>
      <c r="K52" s="230">
        <v>4333.333333333333</v>
      </c>
      <c r="L52" s="230">
        <v>0</v>
      </c>
      <c r="M52" s="230">
        <v>0</v>
      </c>
      <c r="N52" s="230">
        <v>0</v>
      </c>
      <c r="O52" s="230">
        <v>0</v>
      </c>
      <c r="P52" s="230">
        <v>0</v>
      </c>
      <c r="Q52" s="230">
        <v>0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v>0</v>
      </c>
      <c r="AF52" s="230">
        <v>0</v>
      </c>
      <c r="AG52" s="230">
        <v>0</v>
      </c>
      <c r="AH52" s="230">
        <v>0</v>
      </c>
      <c r="AI52" s="230">
        <v>0</v>
      </c>
      <c r="AJ52" s="230">
        <v>0</v>
      </c>
      <c r="AK52" s="230">
        <v>0</v>
      </c>
      <c r="AL52" s="230">
        <v>0</v>
      </c>
      <c r="AM52" s="230">
        <v>0</v>
      </c>
      <c r="AN52" s="230">
        <v>0</v>
      </c>
      <c r="AO52" s="230">
        <v>0</v>
      </c>
    </row>
    <row r="53" spans="3:41" x14ac:dyDescent="0.3">
      <c r="C53" s="230">
        <v>28</v>
      </c>
      <c r="D53" s="230">
        <v>8</v>
      </c>
      <c r="E53" s="230">
        <v>1</v>
      </c>
      <c r="F53" s="230">
        <v>26.25</v>
      </c>
      <c r="G53" s="230">
        <v>0</v>
      </c>
      <c r="H53" s="230">
        <v>5.05</v>
      </c>
      <c r="I53" s="230">
        <v>0</v>
      </c>
      <c r="J53" s="230">
        <v>0</v>
      </c>
      <c r="K53" s="230">
        <v>2.5</v>
      </c>
      <c r="L53" s="230">
        <v>0</v>
      </c>
      <c r="M53" s="230">
        <v>0</v>
      </c>
      <c r="N53" s="230">
        <v>0</v>
      </c>
      <c r="O53" s="230">
        <v>5</v>
      </c>
      <c r="P53" s="230">
        <v>0</v>
      </c>
      <c r="Q53" s="230">
        <v>0</v>
      </c>
      <c r="R53" s="230">
        <v>0</v>
      </c>
      <c r="S53" s="230">
        <v>0</v>
      </c>
      <c r="T53" s="230">
        <v>0</v>
      </c>
      <c r="U53" s="230">
        <v>0</v>
      </c>
      <c r="V53" s="230">
        <v>0</v>
      </c>
      <c r="W53" s="230">
        <v>0</v>
      </c>
      <c r="X53" s="230">
        <v>0</v>
      </c>
      <c r="Y53" s="230">
        <v>0</v>
      </c>
      <c r="Z53" s="230">
        <v>0</v>
      </c>
      <c r="AA53" s="230">
        <v>9.9</v>
      </c>
      <c r="AB53" s="230">
        <v>0</v>
      </c>
      <c r="AC53" s="230">
        <v>0</v>
      </c>
      <c r="AD53" s="230">
        <v>0</v>
      </c>
      <c r="AE53" s="230">
        <v>0</v>
      </c>
      <c r="AF53" s="230">
        <v>0</v>
      </c>
      <c r="AG53" s="230">
        <v>0</v>
      </c>
      <c r="AH53" s="230">
        <v>0</v>
      </c>
      <c r="AI53" s="230">
        <v>2</v>
      </c>
      <c r="AJ53" s="230">
        <v>0</v>
      </c>
      <c r="AK53" s="230">
        <v>0</v>
      </c>
      <c r="AL53" s="230">
        <v>0</v>
      </c>
      <c r="AM53" s="230">
        <v>0</v>
      </c>
      <c r="AN53" s="230">
        <v>1.8</v>
      </c>
      <c r="AO53" s="230">
        <v>0</v>
      </c>
    </row>
    <row r="54" spans="3:41" x14ac:dyDescent="0.3">
      <c r="C54" s="230">
        <v>28</v>
      </c>
      <c r="D54" s="230">
        <v>8</v>
      </c>
      <c r="E54" s="230">
        <v>2</v>
      </c>
      <c r="F54" s="230">
        <v>3183.2</v>
      </c>
      <c r="G54" s="230">
        <v>0</v>
      </c>
      <c r="H54" s="230">
        <v>652.79999999999995</v>
      </c>
      <c r="I54" s="230">
        <v>0</v>
      </c>
      <c r="J54" s="230">
        <v>0</v>
      </c>
      <c r="K54" s="230">
        <v>316</v>
      </c>
      <c r="L54" s="230">
        <v>0</v>
      </c>
      <c r="M54" s="230">
        <v>0</v>
      </c>
      <c r="N54" s="230">
        <v>0</v>
      </c>
      <c r="O54" s="230">
        <v>632</v>
      </c>
      <c r="P54" s="230">
        <v>0</v>
      </c>
      <c r="Q54" s="230">
        <v>0</v>
      </c>
      <c r="R54" s="230">
        <v>0</v>
      </c>
      <c r="S54" s="230">
        <v>0</v>
      </c>
      <c r="T54" s="230">
        <v>0</v>
      </c>
      <c r="U54" s="230">
        <v>0</v>
      </c>
      <c r="V54" s="230">
        <v>0</v>
      </c>
      <c r="W54" s="230">
        <v>0</v>
      </c>
      <c r="X54" s="230">
        <v>0</v>
      </c>
      <c r="Y54" s="230">
        <v>0</v>
      </c>
      <c r="Z54" s="230">
        <v>0</v>
      </c>
      <c r="AA54" s="230">
        <v>1312</v>
      </c>
      <c r="AB54" s="230">
        <v>0</v>
      </c>
      <c r="AC54" s="230">
        <v>0</v>
      </c>
      <c r="AD54" s="230">
        <v>0</v>
      </c>
      <c r="AE54" s="230">
        <v>0</v>
      </c>
      <c r="AF54" s="230">
        <v>0</v>
      </c>
      <c r="AG54" s="230">
        <v>0</v>
      </c>
      <c r="AH54" s="230">
        <v>0</v>
      </c>
      <c r="AI54" s="230">
        <v>144</v>
      </c>
      <c r="AJ54" s="230">
        <v>0</v>
      </c>
      <c r="AK54" s="230">
        <v>0</v>
      </c>
      <c r="AL54" s="230">
        <v>0</v>
      </c>
      <c r="AM54" s="230">
        <v>0</v>
      </c>
      <c r="AN54" s="230">
        <v>126.4</v>
      </c>
      <c r="AO54" s="230">
        <v>0</v>
      </c>
    </row>
    <row r="55" spans="3:41" x14ac:dyDescent="0.3">
      <c r="C55" s="230">
        <v>28</v>
      </c>
      <c r="D55" s="230">
        <v>8</v>
      </c>
      <c r="E55" s="230">
        <v>3</v>
      </c>
      <c r="F55" s="230">
        <v>42.5</v>
      </c>
      <c r="G55" s="230">
        <v>0</v>
      </c>
      <c r="H55" s="230">
        <v>14.5</v>
      </c>
      <c r="I55" s="230">
        <v>0</v>
      </c>
      <c r="J55" s="230">
        <v>0</v>
      </c>
      <c r="K55" s="230">
        <v>28</v>
      </c>
      <c r="L55" s="230">
        <v>0</v>
      </c>
      <c r="M55" s="230">
        <v>0</v>
      </c>
      <c r="N55" s="230">
        <v>0</v>
      </c>
      <c r="O55" s="230">
        <v>0</v>
      </c>
      <c r="P55" s="230">
        <v>0</v>
      </c>
      <c r="Q55" s="230">
        <v>0</v>
      </c>
      <c r="R55" s="230">
        <v>0</v>
      </c>
      <c r="S55" s="230">
        <v>0</v>
      </c>
      <c r="T55" s="230">
        <v>0</v>
      </c>
      <c r="U55" s="230">
        <v>0</v>
      </c>
      <c r="V55" s="230">
        <v>0</v>
      </c>
      <c r="W55" s="230">
        <v>0</v>
      </c>
      <c r="X55" s="230">
        <v>0</v>
      </c>
      <c r="Y55" s="230">
        <v>0</v>
      </c>
      <c r="Z55" s="230">
        <v>0</v>
      </c>
      <c r="AA55" s="230">
        <v>0</v>
      </c>
      <c r="AB55" s="230">
        <v>0</v>
      </c>
      <c r="AC55" s="230">
        <v>0</v>
      </c>
      <c r="AD55" s="230">
        <v>0</v>
      </c>
      <c r="AE55" s="230">
        <v>0</v>
      </c>
      <c r="AF55" s="230">
        <v>0</v>
      </c>
      <c r="AG55" s="230">
        <v>0</v>
      </c>
      <c r="AH55" s="230">
        <v>0</v>
      </c>
      <c r="AI55" s="230">
        <v>0</v>
      </c>
      <c r="AJ55" s="230">
        <v>0</v>
      </c>
      <c r="AK55" s="230">
        <v>0</v>
      </c>
      <c r="AL55" s="230">
        <v>0</v>
      </c>
      <c r="AM55" s="230">
        <v>0</v>
      </c>
      <c r="AN55" s="230">
        <v>0</v>
      </c>
      <c r="AO55" s="230">
        <v>0</v>
      </c>
    </row>
    <row r="56" spans="3:41" x14ac:dyDescent="0.3">
      <c r="C56" s="230">
        <v>28</v>
      </c>
      <c r="D56" s="230">
        <v>8</v>
      </c>
      <c r="E56" s="230">
        <v>5</v>
      </c>
      <c r="F56" s="230">
        <v>20</v>
      </c>
      <c r="G56" s="230">
        <v>20</v>
      </c>
      <c r="H56" s="230">
        <v>0</v>
      </c>
      <c r="I56" s="230">
        <v>0</v>
      </c>
      <c r="J56" s="230">
        <v>0</v>
      </c>
      <c r="K56" s="230">
        <v>0</v>
      </c>
      <c r="L56" s="230">
        <v>0</v>
      </c>
      <c r="M56" s="230">
        <v>0</v>
      </c>
      <c r="N56" s="230">
        <v>0</v>
      </c>
      <c r="O56" s="230">
        <v>0</v>
      </c>
      <c r="P56" s="230">
        <v>0</v>
      </c>
      <c r="Q56" s="230">
        <v>0</v>
      </c>
      <c r="R56" s="230">
        <v>0</v>
      </c>
      <c r="S56" s="230">
        <v>0</v>
      </c>
      <c r="T56" s="230">
        <v>0</v>
      </c>
      <c r="U56" s="230">
        <v>0</v>
      </c>
      <c r="V56" s="230">
        <v>0</v>
      </c>
      <c r="W56" s="230">
        <v>0</v>
      </c>
      <c r="X56" s="230">
        <v>0</v>
      </c>
      <c r="Y56" s="230">
        <v>0</v>
      </c>
      <c r="Z56" s="230">
        <v>0</v>
      </c>
      <c r="AA56" s="230">
        <v>0</v>
      </c>
      <c r="AB56" s="230">
        <v>0</v>
      </c>
      <c r="AC56" s="230">
        <v>0</v>
      </c>
      <c r="AD56" s="230">
        <v>0</v>
      </c>
      <c r="AE56" s="230">
        <v>0</v>
      </c>
      <c r="AF56" s="230">
        <v>0</v>
      </c>
      <c r="AG56" s="230">
        <v>0</v>
      </c>
      <c r="AH56" s="230">
        <v>0</v>
      </c>
      <c r="AI56" s="230">
        <v>0</v>
      </c>
      <c r="AJ56" s="230">
        <v>0</v>
      </c>
      <c r="AK56" s="230">
        <v>0</v>
      </c>
      <c r="AL56" s="230">
        <v>0</v>
      </c>
      <c r="AM56" s="230">
        <v>0</v>
      </c>
      <c r="AN56" s="230">
        <v>0</v>
      </c>
      <c r="AO56" s="230">
        <v>0</v>
      </c>
    </row>
    <row r="57" spans="3:41" x14ac:dyDescent="0.3">
      <c r="C57" s="230">
        <v>28</v>
      </c>
      <c r="D57" s="230">
        <v>8</v>
      </c>
      <c r="E57" s="230">
        <v>6</v>
      </c>
      <c r="F57" s="230">
        <v>822863</v>
      </c>
      <c r="G57" s="230">
        <v>8000</v>
      </c>
      <c r="H57" s="230">
        <v>232377</v>
      </c>
      <c r="I57" s="230">
        <v>0</v>
      </c>
      <c r="J57" s="230">
        <v>0</v>
      </c>
      <c r="K57" s="230">
        <v>85151</v>
      </c>
      <c r="L57" s="230">
        <v>0</v>
      </c>
      <c r="M57" s="230">
        <v>0</v>
      </c>
      <c r="N57" s="230">
        <v>0</v>
      </c>
      <c r="O57" s="230">
        <v>129411</v>
      </c>
      <c r="P57" s="230">
        <v>0</v>
      </c>
      <c r="Q57" s="230">
        <v>0</v>
      </c>
      <c r="R57" s="230">
        <v>0</v>
      </c>
      <c r="S57" s="230">
        <v>0</v>
      </c>
      <c r="T57" s="230">
        <v>0</v>
      </c>
      <c r="U57" s="230">
        <v>0</v>
      </c>
      <c r="V57" s="230">
        <v>0</v>
      </c>
      <c r="W57" s="230">
        <v>0</v>
      </c>
      <c r="X57" s="230">
        <v>0</v>
      </c>
      <c r="Y57" s="230">
        <v>0</v>
      </c>
      <c r="Z57" s="230">
        <v>0</v>
      </c>
      <c r="AA57" s="230">
        <v>314649</v>
      </c>
      <c r="AB57" s="230">
        <v>0</v>
      </c>
      <c r="AC57" s="230">
        <v>0</v>
      </c>
      <c r="AD57" s="230">
        <v>0</v>
      </c>
      <c r="AE57" s="230">
        <v>0</v>
      </c>
      <c r="AF57" s="230">
        <v>0</v>
      </c>
      <c r="AG57" s="230">
        <v>0</v>
      </c>
      <c r="AH57" s="230">
        <v>0</v>
      </c>
      <c r="AI57" s="230">
        <v>14973</v>
      </c>
      <c r="AJ57" s="230">
        <v>0</v>
      </c>
      <c r="AK57" s="230">
        <v>0</v>
      </c>
      <c r="AL57" s="230">
        <v>0</v>
      </c>
      <c r="AM57" s="230">
        <v>0</v>
      </c>
      <c r="AN57" s="230">
        <v>38302</v>
      </c>
      <c r="AO57" s="230">
        <v>0</v>
      </c>
    </row>
    <row r="58" spans="3:41" x14ac:dyDescent="0.3">
      <c r="C58" s="230">
        <v>28</v>
      </c>
      <c r="D58" s="230">
        <v>8</v>
      </c>
      <c r="E58" s="230">
        <v>11</v>
      </c>
      <c r="F58" s="230">
        <v>5719.05143867876</v>
      </c>
      <c r="G58" s="230">
        <v>0</v>
      </c>
      <c r="H58" s="230">
        <v>1385.7181053454269</v>
      </c>
      <c r="I58" s="230">
        <v>0</v>
      </c>
      <c r="J58" s="230">
        <v>0</v>
      </c>
      <c r="K58" s="230">
        <v>4333.333333333333</v>
      </c>
      <c r="L58" s="230">
        <v>0</v>
      </c>
      <c r="M58" s="230">
        <v>0</v>
      </c>
      <c r="N58" s="230">
        <v>0</v>
      </c>
      <c r="O58" s="230">
        <v>0</v>
      </c>
      <c r="P58" s="230">
        <v>0</v>
      </c>
      <c r="Q58" s="230">
        <v>0</v>
      </c>
      <c r="R58" s="230">
        <v>0</v>
      </c>
      <c r="S58" s="230">
        <v>0</v>
      </c>
      <c r="T58" s="230">
        <v>0</v>
      </c>
      <c r="U58" s="230">
        <v>0</v>
      </c>
      <c r="V58" s="230">
        <v>0</v>
      </c>
      <c r="W58" s="230">
        <v>0</v>
      </c>
      <c r="X58" s="230">
        <v>0</v>
      </c>
      <c r="Y58" s="230">
        <v>0</v>
      </c>
      <c r="Z58" s="230">
        <v>0</v>
      </c>
      <c r="AA58" s="230">
        <v>0</v>
      </c>
      <c r="AB58" s="230">
        <v>0</v>
      </c>
      <c r="AC58" s="230">
        <v>0</v>
      </c>
      <c r="AD58" s="230">
        <v>0</v>
      </c>
      <c r="AE58" s="230">
        <v>0</v>
      </c>
      <c r="AF58" s="230">
        <v>0</v>
      </c>
      <c r="AG58" s="230">
        <v>0</v>
      </c>
      <c r="AH58" s="230">
        <v>0</v>
      </c>
      <c r="AI58" s="230">
        <v>0</v>
      </c>
      <c r="AJ58" s="230">
        <v>0</v>
      </c>
      <c r="AK58" s="230">
        <v>0</v>
      </c>
      <c r="AL58" s="230">
        <v>0</v>
      </c>
      <c r="AM58" s="230">
        <v>0</v>
      </c>
      <c r="AN58" s="230">
        <v>0</v>
      </c>
      <c r="AO58" s="230">
        <v>0</v>
      </c>
    </row>
    <row r="59" spans="3:41" x14ac:dyDescent="0.3">
      <c r="C59" s="230">
        <v>28</v>
      </c>
      <c r="D59" s="230">
        <v>9</v>
      </c>
      <c r="E59" s="230">
        <v>1</v>
      </c>
      <c r="F59" s="230">
        <v>25.5</v>
      </c>
      <c r="G59" s="230">
        <v>0</v>
      </c>
      <c r="H59" s="230">
        <v>5.3</v>
      </c>
      <c r="I59" s="230">
        <v>0</v>
      </c>
      <c r="J59" s="230">
        <v>0</v>
      </c>
      <c r="K59" s="230">
        <v>2.5</v>
      </c>
      <c r="L59" s="230">
        <v>0</v>
      </c>
      <c r="M59" s="230">
        <v>0</v>
      </c>
      <c r="N59" s="230">
        <v>0</v>
      </c>
      <c r="O59" s="230">
        <v>5</v>
      </c>
      <c r="P59" s="230">
        <v>0</v>
      </c>
      <c r="Q59" s="230">
        <v>0</v>
      </c>
      <c r="R59" s="230">
        <v>0</v>
      </c>
      <c r="S59" s="230">
        <v>0</v>
      </c>
      <c r="T59" s="230">
        <v>0</v>
      </c>
      <c r="U59" s="230">
        <v>0</v>
      </c>
      <c r="V59" s="230">
        <v>0</v>
      </c>
      <c r="W59" s="230">
        <v>0</v>
      </c>
      <c r="X59" s="230">
        <v>0</v>
      </c>
      <c r="Y59" s="230">
        <v>0</v>
      </c>
      <c r="Z59" s="230">
        <v>0</v>
      </c>
      <c r="AA59" s="230">
        <v>9.9</v>
      </c>
      <c r="AB59" s="230">
        <v>0</v>
      </c>
      <c r="AC59" s="230">
        <v>0</v>
      </c>
      <c r="AD59" s="230">
        <v>0</v>
      </c>
      <c r="AE59" s="230">
        <v>0</v>
      </c>
      <c r="AF59" s="230">
        <v>0</v>
      </c>
      <c r="AG59" s="230">
        <v>0</v>
      </c>
      <c r="AH59" s="230">
        <v>0</v>
      </c>
      <c r="AI59" s="230">
        <v>1</v>
      </c>
      <c r="AJ59" s="230">
        <v>0</v>
      </c>
      <c r="AK59" s="230">
        <v>0</v>
      </c>
      <c r="AL59" s="230">
        <v>0</v>
      </c>
      <c r="AM59" s="230">
        <v>0</v>
      </c>
      <c r="AN59" s="230">
        <v>1.8</v>
      </c>
      <c r="AO59" s="230">
        <v>0</v>
      </c>
    </row>
    <row r="60" spans="3:41" x14ac:dyDescent="0.3">
      <c r="C60" s="230">
        <v>28</v>
      </c>
      <c r="D60" s="230">
        <v>9</v>
      </c>
      <c r="E60" s="230">
        <v>2</v>
      </c>
      <c r="F60" s="230">
        <v>4069.6</v>
      </c>
      <c r="G60" s="230">
        <v>0</v>
      </c>
      <c r="H60" s="230">
        <v>865.6</v>
      </c>
      <c r="I60" s="230">
        <v>0</v>
      </c>
      <c r="J60" s="230">
        <v>0</v>
      </c>
      <c r="K60" s="230">
        <v>344</v>
      </c>
      <c r="L60" s="230">
        <v>0</v>
      </c>
      <c r="M60" s="230">
        <v>0</v>
      </c>
      <c r="N60" s="230">
        <v>0</v>
      </c>
      <c r="O60" s="230">
        <v>832</v>
      </c>
      <c r="P60" s="230">
        <v>0</v>
      </c>
      <c r="Q60" s="230">
        <v>0</v>
      </c>
      <c r="R60" s="230">
        <v>0</v>
      </c>
      <c r="S60" s="230">
        <v>0</v>
      </c>
      <c r="T60" s="230">
        <v>0</v>
      </c>
      <c r="U60" s="230">
        <v>0</v>
      </c>
      <c r="V60" s="230">
        <v>0</v>
      </c>
      <c r="W60" s="230">
        <v>0</v>
      </c>
      <c r="X60" s="230">
        <v>0</v>
      </c>
      <c r="Y60" s="230">
        <v>0</v>
      </c>
      <c r="Z60" s="230">
        <v>0</v>
      </c>
      <c r="AA60" s="230">
        <v>1592</v>
      </c>
      <c r="AB60" s="230">
        <v>0</v>
      </c>
      <c r="AC60" s="230">
        <v>0</v>
      </c>
      <c r="AD60" s="230">
        <v>0</v>
      </c>
      <c r="AE60" s="230">
        <v>0</v>
      </c>
      <c r="AF60" s="230">
        <v>0</v>
      </c>
      <c r="AG60" s="230">
        <v>0</v>
      </c>
      <c r="AH60" s="230">
        <v>0</v>
      </c>
      <c r="AI60" s="230">
        <v>160</v>
      </c>
      <c r="AJ60" s="230">
        <v>0</v>
      </c>
      <c r="AK60" s="230">
        <v>0</v>
      </c>
      <c r="AL60" s="230">
        <v>0</v>
      </c>
      <c r="AM60" s="230">
        <v>0</v>
      </c>
      <c r="AN60" s="230">
        <v>276</v>
      </c>
      <c r="AO60" s="230">
        <v>0</v>
      </c>
    </row>
    <row r="61" spans="3:41" x14ac:dyDescent="0.3">
      <c r="C61" s="230">
        <v>28</v>
      </c>
      <c r="D61" s="230">
        <v>9</v>
      </c>
      <c r="E61" s="230">
        <v>3</v>
      </c>
      <c r="F61" s="230">
        <v>90</v>
      </c>
      <c r="G61" s="230">
        <v>0</v>
      </c>
      <c r="H61" s="230">
        <v>56</v>
      </c>
      <c r="I61" s="230">
        <v>0</v>
      </c>
      <c r="J61" s="230">
        <v>0</v>
      </c>
      <c r="K61" s="230">
        <v>34</v>
      </c>
      <c r="L61" s="230">
        <v>0</v>
      </c>
      <c r="M61" s="230">
        <v>0</v>
      </c>
      <c r="N61" s="230">
        <v>0</v>
      </c>
      <c r="O61" s="230">
        <v>0</v>
      </c>
      <c r="P61" s="230">
        <v>0</v>
      </c>
      <c r="Q61" s="230">
        <v>0</v>
      </c>
      <c r="R61" s="230">
        <v>0</v>
      </c>
      <c r="S61" s="230">
        <v>0</v>
      </c>
      <c r="T61" s="230">
        <v>0</v>
      </c>
      <c r="U61" s="230">
        <v>0</v>
      </c>
      <c r="V61" s="230">
        <v>0</v>
      </c>
      <c r="W61" s="230">
        <v>0</v>
      </c>
      <c r="X61" s="230">
        <v>0</v>
      </c>
      <c r="Y61" s="230">
        <v>0</v>
      </c>
      <c r="Z61" s="230">
        <v>0</v>
      </c>
      <c r="AA61" s="230">
        <v>0</v>
      </c>
      <c r="AB61" s="230">
        <v>0</v>
      </c>
      <c r="AC61" s="230">
        <v>0</v>
      </c>
      <c r="AD61" s="230">
        <v>0</v>
      </c>
      <c r="AE61" s="230">
        <v>0</v>
      </c>
      <c r="AF61" s="230">
        <v>0</v>
      </c>
      <c r="AG61" s="230">
        <v>0</v>
      </c>
      <c r="AH61" s="230">
        <v>0</v>
      </c>
      <c r="AI61" s="230">
        <v>0</v>
      </c>
      <c r="AJ61" s="230">
        <v>0</v>
      </c>
      <c r="AK61" s="230">
        <v>0</v>
      </c>
      <c r="AL61" s="230">
        <v>0</v>
      </c>
      <c r="AM61" s="230">
        <v>0</v>
      </c>
      <c r="AN61" s="230">
        <v>0</v>
      </c>
      <c r="AO61" s="230">
        <v>0</v>
      </c>
    </row>
    <row r="62" spans="3:41" x14ac:dyDescent="0.3">
      <c r="C62" s="230">
        <v>28</v>
      </c>
      <c r="D62" s="230">
        <v>9</v>
      </c>
      <c r="E62" s="230">
        <v>5</v>
      </c>
      <c r="F62" s="230">
        <v>22</v>
      </c>
      <c r="G62" s="230">
        <v>22</v>
      </c>
      <c r="H62" s="230">
        <v>0</v>
      </c>
      <c r="I62" s="230">
        <v>0</v>
      </c>
      <c r="J62" s="230">
        <v>0</v>
      </c>
      <c r="K62" s="230">
        <v>0</v>
      </c>
      <c r="L62" s="230">
        <v>0</v>
      </c>
      <c r="M62" s="230">
        <v>0</v>
      </c>
      <c r="N62" s="230">
        <v>0</v>
      </c>
      <c r="O62" s="230">
        <v>0</v>
      </c>
      <c r="P62" s="230">
        <v>0</v>
      </c>
      <c r="Q62" s="230">
        <v>0</v>
      </c>
      <c r="R62" s="230">
        <v>0</v>
      </c>
      <c r="S62" s="230">
        <v>0</v>
      </c>
      <c r="T62" s="230">
        <v>0</v>
      </c>
      <c r="U62" s="230">
        <v>0</v>
      </c>
      <c r="V62" s="230">
        <v>0</v>
      </c>
      <c r="W62" s="230">
        <v>0</v>
      </c>
      <c r="X62" s="230">
        <v>0</v>
      </c>
      <c r="Y62" s="230">
        <v>0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v>0</v>
      </c>
      <c r="AF62" s="230">
        <v>0</v>
      </c>
      <c r="AG62" s="230">
        <v>0</v>
      </c>
      <c r="AH62" s="230">
        <v>0</v>
      </c>
      <c r="AI62" s="230">
        <v>0</v>
      </c>
      <c r="AJ62" s="230">
        <v>0</v>
      </c>
      <c r="AK62" s="230">
        <v>0</v>
      </c>
      <c r="AL62" s="230">
        <v>0</v>
      </c>
      <c r="AM62" s="230">
        <v>0</v>
      </c>
      <c r="AN62" s="230">
        <v>0</v>
      </c>
      <c r="AO62" s="230">
        <v>0</v>
      </c>
    </row>
    <row r="63" spans="3:41" x14ac:dyDescent="0.3">
      <c r="C63" s="230">
        <v>28</v>
      </c>
      <c r="D63" s="230">
        <v>9</v>
      </c>
      <c r="E63" s="230">
        <v>6</v>
      </c>
      <c r="F63" s="230">
        <v>875892</v>
      </c>
      <c r="G63" s="230">
        <v>8800</v>
      </c>
      <c r="H63" s="230">
        <v>271045</v>
      </c>
      <c r="I63" s="230">
        <v>0</v>
      </c>
      <c r="J63" s="230">
        <v>0</v>
      </c>
      <c r="K63" s="230">
        <v>86896</v>
      </c>
      <c r="L63" s="230">
        <v>0</v>
      </c>
      <c r="M63" s="230">
        <v>0</v>
      </c>
      <c r="N63" s="230">
        <v>0</v>
      </c>
      <c r="O63" s="230">
        <v>131376</v>
      </c>
      <c r="P63" s="230">
        <v>0</v>
      </c>
      <c r="Q63" s="230">
        <v>0</v>
      </c>
      <c r="R63" s="230">
        <v>0</v>
      </c>
      <c r="S63" s="230">
        <v>0</v>
      </c>
      <c r="T63" s="230">
        <v>0</v>
      </c>
      <c r="U63" s="230">
        <v>0</v>
      </c>
      <c r="V63" s="230">
        <v>0</v>
      </c>
      <c r="W63" s="230">
        <v>0</v>
      </c>
      <c r="X63" s="230">
        <v>0</v>
      </c>
      <c r="Y63" s="230">
        <v>0</v>
      </c>
      <c r="Z63" s="230">
        <v>0</v>
      </c>
      <c r="AA63" s="230">
        <v>317188</v>
      </c>
      <c r="AB63" s="230">
        <v>0</v>
      </c>
      <c r="AC63" s="230">
        <v>0</v>
      </c>
      <c r="AD63" s="230">
        <v>0</v>
      </c>
      <c r="AE63" s="230">
        <v>0</v>
      </c>
      <c r="AF63" s="230">
        <v>0</v>
      </c>
      <c r="AG63" s="230">
        <v>0</v>
      </c>
      <c r="AH63" s="230">
        <v>0</v>
      </c>
      <c r="AI63" s="230">
        <v>21492</v>
      </c>
      <c r="AJ63" s="230">
        <v>0</v>
      </c>
      <c r="AK63" s="230">
        <v>0</v>
      </c>
      <c r="AL63" s="230">
        <v>0</v>
      </c>
      <c r="AM63" s="230">
        <v>0</v>
      </c>
      <c r="AN63" s="230">
        <v>39095</v>
      </c>
      <c r="AO63" s="230">
        <v>0</v>
      </c>
    </row>
    <row r="64" spans="3:41" x14ac:dyDescent="0.3">
      <c r="C64" s="230">
        <v>28</v>
      </c>
      <c r="D64" s="230">
        <v>9</v>
      </c>
      <c r="E64" s="230">
        <v>10</v>
      </c>
      <c r="F64" s="230">
        <v>15300</v>
      </c>
      <c r="G64" s="230">
        <v>0</v>
      </c>
      <c r="H64" s="230">
        <v>0</v>
      </c>
      <c r="I64" s="230">
        <v>0</v>
      </c>
      <c r="J64" s="230">
        <v>0</v>
      </c>
      <c r="K64" s="230">
        <v>15300</v>
      </c>
      <c r="L64" s="230">
        <v>0</v>
      </c>
      <c r="M64" s="230">
        <v>0</v>
      </c>
      <c r="N64" s="230">
        <v>0</v>
      </c>
      <c r="O64" s="230">
        <v>0</v>
      </c>
      <c r="P64" s="230">
        <v>0</v>
      </c>
      <c r="Q64" s="230">
        <v>0</v>
      </c>
      <c r="R64" s="230">
        <v>0</v>
      </c>
      <c r="S64" s="230">
        <v>0</v>
      </c>
      <c r="T64" s="230">
        <v>0</v>
      </c>
      <c r="U64" s="230">
        <v>0</v>
      </c>
      <c r="V64" s="230">
        <v>0</v>
      </c>
      <c r="W64" s="230">
        <v>0</v>
      </c>
      <c r="X64" s="230">
        <v>0</v>
      </c>
      <c r="Y64" s="230">
        <v>0</v>
      </c>
      <c r="Z64" s="230">
        <v>0</v>
      </c>
      <c r="AA64" s="230">
        <v>0</v>
      </c>
      <c r="AB64" s="230">
        <v>0</v>
      </c>
      <c r="AC64" s="230">
        <v>0</v>
      </c>
      <c r="AD64" s="230">
        <v>0</v>
      </c>
      <c r="AE64" s="230">
        <v>0</v>
      </c>
      <c r="AF64" s="230">
        <v>0</v>
      </c>
      <c r="AG64" s="230">
        <v>0</v>
      </c>
      <c r="AH64" s="230">
        <v>0</v>
      </c>
      <c r="AI64" s="230">
        <v>0</v>
      </c>
      <c r="AJ64" s="230">
        <v>0</v>
      </c>
      <c r="AK64" s="230">
        <v>0</v>
      </c>
      <c r="AL64" s="230">
        <v>0</v>
      </c>
      <c r="AM64" s="230">
        <v>0</v>
      </c>
      <c r="AN64" s="230">
        <v>0</v>
      </c>
      <c r="AO64" s="230">
        <v>0</v>
      </c>
    </row>
    <row r="65" spans="3:41" x14ac:dyDescent="0.3">
      <c r="C65" s="230">
        <v>28</v>
      </c>
      <c r="D65" s="230">
        <v>9</v>
      </c>
      <c r="E65" s="230">
        <v>11</v>
      </c>
      <c r="F65" s="230">
        <v>5719.05143867876</v>
      </c>
      <c r="G65" s="230">
        <v>0</v>
      </c>
      <c r="H65" s="230">
        <v>1385.7181053454269</v>
      </c>
      <c r="I65" s="230">
        <v>0</v>
      </c>
      <c r="J65" s="230">
        <v>0</v>
      </c>
      <c r="K65" s="230">
        <v>4333.333333333333</v>
      </c>
      <c r="L65" s="230">
        <v>0</v>
      </c>
      <c r="M65" s="230">
        <v>0</v>
      </c>
      <c r="N65" s="230">
        <v>0</v>
      </c>
      <c r="O65" s="230">
        <v>0</v>
      </c>
      <c r="P65" s="230">
        <v>0</v>
      </c>
      <c r="Q65" s="230">
        <v>0</v>
      </c>
      <c r="R65" s="230">
        <v>0</v>
      </c>
      <c r="S65" s="230">
        <v>0</v>
      </c>
      <c r="T65" s="230">
        <v>0</v>
      </c>
      <c r="U65" s="230">
        <v>0</v>
      </c>
      <c r="V65" s="230">
        <v>0</v>
      </c>
      <c r="W65" s="230">
        <v>0</v>
      </c>
      <c r="X65" s="230">
        <v>0</v>
      </c>
      <c r="Y65" s="230">
        <v>0</v>
      </c>
      <c r="Z65" s="230">
        <v>0</v>
      </c>
      <c r="AA65" s="230">
        <v>0</v>
      </c>
      <c r="AB65" s="230">
        <v>0</v>
      </c>
      <c r="AC65" s="230">
        <v>0</v>
      </c>
      <c r="AD65" s="230">
        <v>0</v>
      </c>
      <c r="AE65" s="230">
        <v>0</v>
      </c>
      <c r="AF65" s="230">
        <v>0</v>
      </c>
      <c r="AG65" s="230">
        <v>0</v>
      </c>
      <c r="AH65" s="230">
        <v>0</v>
      </c>
      <c r="AI65" s="230">
        <v>0</v>
      </c>
      <c r="AJ65" s="230">
        <v>0</v>
      </c>
      <c r="AK65" s="230">
        <v>0</v>
      </c>
      <c r="AL65" s="230">
        <v>0</v>
      </c>
      <c r="AM65" s="230">
        <v>0</v>
      </c>
      <c r="AN65" s="230">
        <v>0</v>
      </c>
      <c r="AO65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5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97" t="s">
        <v>1061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277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41767896</v>
      </c>
      <c r="C3" s="222">
        <f t="shared" ref="C3:R3" si="0">SUBTOTAL(9,C6:C1048576)</f>
        <v>6</v>
      </c>
      <c r="D3" s="222">
        <f>SUBTOTAL(9,D6:D1048576)/2</f>
        <v>46878634</v>
      </c>
      <c r="E3" s="222">
        <f t="shared" si="0"/>
        <v>5.8374447412618018</v>
      </c>
      <c r="F3" s="222">
        <f>SUBTOTAL(9,F6:F1048576)/2</f>
        <v>51729620.510000005</v>
      </c>
      <c r="G3" s="223">
        <f>IF(B3&lt;&gt;0,F3/B3,"")</f>
        <v>1.2385019468062266</v>
      </c>
      <c r="H3" s="224">
        <f t="shared" si="0"/>
        <v>45832.359999999986</v>
      </c>
      <c r="I3" s="222">
        <f t="shared" si="0"/>
        <v>2</v>
      </c>
      <c r="J3" s="222">
        <f t="shared" si="0"/>
        <v>33713.199999999997</v>
      </c>
      <c r="K3" s="222">
        <f t="shared" si="0"/>
        <v>1.8351947534816568</v>
      </c>
      <c r="L3" s="222">
        <f t="shared" si="0"/>
        <v>0</v>
      </c>
      <c r="M3" s="225">
        <f>IF(H3&lt;&gt;0,L3/H3,"")</f>
        <v>0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276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599"/>
      <c r="B5" s="600">
        <v>2013</v>
      </c>
      <c r="C5" s="601"/>
      <c r="D5" s="601">
        <v>2014</v>
      </c>
      <c r="E5" s="601"/>
      <c r="F5" s="601">
        <v>2015</v>
      </c>
      <c r="G5" s="602" t="s">
        <v>2</v>
      </c>
      <c r="H5" s="600">
        <v>2013</v>
      </c>
      <c r="I5" s="601"/>
      <c r="J5" s="601">
        <v>2014</v>
      </c>
      <c r="K5" s="601"/>
      <c r="L5" s="601">
        <v>2015</v>
      </c>
      <c r="M5" s="602" t="s">
        <v>2</v>
      </c>
      <c r="N5" s="600">
        <v>2013</v>
      </c>
      <c r="O5" s="601"/>
      <c r="P5" s="601">
        <v>2014</v>
      </c>
      <c r="Q5" s="601"/>
      <c r="R5" s="601">
        <v>2015</v>
      </c>
      <c r="S5" s="602" t="s">
        <v>2</v>
      </c>
    </row>
    <row r="6" spans="1:19" ht="14.4" customHeight="1" x14ac:dyDescent="0.3">
      <c r="A6" s="558" t="s">
        <v>1057</v>
      </c>
      <c r="B6" s="603">
        <v>6852216</v>
      </c>
      <c r="C6" s="457">
        <v>1</v>
      </c>
      <c r="D6" s="603">
        <v>6049864</v>
      </c>
      <c r="E6" s="457">
        <v>0.88290620143906728</v>
      </c>
      <c r="F6" s="603">
        <v>3327155.5100000021</v>
      </c>
      <c r="G6" s="480">
        <v>0.48555905272104705</v>
      </c>
      <c r="H6" s="603">
        <v>15583.269999999997</v>
      </c>
      <c r="I6" s="457">
        <v>1</v>
      </c>
      <c r="J6" s="603">
        <v>23163.499999999996</v>
      </c>
      <c r="K6" s="457">
        <v>1.4864338486081548</v>
      </c>
      <c r="L6" s="603"/>
      <c r="M6" s="480"/>
      <c r="N6" s="603"/>
      <c r="O6" s="457"/>
      <c r="P6" s="603"/>
      <c r="Q6" s="457"/>
      <c r="R6" s="603"/>
      <c r="S6" s="122"/>
    </row>
    <row r="7" spans="1:19" ht="14.4" customHeight="1" x14ac:dyDescent="0.3">
      <c r="A7" s="559" t="s">
        <v>1058</v>
      </c>
      <c r="B7" s="604">
        <v>7126</v>
      </c>
      <c r="C7" s="535">
        <v>1</v>
      </c>
      <c r="D7" s="604">
        <v>7044</v>
      </c>
      <c r="E7" s="535">
        <v>0.98849284310973895</v>
      </c>
      <c r="F7" s="604"/>
      <c r="G7" s="540"/>
      <c r="H7" s="604"/>
      <c r="I7" s="535"/>
      <c r="J7" s="604"/>
      <c r="K7" s="535"/>
      <c r="L7" s="604"/>
      <c r="M7" s="540"/>
      <c r="N7" s="604"/>
      <c r="O7" s="535"/>
      <c r="P7" s="604"/>
      <c r="Q7" s="535"/>
      <c r="R7" s="604"/>
      <c r="S7" s="541"/>
    </row>
    <row r="8" spans="1:19" ht="14.4" customHeight="1" x14ac:dyDescent="0.3">
      <c r="A8" s="559" t="s">
        <v>1059</v>
      </c>
      <c r="B8" s="604">
        <v>4542930</v>
      </c>
      <c r="C8" s="535">
        <v>1</v>
      </c>
      <c r="D8" s="604">
        <v>3083829</v>
      </c>
      <c r="E8" s="535">
        <v>0.67881939629270094</v>
      </c>
      <c r="F8" s="604"/>
      <c r="G8" s="540"/>
      <c r="H8" s="604">
        <v>30249.089999999993</v>
      </c>
      <c r="I8" s="535">
        <v>1</v>
      </c>
      <c r="J8" s="604">
        <v>10549.7</v>
      </c>
      <c r="K8" s="535">
        <v>0.34876090487350209</v>
      </c>
      <c r="L8" s="604"/>
      <c r="M8" s="540"/>
      <c r="N8" s="604"/>
      <c r="O8" s="535"/>
      <c r="P8" s="604"/>
      <c r="Q8" s="535"/>
      <c r="R8" s="604"/>
      <c r="S8" s="541"/>
    </row>
    <row r="9" spans="1:19" ht="14.4" customHeight="1" thickBot="1" x14ac:dyDescent="0.35">
      <c r="A9" s="606" t="s">
        <v>1060</v>
      </c>
      <c r="B9" s="605">
        <v>30365624</v>
      </c>
      <c r="C9" s="527">
        <v>1</v>
      </c>
      <c r="D9" s="605">
        <v>37737897</v>
      </c>
      <c r="E9" s="527">
        <v>1.2427835173089148</v>
      </c>
      <c r="F9" s="605">
        <v>48402465</v>
      </c>
      <c r="G9" s="532">
        <v>1.5939888144567687</v>
      </c>
      <c r="H9" s="605"/>
      <c r="I9" s="527"/>
      <c r="J9" s="605"/>
      <c r="K9" s="527"/>
      <c r="L9" s="605"/>
      <c r="M9" s="532"/>
      <c r="N9" s="605"/>
      <c r="O9" s="527"/>
      <c r="P9" s="605"/>
      <c r="Q9" s="527"/>
      <c r="R9" s="605"/>
      <c r="S9" s="533"/>
    </row>
    <row r="10" spans="1:19" ht="14.4" customHeight="1" thickBot="1" x14ac:dyDescent="0.35"/>
    <row r="11" spans="1:19" ht="14.4" customHeight="1" x14ac:dyDescent="0.3">
      <c r="A11" s="558" t="s">
        <v>468</v>
      </c>
      <c r="B11" s="603">
        <v>11402272</v>
      </c>
      <c r="C11" s="457">
        <v>1</v>
      </c>
      <c r="D11" s="603">
        <v>9140737</v>
      </c>
      <c r="E11" s="457">
        <v>0.8016592658024646</v>
      </c>
      <c r="F11" s="603">
        <v>3327155.5100000016</v>
      </c>
      <c r="G11" s="480">
        <v>0.29179759174311942</v>
      </c>
      <c r="H11" s="603"/>
      <c r="I11" s="457"/>
      <c r="J11" s="603"/>
      <c r="K11" s="457"/>
      <c r="L11" s="603"/>
      <c r="M11" s="480"/>
      <c r="N11" s="603"/>
      <c r="O11" s="457"/>
      <c r="P11" s="603"/>
      <c r="Q11" s="457"/>
      <c r="R11" s="603"/>
      <c r="S11" s="122"/>
    </row>
    <row r="12" spans="1:19" ht="14.4" customHeight="1" thickBot="1" x14ac:dyDescent="0.35">
      <c r="A12" s="606" t="s">
        <v>473</v>
      </c>
      <c r="B12" s="605">
        <v>30365624</v>
      </c>
      <c r="C12" s="527">
        <v>1</v>
      </c>
      <c r="D12" s="605">
        <v>37737897</v>
      </c>
      <c r="E12" s="527">
        <v>1.2427835173089148</v>
      </c>
      <c r="F12" s="605">
        <v>48402465</v>
      </c>
      <c r="G12" s="532">
        <v>1.5939888144567687</v>
      </c>
      <c r="H12" s="605"/>
      <c r="I12" s="527"/>
      <c r="J12" s="605"/>
      <c r="K12" s="527"/>
      <c r="L12" s="605"/>
      <c r="M12" s="532"/>
      <c r="N12" s="605"/>
      <c r="O12" s="527"/>
      <c r="P12" s="605"/>
      <c r="Q12" s="527"/>
      <c r="R12" s="605"/>
      <c r="S12" s="533"/>
    </row>
    <row r="13" spans="1:19" ht="14.4" customHeight="1" x14ac:dyDescent="0.3">
      <c r="A13" s="499" t="s">
        <v>510</v>
      </c>
    </row>
    <row r="14" spans="1:19" ht="14.4" customHeight="1" x14ac:dyDescent="0.3">
      <c r="A14" s="500" t="s">
        <v>511</v>
      </c>
    </row>
    <row r="15" spans="1:19" ht="14.4" customHeight="1" x14ac:dyDescent="0.3">
      <c r="A15" s="499" t="s">
        <v>1062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4" t="s">
        <v>277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18148.47459424736</v>
      </c>
      <c r="D4" s="161">
        <f ca="1">IF(ISERROR(VLOOKUP("Náklady celkem",INDIRECT("HI!$A:$G"),5,0)),0,VLOOKUP("Náklady celkem",INDIRECT("HI!$A:$G"),5,0))</f>
        <v>15621.963590000005</v>
      </c>
      <c r="E4" s="162">
        <f ca="1">IF(C4=0,0,D4/C4)</f>
        <v>0.86078659167045368</v>
      </c>
    </row>
    <row r="5" spans="1:5" ht="14.4" customHeight="1" x14ac:dyDescent="0.3">
      <c r="A5" s="163" t="s">
        <v>149</v>
      </c>
      <c r="B5" s="164"/>
      <c r="C5" s="165"/>
      <c r="D5" s="165"/>
      <c r="E5" s="166"/>
    </row>
    <row r="6" spans="1:5" ht="14.4" customHeight="1" x14ac:dyDescent="0.3">
      <c r="A6" s="167" t="s">
        <v>154</v>
      </c>
      <c r="B6" s="168"/>
      <c r="C6" s="169"/>
      <c r="D6" s="169"/>
      <c r="E6" s="166"/>
    </row>
    <row r="7" spans="1:5" ht="14.4" customHeight="1" x14ac:dyDescent="0.3">
      <c r="A7" s="31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45.736399605008998</v>
      </c>
      <c r="D7" s="169">
        <f>IF(ISERROR(HI!E5),"",HI!E5)</f>
        <v>19.488990000000001</v>
      </c>
      <c r="E7" s="166">
        <f t="shared" ref="E7:E14" si="0">IF(C7=0,0,D7/C7)</f>
        <v>0.42611552654585405</v>
      </c>
    </row>
    <row r="8" spans="1:5" ht="14.4" customHeight="1" x14ac:dyDescent="0.3">
      <c r="A8" s="311" t="str">
        <f>HYPERLINK("#'LŽ Statim'!A1","Podíl statimových žádanek (max. 30%)")</f>
        <v>Podíl statimových žádanek (max. 30%)</v>
      </c>
      <c r="B8" s="309" t="s">
        <v>250</v>
      </c>
      <c r="C8" s="310">
        <v>0.3</v>
      </c>
      <c r="D8" s="310">
        <f>IF('LŽ Statim'!G3="",0,'LŽ Statim'!G3)</f>
        <v>0</v>
      </c>
      <c r="E8" s="166">
        <f>IF(C8=0,0,D8/C8)</f>
        <v>0</v>
      </c>
    </row>
    <row r="9" spans="1:5" ht="14.4" customHeight="1" x14ac:dyDescent="0.3">
      <c r="A9" s="171" t="s">
        <v>150</v>
      </c>
      <c r="B9" s="168"/>
      <c r="C9" s="169"/>
      <c r="D9" s="169"/>
      <c r="E9" s="166"/>
    </row>
    <row r="10" spans="1:5" ht="14.4" customHeight="1" x14ac:dyDescent="0.3">
      <c r="A10" s="311" t="str">
        <f>HYPERLINK("#'Léky Recepty'!A1","Záchyt v lékárně (Úhrada Kč, min. 60%)")</f>
        <v>Záchyt v lékárně (Úhrada Kč, min. 60%)</v>
      </c>
      <c r="B10" s="168" t="s">
        <v>116</v>
      </c>
      <c r="C10" s="170">
        <v>0.6</v>
      </c>
      <c r="D10" s="170">
        <f>IF(ISERROR(VLOOKUP("Celkem",'Léky Recepty'!B:H,5,0)),0,VLOOKUP("Celkem",'Léky Recepty'!B:H,5,0))</f>
        <v>0.28963827676033921</v>
      </c>
      <c r="E10" s="166">
        <f t="shared" si="0"/>
        <v>0.48273046126723201</v>
      </c>
    </row>
    <row r="11" spans="1:5" ht="14.4" customHeight="1" x14ac:dyDescent="0.3">
      <c r="A11" s="311" t="str">
        <f>HYPERLINK("#'LRp PL'!A1","Plnění pozitivního listu (min. 80%)")</f>
        <v>Plnění pozitivního listu (min. 80%)</v>
      </c>
      <c r="B11" s="168" t="s">
        <v>143</v>
      </c>
      <c r="C11" s="170">
        <v>0.8</v>
      </c>
      <c r="D11" s="170">
        <f>IF(ISERROR(VLOOKUP("Celkem",'LRp PL'!A:F,5,0)),0,VLOOKUP("Celkem",'LRp PL'!A:F,5,0))</f>
        <v>1</v>
      </c>
      <c r="E11" s="166">
        <f t="shared" si="0"/>
        <v>1.25</v>
      </c>
    </row>
    <row r="12" spans="1:5" ht="14.4" customHeight="1" x14ac:dyDescent="0.3">
      <c r="A12" s="171" t="s">
        <v>151</v>
      </c>
      <c r="B12" s="168"/>
      <c r="C12" s="169"/>
      <c r="D12" s="169"/>
      <c r="E12" s="166"/>
    </row>
    <row r="13" spans="1:5" ht="14.4" customHeight="1" x14ac:dyDescent="0.3">
      <c r="A13" s="172" t="s">
        <v>155</v>
      </c>
      <c r="B13" s="168"/>
      <c r="C13" s="165"/>
      <c r="D13" s="165"/>
      <c r="E13" s="166"/>
    </row>
    <row r="14" spans="1:5" ht="14.4" customHeight="1" x14ac:dyDescent="0.3">
      <c r="A14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8" t="s">
        <v>111</v>
      </c>
      <c r="C14" s="169">
        <f>IF(ISERROR(HI!F6),"",HI!F6)</f>
        <v>3585.8111637092552</v>
      </c>
      <c r="D14" s="169">
        <f>IF(ISERROR(HI!E6),"",HI!E6)</f>
        <v>2468.7250100000001</v>
      </c>
      <c r="E14" s="166">
        <f t="shared" si="0"/>
        <v>0.68847044567909921</v>
      </c>
    </row>
    <row r="15" spans="1:5" ht="14.4" customHeight="1" thickBot="1" x14ac:dyDescent="0.35">
      <c r="A15" s="174" t="str">
        <f>HYPERLINK("#HI!A1","Osobní náklady")</f>
        <v>Osobní náklady</v>
      </c>
      <c r="B15" s="168"/>
      <c r="C15" s="165">
        <f ca="1">IF(ISERROR(VLOOKUP("Osobní náklady (Kč) *",INDIRECT("HI!$A:$G"),6,0)),0,VLOOKUP("Osobní náklady (Kč) *",INDIRECT("HI!$A:$G"),6,0))</f>
        <v>11174.999648014582</v>
      </c>
      <c r="D15" s="165">
        <f ca="1">IF(ISERROR(VLOOKUP("Osobní náklady (Kč) *",INDIRECT("HI!$A:$G"),5,0)),0,VLOOKUP("Osobní náklady (Kč) *",INDIRECT("HI!$A:$G"),5,0))</f>
        <v>10329.891050000002</v>
      </c>
      <c r="E15" s="166">
        <f ca="1">IF(C15=0,0,D15/C15)</f>
        <v>0.92437506714689455</v>
      </c>
    </row>
    <row r="16" spans="1:5" ht="14.4" customHeight="1" thickBot="1" x14ac:dyDescent="0.35">
      <c r="A16" s="178"/>
      <c r="B16" s="179"/>
      <c r="C16" s="180"/>
      <c r="D16" s="180"/>
      <c r="E16" s="181"/>
    </row>
    <row r="17" spans="1:5" ht="14.4" customHeight="1" thickBot="1" x14ac:dyDescent="0.35">
      <c r="A17" s="182" t="str">
        <f>HYPERLINK("#HI!A1","VÝNOSY CELKEM (v tisících)")</f>
        <v>VÝNOSY CELKEM (v tisících)</v>
      </c>
      <c r="B17" s="183"/>
      <c r="C17" s="184">
        <f ca="1">IF(ISERROR(VLOOKUP("Výnosy celkem",INDIRECT("HI!$A:$G"),6,0)),0,VLOOKUP("Výnosy celkem",INDIRECT("HI!$A:$G"),6,0))</f>
        <v>41767.896000000001</v>
      </c>
      <c r="D17" s="184">
        <f ca="1">IF(ISERROR(VLOOKUP("Výnosy celkem",INDIRECT("HI!$A:$G"),5,0)),0,VLOOKUP("Výnosy celkem",INDIRECT("HI!$A:$G"),5,0))</f>
        <v>51729.620510000008</v>
      </c>
      <c r="E17" s="185">
        <f t="shared" ref="E17:E20" ca="1" si="1">IF(C17=0,0,D17/C17)</f>
        <v>1.2385019468062266</v>
      </c>
    </row>
    <row r="18" spans="1:5" ht="14.4" customHeight="1" x14ac:dyDescent="0.3">
      <c r="A18" s="186" t="str">
        <f>HYPERLINK("#HI!A1","Ambulance (body za výkony + Kč za ZUM a ZULP)")</f>
        <v>Ambulance (body za výkony + Kč za ZUM a ZULP)</v>
      </c>
      <c r="B18" s="164"/>
      <c r="C18" s="165">
        <f ca="1">IF(ISERROR(VLOOKUP("Ambulance *",INDIRECT("HI!$A:$G"),6,0)),0,VLOOKUP("Ambulance *",INDIRECT("HI!$A:$G"),6,0))</f>
        <v>41767.896000000001</v>
      </c>
      <c r="D18" s="165">
        <f ca="1">IF(ISERROR(VLOOKUP("Ambulance *",INDIRECT("HI!$A:$G"),5,0)),0,VLOOKUP("Ambulance *",INDIRECT("HI!$A:$G"),5,0))</f>
        <v>51729.620510000008</v>
      </c>
      <c r="E18" s="166">
        <f t="shared" ca="1" si="1"/>
        <v>1.2385019468062266</v>
      </c>
    </row>
    <row r="19" spans="1:5" ht="14.4" customHeight="1" x14ac:dyDescent="0.3">
      <c r="A19" s="187" t="str">
        <f>HYPERLINK("#'ZV Vykáz.-A'!A1","Zdravotní výkony vykázané u ambulantních pacientů (min. 100 %)")</f>
        <v>Zdravotní výkony vykázané u ambulantních pacientů (min. 100 %)</v>
      </c>
      <c r="B19" s="151" t="s">
        <v>123</v>
      </c>
      <c r="C19" s="170">
        <v>1</v>
      </c>
      <c r="D19" s="170">
        <f>IF(ISERROR(VLOOKUP("Celkem:",'ZV Vykáz.-A'!$A:$S,7,0)),"",VLOOKUP("Celkem:",'ZV Vykáz.-A'!$A:$S,7,0))</f>
        <v>1.2385019468062266</v>
      </c>
      <c r="E19" s="166">
        <f t="shared" si="1"/>
        <v>1.2385019468062266</v>
      </c>
    </row>
    <row r="20" spans="1:5" ht="14.4" customHeight="1" x14ac:dyDescent="0.3">
      <c r="A20" s="187" t="str">
        <f>HYPERLINK("#'ZV Vykáz.-H'!A1","Zdravotní výkony vykázané u hospitalizovaných pacientů (max. 85 %)")</f>
        <v>Zdravotní výkony vykázané u hospitalizovaných pacientů (max. 85 %)</v>
      </c>
      <c r="B20" s="151" t="s">
        <v>125</v>
      </c>
      <c r="C20" s="170">
        <v>0.85</v>
      </c>
      <c r="D20" s="170">
        <f>IF(ISERROR(VLOOKUP("Celkem:",'ZV Vykáz.-H'!$A:$S,7,0)),"",VLOOKUP("Celkem:",'ZV Vykáz.-H'!$A:$S,7,0))</f>
        <v>1.4661420790136221</v>
      </c>
      <c r="E20" s="166">
        <f t="shared" si="1"/>
        <v>1.7248730341336731</v>
      </c>
    </row>
    <row r="21" spans="1:5" ht="14.4" customHeight="1" x14ac:dyDescent="0.3">
      <c r="A21" s="188" t="str">
        <f>HYPERLINK("#HI!A1","Hospitalizace (casemix * 30000)")</f>
        <v>Hospitalizace (casemix * 30000)</v>
      </c>
      <c r="B21" s="168"/>
      <c r="C21" s="165">
        <f ca="1">IF(ISERROR(VLOOKUP("Hospitalizace *",INDIRECT("HI!$A:$G"),6,0)),0,VLOOKUP("Hospitalizace *",INDIRECT("HI!$A:$G"),6,0))</f>
        <v>0</v>
      </c>
      <c r="D21" s="165">
        <f ca="1">IF(ISERROR(VLOOKUP("Hospitalizace *",INDIRECT("HI!$A:$G"),5,0)),0,VLOOKUP("Hospitalizace *",INDIRECT("HI!$A:$G"),5,0))</f>
        <v>0</v>
      </c>
      <c r="E21" s="166">
        <f ca="1">IF(C21=0,0,D21/C21)</f>
        <v>0</v>
      </c>
    </row>
    <row r="22" spans="1:5" ht="14.4" customHeight="1" thickBot="1" x14ac:dyDescent="0.35">
      <c r="A22" s="189" t="s">
        <v>152</v>
      </c>
      <c r="B22" s="175"/>
      <c r="C22" s="176"/>
      <c r="D22" s="176"/>
      <c r="E22" s="177"/>
    </row>
    <row r="23" spans="1:5" ht="14.4" customHeight="1" thickBot="1" x14ac:dyDescent="0.35">
      <c r="A23" s="190"/>
      <c r="B23" s="191"/>
      <c r="C23" s="192"/>
      <c r="D23" s="192"/>
      <c r="E23" s="193"/>
    </row>
    <row r="24" spans="1:5" ht="14.4" customHeight="1" thickBot="1" x14ac:dyDescent="0.35">
      <c r="A24" s="194" t="s">
        <v>153</v>
      </c>
      <c r="B24" s="195"/>
      <c r="C24" s="196"/>
      <c r="D24" s="196"/>
      <c r="E24" s="197"/>
    </row>
  </sheetData>
  <mergeCells count="1">
    <mergeCell ref="A1:E1"/>
  </mergeCells>
  <conditionalFormatting sqref="E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59" priority="20" operator="lessThan">
      <formula>1</formula>
    </cfRule>
  </conditionalFormatting>
  <conditionalFormatting sqref="E8">
    <cfRule type="cellIs" dxfId="5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7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1070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4" t="s">
        <v>277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14">
        <f t="shared" ref="B3:G3" si="0">SUBTOTAL(9,B6:B1048576)</f>
        <v>40428</v>
      </c>
      <c r="C3" s="315">
        <f t="shared" si="0"/>
        <v>41164</v>
      </c>
      <c r="D3" s="315">
        <f t="shared" si="0"/>
        <v>27870</v>
      </c>
      <c r="E3" s="224">
        <f t="shared" si="0"/>
        <v>41767896</v>
      </c>
      <c r="F3" s="222">
        <f t="shared" si="0"/>
        <v>46878634</v>
      </c>
      <c r="G3" s="316">
        <f t="shared" si="0"/>
        <v>51729620.509999946</v>
      </c>
    </row>
    <row r="4" spans="1:7" ht="14.4" customHeight="1" x14ac:dyDescent="0.3">
      <c r="A4" s="398" t="s">
        <v>135</v>
      </c>
      <c r="B4" s="399" t="s">
        <v>252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599"/>
      <c r="B5" s="600">
        <v>2013</v>
      </c>
      <c r="C5" s="601">
        <v>2014</v>
      </c>
      <c r="D5" s="601">
        <v>2015</v>
      </c>
      <c r="E5" s="600">
        <v>2013</v>
      </c>
      <c r="F5" s="601">
        <v>2014</v>
      </c>
      <c r="G5" s="607">
        <v>2015</v>
      </c>
    </row>
    <row r="6" spans="1:7" ht="14.4" customHeight="1" x14ac:dyDescent="0.3">
      <c r="A6" s="558" t="s">
        <v>1063</v>
      </c>
      <c r="B6" s="460">
        <v>1</v>
      </c>
      <c r="C6" s="460"/>
      <c r="D6" s="460"/>
      <c r="E6" s="603">
        <v>323</v>
      </c>
      <c r="F6" s="603"/>
      <c r="G6" s="608"/>
    </row>
    <row r="7" spans="1:7" ht="14.4" customHeight="1" x14ac:dyDescent="0.3">
      <c r="A7" s="559" t="s">
        <v>1064</v>
      </c>
      <c r="B7" s="547">
        <v>40244</v>
      </c>
      <c r="C7" s="547">
        <v>40564</v>
      </c>
      <c r="D7" s="547">
        <v>27770</v>
      </c>
      <c r="E7" s="604">
        <v>41708986</v>
      </c>
      <c r="F7" s="604">
        <v>46686221</v>
      </c>
      <c r="G7" s="609">
        <v>51695803.509999946</v>
      </c>
    </row>
    <row r="8" spans="1:7" ht="14.4" customHeight="1" x14ac:dyDescent="0.3">
      <c r="A8" s="559" t="s">
        <v>1065</v>
      </c>
      <c r="B8" s="547">
        <v>158</v>
      </c>
      <c r="C8" s="547">
        <v>592</v>
      </c>
      <c r="D8" s="547">
        <v>1</v>
      </c>
      <c r="E8" s="604">
        <v>51034</v>
      </c>
      <c r="F8" s="604">
        <v>190727</v>
      </c>
      <c r="G8" s="609">
        <v>327</v>
      </c>
    </row>
    <row r="9" spans="1:7" ht="14.4" customHeight="1" x14ac:dyDescent="0.3">
      <c r="A9" s="559" t="s">
        <v>1066</v>
      </c>
      <c r="B9" s="547">
        <v>16</v>
      </c>
      <c r="C9" s="547">
        <v>8</v>
      </c>
      <c r="D9" s="547"/>
      <c r="E9" s="604">
        <v>4654</v>
      </c>
      <c r="F9" s="604">
        <v>1686</v>
      </c>
      <c r="G9" s="609"/>
    </row>
    <row r="10" spans="1:7" ht="14.4" customHeight="1" x14ac:dyDescent="0.3">
      <c r="A10" s="559" t="s">
        <v>1067</v>
      </c>
      <c r="B10" s="547">
        <v>4</v>
      </c>
      <c r="C10" s="547"/>
      <c r="D10" s="547"/>
      <c r="E10" s="604">
        <v>1284</v>
      </c>
      <c r="F10" s="604"/>
      <c r="G10" s="609"/>
    </row>
    <row r="11" spans="1:7" ht="14.4" customHeight="1" x14ac:dyDescent="0.3">
      <c r="A11" s="559" t="s">
        <v>513</v>
      </c>
      <c r="B11" s="547"/>
      <c r="C11" s="547"/>
      <c r="D11" s="547">
        <v>2</v>
      </c>
      <c r="E11" s="604"/>
      <c r="F11" s="604"/>
      <c r="G11" s="609">
        <v>1771</v>
      </c>
    </row>
    <row r="12" spans="1:7" ht="14.4" customHeight="1" x14ac:dyDescent="0.3">
      <c r="A12" s="559" t="s">
        <v>514</v>
      </c>
      <c r="B12" s="547"/>
      <c r="C12" s="547"/>
      <c r="D12" s="547">
        <v>97</v>
      </c>
      <c r="E12" s="604"/>
      <c r="F12" s="604"/>
      <c r="G12" s="609">
        <v>31719</v>
      </c>
    </row>
    <row r="13" spans="1:7" ht="14.4" customHeight="1" x14ac:dyDescent="0.3">
      <c r="A13" s="559" t="s">
        <v>1068</v>
      </c>
      <c r="B13" s="547">
        <v>1</v>
      </c>
      <c r="C13" s="547"/>
      <c r="D13" s="547"/>
      <c r="E13" s="604">
        <v>323</v>
      </c>
      <c r="F13" s="604"/>
      <c r="G13" s="609"/>
    </row>
    <row r="14" spans="1:7" ht="14.4" customHeight="1" thickBot="1" x14ac:dyDescent="0.35">
      <c r="A14" s="606" t="s">
        <v>1069</v>
      </c>
      <c r="B14" s="549">
        <v>4</v>
      </c>
      <c r="C14" s="549"/>
      <c r="D14" s="549"/>
      <c r="E14" s="605">
        <v>1292</v>
      </c>
      <c r="F14" s="605"/>
      <c r="G14" s="610"/>
    </row>
    <row r="15" spans="1:7" ht="14.4" customHeight="1" x14ac:dyDescent="0.3">
      <c r="A15" s="499" t="s">
        <v>510</v>
      </c>
    </row>
    <row r="16" spans="1:7" ht="14.4" customHeight="1" x14ac:dyDescent="0.3">
      <c r="A16" s="500" t="s">
        <v>511</v>
      </c>
    </row>
    <row r="17" spans="1:1" ht="14.4" customHeight="1" x14ac:dyDescent="0.3">
      <c r="A17" s="499" t="s">
        <v>1062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59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1171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277</v>
      </c>
      <c r="B2" s="320"/>
      <c r="C2" s="131"/>
      <c r="D2" s="313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40463</v>
      </c>
      <c r="G3" s="103">
        <f t="shared" si="0"/>
        <v>41813728.359999999</v>
      </c>
      <c r="H3" s="74"/>
      <c r="I3" s="74"/>
      <c r="J3" s="103">
        <f t="shared" si="0"/>
        <v>41189</v>
      </c>
      <c r="K3" s="103">
        <f t="shared" si="0"/>
        <v>46912347.200000003</v>
      </c>
      <c r="L3" s="74"/>
      <c r="M3" s="74"/>
      <c r="N3" s="103">
        <f t="shared" si="0"/>
        <v>27870</v>
      </c>
      <c r="O3" s="103">
        <f t="shared" si="0"/>
        <v>51729620.509999998</v>
      </c>
      <c r="P3" s="75">
        <f>IF(G3=0,0,O3/G3)</f>
        <v>1.2371444149784494</v>
      </c>
      <c r="Q3" s="104">
        <f>IF(N3=0,0,O3/N3)</f>
        <v>1856.1040728381772</v>
      </c>
    </row>
    <row r="4" spans="1:17" ht="14.4" customHeight="1" x14ac:dyDescent="0.3">
      <c r="A4" s="406" t="s">
        <v>95</v>
      </c>
      <c r="B4" s="413" t="s">
        <v>0</v>
      </c>
      <c r="C4" s="407" t="s">
        <v>96</v>
      </c>
      <c r="D4" s="412" t="s">
        <v>71</v>
      </c>
      <c r="E4" s="408" t="s">
        <v>70</v>
      </c>
      <c r="F4" s="409">
        <v>2013</v>
      </c>
      <c r="G4" s="410"/>
      <c r="H4" s="101"/>
      <c r="I4" s="101"/>
      <c r="J4" s="409">
        <v>2014</v>
      </c>
      <c r="K4" s="410"/>
      <c r="L4" s="101"/>
      <c r="M4" s="101"/>
      <c r="N4" s="409">
        <v>2015</v>
      </c>
      <c r="O4" s="410"/>
      <c r="P4" s="411" t="s">
        <v>2</v>
      </c>
      <c r="Q4" s="405" t="s">
        <v>98</v>
      </c>
    </row>
    <row r="5" spans="1:17" ht="14.4" customHeight="1" thickBot="1" x14ac:dyDescent="0.35">
      <c r="A5" s="611"/>
      <c r="B5" s="612"/>
      <c r="C5" s="613"/>
      <c r="D5" s="614"/>
      <c r="E5" s="615"/>
      <c r="F5" s="616" t="s">
        <v>72</v>
      </c>
      <c r="G5" s="617" t="s">
        <v>14</v>
      </c>
      <c r="H5" s="618"/>
      <c r="I5" s="618"/>
      <c r="J5" s="616" t="s">
        <v>72</v>
      </c>
      <c r="K5" s="617" t="s">
        <v>14</v>
      </c>
      <c r="L5" s="618"/>
      <c r="M5" s="618"/>
      <c r="N5" s="616" t="s">
        <v>72</v>
      </c>
      <c r="O5" s="617" t="s">
        <v>14</v>
      </c>
      <c r="P5" s="619"/>
      <c r="Q5" s="620"/>
    </row>
    <row r="6" spans="1:17" ht="14.4" customHeight="1" x14ac:dyDescent="0.3">
      <c r="A6" s="519" t="s">
        <v>1071</v>
      </c>
      <c r="B6" s="457" t="s">
        <v>468</v>
      </c>
      <c r="C6" s="457" t="s">
        <v>1072</v>
      </c>
      <c r="D6" s="457" t="s">
        <v>1073</v>
      </c>
      <c r="E6" s="457" t="s">
        <v>1074</v>
      </c>
      <c r="F6" s="460">
        <v>8</v>
      </c>
      <c r="G6" s="460">
        <v>10996.429999999998</v>
      </c>
      <c r="H6" s="457">
        <v>1</v>
      </c>
      <c r="I6" s="457">
        <v>1374.5537499999998</v>
      </c>
      <c r="J6" s="460"/>
      <c r="K6" s="460"/>
      <c r="L6" s="457"/>
      <c r="M6" s="457"/>
      <c r="N6" s="460"/>
      <c r="O6" s="460"/>
      <c r="P6" s="480"/>
      <c r="Q6" s="546"/>
    </row>
    <row r="7" spans="1:17" ht="14.4" customHeight="1" x14ac:dyDescent="0.3">
      <c r="A7" s="534" t="s">
        <v>1071</v>
      </c>
      <c r="B7" s="535" t="s">
        <v>468</v>
      </c>
      <c r="C7" s="535" t="s">
        <v>1072</v>
      </c>
      <c r="D7" s="535" t="s">
        <v>1075</v>
      </c>
      <c r="E7" s="535" t="s">
        <v>1076</v>
      </c>
      <c r="F7" s="547">
        <v>4</v>
      </c>
      <c r="G7" s="547">
        <v>4586.84</v>
      </c>
      <c r="H7" s="535">
        <v>1</v>
      </c>
      <c r="I7" s="535">
        <v>1146.71</v>
      </c>
      <c r="J7" s="547">
        <v>1</v>
      </c>
      <c r="K7" s="547">
        <v>1146.7</v>
      </c>
      <c r="L7" s="535">
        <v>0.24999781984983127</v>
      </c>
      <c r="M7" s="535">
        <v>1146.7</v>
      </c>
      <c r="N7" s="547"/>
      <c r="O7" s="547"/>
      <c r="P7" s="540"/>
      <c r="Q7" s="548"/>
    </row>
    <row r="8" spans="1:17" ht="14.4" customHeight="1" x14ac:dyDescent="0.3">
      <c r="A8" s="534" t="s">
        <v>1071</v>
      </c>
      <c r="B8" s="535" t="s">
        <v>468</v>
      </c>
      <c r="C8" s="535" t="s">
        <v>1072</v>
      </c>
      <c r="D8" s="535" t="s">
        <v>1077</v>
      </c>
      <c r="E8" s="535" t="s">
        <v>1078</v>
      </c>
      <c r="F8" s="547"/>
      <c r="G8" s="547"/>
      <c r="H8" s="535"/>
      <c r="I8" s="535"/>
      <c r="J8" s="547">
        <v>16</v>
      </c>
      <c r="K8" s="547">
        <v>22016.799999999996</v>
      </c>
      <c r="L8" s="535"/>
      <c r="M8" s="535">
        <v>1376.0499999999997</v>
      </c>
      <c r="N8" s="547"/>
      <c r="O8" s="547"/>
      <c r="P8" s="540"/>
      <c r="Q8" s="548"/>
    </row>
    <row r="9" spans="1:17" ht="14.4" customHeight="1" x14ac:dyDescent="0.3">
      <c r="A9" s="534" t="s">
        <v>1071</v>
      </c>
      <c r="B9" s="535" t="s">
        <v>468</v>
      </c>
      <c r="C9" s="535" t="s">
        <v>1079</v>
      </c>
      <c r="D9" s="535" t="s">
        <v>1080</v>
      </c>
      <c r="E9" s="535" t="s">
        <v>1081</v>
      </c>
      <c r="F9" s="547">
        <v>54</v>
      </c>
      <c r="G9" s="547">
        <v>3402</v>
      </c>
      <c r="H9" s="535">
        <v>1</v>
      </c>
      <c r="I9" s="535">
        <v>63</v>
      </c>
      <c r="J9" s="547">
        <v>107</v>
      </c>
      <c r="K9" s="547">
        <v>6823</v>
      </c>
      <c r="L9" s="535">
        <v>2.0055849500293945</v>
      </c>
      <c r="M9" s="535">
        <v>63.766355140186917</v>
      </c>
      <c r="N9" s="547">
        <v>80</v>
      </c>
      <c r="O9" s="547">
        <v>5120</v>
      </c>
      <c r="P9" s="540">
        <v>1.5049970605526162</v>
      </c>
      <c r="Q9" s="548">
        <v>64</v>
      </c>
    </row>
    <row r="10" spans="1:17" ht="14.4" customHeight="1" x14ac:dyDescent="0.3">
      <c r="A10" s="534" t="s">
        <v>1071</v>
      </c>
      <c r="B10" s="535" t="s">
        <v>468</v>
      </c>
      <c r="C10" s="535" t="s">
        <v>1079</v>
      </c>
      <c r="D10" s="535" t="s">
        <v>1082</v>
      </c>
      <c r="E10" s="535" t="s">
        <v>1083</v>
      </c>
      <c r="F10" s="547">
        <v>2</v>
      </c>
      <c r="G10" s="547">
        <v>412</v>
      </c>
      <c r="H10" s="535">
        <v>1</v>
      </c>
      <c r="I10" s="535">
        <v>206</v>
      </c>
      <c r="J10" s="547">
        <v>1</v>
      </c>
      <c r="K10" s="547">
        <v>206</v>
      </c>
      <c r="L10" s="535">
        <v>0.5</v>
      </c>
      <c r="M10" s="535">
        <v>206</v>
      </c>
      <c r="N10" s="547"/>
      <c r="O10" s="547"/>
      <c r="P10" s="540"/>
      <c r="Q10" s="548"/>
    </row>
    <row r="11" spans="1:17" ht="14.4" customHeight="1" x14ac:dyDescent="0.3">
      <c r="A11" s="534" t="s">
        <v>1071</v>
      </c>
      <c r="B11" s="535" t="s">
        <v>468</v>
      </c>
      <c r="C11" s="535" t="s">
        <v>1079</v>
      </c>
      <c r="D11" s="535" t="s">
        <v>1084</v>
      </c>
      <c r="E11" s="535" t="s">
        <v>1085</v>
      </c>
      <c r="F11" s="547">
        <v>4</v>
      </c>
      <c r="G11" s="547">
        <v>136</v>
      </c>
      <c r="H11" s="535">
        <v>1</v>
      </c>
      <c r="I11" s="535">
        <v>34</v>
      </c>
      <c r="J11" s="547">
        <v>5</v>
      </c>
      <c r="K11" s="547">
        <v>172</v>
      </c>
      <c r="L11" s="535">
        <v>1.2647058823529411</v>
      </c>
      <c r="M11" s="535">
        <v>34.4</v>
      </c>
      <c r="N11" s="547"/>
      <c r="O11" s="547"/>
      <c r="P11" s="540"/>
      <c r="Q11" s="548"/>
    </row>
    <row r="12" spans="1:17" ht="14.4" customHeight="1" x14ac:dyDescent="0.3">
      <c r="A12" s="534" t="s">
        <v>1071</v>
      </c>
      <c r="B12" s="535" t="s">
        <v>468</v>
      </c>
      <c r="C12" s="535" t="s">
        <v>1079</v>
      </c>
      <c r="D12" s="535" t="s">
        <v>1086</v>
      </c>
      <c r="E12" s="535" t="s">
        <v>1087</v>
      </c>
      <c r="F12" s="547">
        <v>805</v>
      </c>
      <c r="G12" s="547">
        <v>1861965</v>
      </c>
      <c r="H12" s="535">
        <v>1</v>
      </c>
      <c r="I12" s="535">
        <v>2313</v>
      </c>
      <c r="J12" s="547">
        <v>687</v>
      </c>
      <c r="K12" s="547">
        <v>1587427</v>
      </c>
      <c r="L12" s="535">
        <v>0.85255469356298319</v>
      </c>
      <c r="M12" s="535">
        <v>2310.665211062591</v>
      </c>
      <c r="N12" s="547">
        <v>440</v>
      </c>
      <c r="O12" s="547">
        <v>1027840</v>
      </c>
      <c r="P12" s="540">
        <v>0.55201896920726223</v>
      </c>
      <c r="Q12" s="548">
        <v>2336</v>
      </c>
    </row>
    <row r="13" spans="1:17" ht="14.4" customHeight="1" x14ac:dyDescent="0.3">
      <c r="A13" s="534" t="s">
        <v>1071</v>
      </c>
      <c r="B13" s="535" t="s">
        <v>468</v>
      </c>
      <c r="C13" s="535" t="s">
        <v>1079</v>
      </c>
      <c r="D13" s="535" t="s">
        <v>1088</v>
      </c>
      <c r="E13" s="535" t="s">
        <v>1089</v>
      </c>
      <c r="F13" s="547">
        <v>2246</v>
      </c>
      <c r="G13" s="547">
        <v>716474</v>
      </c>
      <c r="H13" s="535">
        <v>1</v>
      </c>
      <c r="I13" s="535">
        <v>319</v>
      </c>
      <c r="J13" s="547">
        <v>1702</v>
      </c>
      <c r="K13" s="547">
        <v>538530</v>
      </c>
      <c r="L13" s="535">
        <v>0.7516392779082004</v>
      </c>
      <c r="M13" s="535">
        <v>316.41010575793183</v>
      </c>
      <c r="N13" s="547">
        <v>126</v>
      </c>
      <c r="O13" s="547">
        <v>40698</v>
      </c>
      <c r="P13" s="540">
        <v>5.6803177784539284E-2</v>
      </c>
      <c r="Q13" s="548">
        <v>323</v>
      </c>
    </row>
    <row r="14" spans="1:17" ht="14.4" customHeight="1" x14ac:dyDescent="0.3">
      <c r="A14" s="534" t="s">
        <v>1071</v>
      </c>
      <c r="B14" s="535" t="s">
        <v>468</v>
      </c>
      <c r="C14" s="535" t="s">
        <v>1079</v>
      </c>
      <c r="D14" s="535" t="s">
        <v>1090</v>
      </c>
      <c r="E14" s="535" t="s">
        <v>1091</v>
      </c>
      <c r="F14" s="547">
        <v>90</v>
      </c>
      <c r="G14" s="547">
        <v>0</v>
      </c>
      <c r="H14" s="535"/>
      <c r="I14" s="535">
        <v>0</v>
      </c>
      <c r="J14" s="547">
        <v>46</v>
      </c>
      <c r="K14" s="547">
        <v>0</v>
      </c>
      <c r="L14" s="535"/>
      <c r="M14" s="535">
        <v>0</v>
      </c>
      <c r="N14" s="547"/>
      <c r="O14" s="547"/>
      <c r="P14" s="540"/>
      <c r="Q14" s="548"/>
    </row>
    <row r="15" spans="1:17" ht="14.4" customHeight="1" x14ac:dyDescent="0.3">
      <c r="A15" s="534" t="s">
        <v>1071</v>
      </c>
      <c r="B15" s="535" t="s">
        <v>468</v>
      </c>
      <c r="C15" s="535" t="s">
        <v>1079</v>
      </c>
      <c r="D15" s="535" t="s">
        <v>1092</v>
      </c>
      <c r="E15" s="535" t="s">
        <v>1093</v>
      </c>
      <c r="F15" s="547">
        <v>5071</v>
      </c>
      <c r="G15" s="547">
        <v>1637933</v>
      </c>
      <c r="H15" s="535">
        <v>1</v>
      </c>
      <c r="I15" s="535">
        <v>323</v>
      </c>
      <c r="J15" s="547">
        <v>4125</v>
      </c>
      <c r="K15" s="547">
        <v>1325556</v>
      </c>
      <c r="L15" s="535">
        <v>0.80928584990961172</v>
      </c>
      <c r="M15" s="535">
        <v>321.34690909090909</v>
      </c>
      <c r="N15" s="547">
        <v>1249</v>
      </c>
      <c r="O15" s="547">
        <v>408423</v>
      </c>
      <c r="P15" s="540">
        <v>0.24935269025045592</v>
      </c>
      <c r="Q15" s="548">
        <v>327</v>
      </c>
    </row>
    <row r="16" spans="1:17" ht="14.4" customHeight="1" x14ac:dyDescent="0.3">
      <c r="A16" s="534" t="s">
        <v>1071</v>
      </c>
      <c r="B16" s="535" t="s">
        <v>468</v>
      </c>
      <c r="C16" s="535" t="s">
        <v>1079</v>
      </c>
      <c r="D16" s="535" t="s">
        <v>1094</v>
      </c>
      <c r="E16" s="535" t="s">
        <v>1095</v>
      </c>
      <c r="F16" s="547">
        <v>5490</v>
      </c>
      <c r="G16" s="547">
        <v>0</v>
      </c>
      <c r="H16" s="535"/>
      <c r="I16" s="535">
        <v>0</v>
      </c>
      <c r="J16" s="547">
        <v>4404</v>
      </c>
      <c r="K16" s="547">
        <v>0</v>
      </c>
      <c r="L16" s="535"/>
      <c r="M16" s="535">
        <v>0</v>
      </c>
      <c r="N16" s="547">
        <v>2427</v>
      </c>
      <c r="O16" s="547">
        <v>30066.510000000038</v>
      </c>
      <c r="P16" s="540"/>
      <c r="Q16" s="548">
        <v>12.388343634116209</v>
      </c>
    </row>
    <row r="17" spans="1:17" ht="14.4" customHeight="1" x14ac:dyDescent="0.3">
      <c r="A17" s="534" t="s">
        <v>1071</v>
      </c>
      <c r="B17" s="535" t="s">
        <v>468</v>
      </c>
      <c r="C17" s="535" t="s">
        <v>1079</v>
      </c>
      <c r="D17" s="535" t="s">
        <v>1096</v>
      </c>
      <c r="E17" s="535" t="s">
        <v>1097</v>
      </c>
      <c r="F17" s="547">
        <v>1767</v>
      </c>
      <c r="G17" s="547">
        <v>2537412</v>
      </c>
      <c r="H17" s="535">
        <v>1</v>
      </c>
      <c r="I17" s="535">
        <v>1436</v>
      </c>
      <c r="J17" s="547">
        <v>1732</v>
      </c>
      <c r="K17" s="547">
        <v>2473368</v>
      </c>
      <c r="L17" s="535">
        <v>0.97476010990725981</v>
      </c>
      <c r="M17" s="535">
        <v>1428.041570438799</v>
      </c>
      <c r="N17" s="547">
        <v>1219</v>
      </c>
      <c r="O17" s="547">
        <v>1765112</v>
      </c>
      <c r="P17" s="540">
        <v>0.69563476487066345</v>
      </c>
      <c r="Q17" s="548">
        <v>1448</v>
      </c>
    </row>
    <row r="18" spans="1:17" ht="14.4" customHeight="1" x14ac:dyDescent="0.3">
      <c r="A18" s="534" t="s">
        <v>1071</v>
      </c>
      <c r="B18" s="535" t="s">
        <v>468</v>
      </c>
      <c r="C18" s="535" t="s">
        <v>1079</v>
      </c>
      <c r="D18" s="535" t="s">
        <v>1098</v>
      </c>
      <c r="E18" s="535" t="s">
        <v>1099</v>
      </c>
      <c r="F18" s="547">
        <v>801</v>
      </c>
      <c r="G18" s="547">
        <v>7420</v>
      </c>
      <c r="H18" s="535">
        <v>1</v>
      </c>
      <c r="I18" s="535">
        <v>9.2634207240948818</v>
      </c>
      <c r="J18" s="547">
        <v>227</v>
      </c>
      <c r="K18" s="547">
        <v>24184</v>
      </c>
      <c r="L18" s="535">
        <v>3.2592991913746632</v>
      </c>
      <c r="M18" s="535">
        <v>106.53744493392071</v>
      </c>
      <c r="N18" s="547">
        <v>246</v>
      </c>
      <c r="O18" s="547">
        <v>26568</v>
      </c>
      <c r="P18" s="540">
        <v>3.5805929919137465</v>
      </c>
      <c r="Q18" s="548">
        <v>108</v>
      </c>
    </row>
    <row r="19" spans="1:17" ht="14.4" customHeight="1" x14ac:dyDescent="0.3">
      <c r="A19" s="534" t="s">
        <v>1071</v>
      </c>
      <c r="B19" s="535" t="s">
        <v>468</v>
      </c>
      <c r="C19" s="535" t="s">
        <v>1079</v>
      </c>
      <c r="D19" s="535" t="s">
        <v>1100</v>
      </c>
      <c r="E19" s="535" t="s">
        <v>1101</v>
      </c>
      <c r="F19" s="547">
        <v>2400</v>
      </c>
      <c r="G19" s="547">
        <v>84000</v>
      </c>
      <c r="H19" s="535">
        <v>1</v>
      </c>
      <c r="I19" s="535">
        <v>35</v>
      </c>
      <c r="J19" s="547">
        <v>2506</v>
      </c>
      <c r="K19" s="547">
        <v>88087</v>
      </c>
      <c r="L19" s="535">
        <v>1.0486547619047619</v>
      </c>
      <c r="M19" s="535">
        <v>35.150438946528332</v>
      </c>
      <c r="N19" s="547">
        <v>648</v>
      </c>
      <c r="O19" s="547">
        <v>23328</v>
      </c>
      <c r="P19" s="540">
        <v>0.27771428571428569</v>
      </c>
      <c r="Q19" s="548">
        <v>36</v>
      </c>
    </row>
    <row r="20" spans="1:17" ht="14.4" customHeight="1" x14ac:dyDescent="0.3">
      <c r="A20" s="534" t="s">
        <v>1071</v>
      </c>
      <c r="B20" s="535" t="s">
        <v>468</v>
      </c>
      <c r="C20" s="535" t="s">
        <v>1079</v>
      </c>
      <c r="D20" s="535" t="s">
        <v>1102</v>
      </c>
      <c r="E20" s="535" t="s">
        <v>1103</v>
      </c>
      <c r="F20" s="547"/>
      <c r="G20" s="547"/>
      <c r="H20" s="535"/>
      <c r="I20" s="535"/>
      <c r="J20" s="547">
        <v>49</v>
      </c>
      <c r="K20" s="547">
        <v>3995</v>
      </c>
      <c r="L20" s="535"/>
      <c r="M20" s="535">
        <v>81.530612244897952</v>
      </c>
      <c r="N20" s="547"/>
      <c r="O20" s="547"/>
      <c r="P20" s="540"/>
      <c r="Q20" s="548"/>
    </row>
    <row r="21" spans="1:17" ht="14.4" customHeight="1" x14ac:dyDescent="0.3">
      <c r="A21" s="534" t="s">
        <v>1071</v>
      </c>
      <c r="B21" s="535" t="s">
        <v>468</v>
      </c>
      <c r="C21" s="535" t="s">
        <v>1079</v>
      </c>
      <c r="D21" s="535" t="s">
        <v>1104</v>
      </c>
      <c r="E21" s="535" t="s">
        <v>1105</v>
      </c>
      <c r="F21" s="547">
        <v>13</v>
      </c>
      <c r="G21" s="547">
        <v>390</v>
      </c>
      <c r="H21" s="535">
        <v>1</v>
      </c>
      <c r="I21" s="535">
        <v>30</v>
      </c>
      <c r="J21" s="547">
        <v>20</v>
      </c>
      <c r="K21" s="547">
        <v>611</v>
      </c>
      <c r="L21" s="535">
        <v>1.5666666666666667</v>
      </c>
      <c r="M21" s="535">
        <v>30.55</v>
      </c>
      <c r="N21" s="547"/>
      <c r="O21" s="547"/>
      <c r="P21" s="540"/>
      <c r="Q21" s="548"/>
    </row>
    <row r="22" spans="1:17" ht="14.4" customHeight="1" x14ac:dyDescent="0.3">
      <c r="A22" s="534" t="s">
        <v>1071</v>
      </c>
      <c r="B22" s="535" t="s">
        <v>468</v>
      </c>
      <c r="C22" s="535" t="s">
        <v>1079</v>
      </c>
      <c r="D22" s="535" t="s">
        <v>1106</v>
      </c>
      <c r="E22" s="535" t="s">
        <v>1107</v>
      </c>
      <c r="F22" s="547">
        <v>11</v>
      </c>
      <c r="G22" s="547">
        <v>759</v>
      </c>
      <c r="H22" s="535">
        <v>1</v>
      </c>
      <c r="I22" s="535">
        <v>69</v>
      </c>
      <c r="J22" s="547">
        <v>13</v>
      </c>
      <c r="K22" s="547">
        <v>905</v>
      </c>
      <c r="L22" s="535">
        <v>1.1923583662714097</v>
      </c>
      <c r="M22" s="535">
        <v>69.615384615384613</v>
      </c>
      <c r="N22" s="547"/>
      <c r="O22" s="547"/>
      <c r="P22" s="540"/>
      <c r="Q22" s="548"/>
    </row>
    <row r="23" spans="1:17" ht="14.4" customHeight="1" x14ac:dyDescent="0.3">
      <c r="A23" s="534" t="s">
        <v>1071</v>
      </c>
      <c r="B23" s="535" t="s">
        <v>468</v>
      </c>
      <c r="C23" s="535" t="s">
        <v>1079</v>
      </c>
      <c r="D23" s="535" t="s">
        <v>1108</v>
      </c>
      <c r="E23" s="535" t="s">
        <v>1109</v>
      </c>
      <c r="F23" s="547">
        <v>1</v>
      </c>
      <c r="G23" s="547">
        <v>1913</v>
      </c>
      <c r="H23" s="535">
        <v>1</v>
      </c>
      <c r="I23" s="535">
        <v>1913</v>
      </c>
      <c r="J23" s="547"/>
      <c r="K23" s="547"/>
      <c r="L23" s="535"/>
      <c r="M23" s="535"/>
      <c r="N23" s="547"/>
      <c r="O23" s="547"/>
      <c r="P23" s="540"/>
      <c r="Q23" s="548"/>
    </row>
    <row r="24" spans="1:17" ht="14.4" customHeight="1" x14ac:dyDescent="0.3">
      <c r="A24" s="534" t="s">
        <v>1110</v>
      </c>
      <c r="B24" s="535" t="s">
        <v>468</v>
      </c>
      <c r="C24" s="535" t="s">
        <v>1079</v>
      </c>
      <c r="D24" s="535" t="s">
        <v>1080</v>
      </c>
      <c r="E24" s="535" t="s">
        <v>1081</v>
      </c>
      <c r="F24" s="547">
        <v>1</v>
      </c>
      <c r="G24" s="547">
        <v>63</v>
      </c>
      <c r="H24" s="535">
        <v>1</v>
      </c>
      <c r="I24" s="535">
        <v>63</v>
      </c>
      <c r="J24" s="547">
        <v>1</v>
      </c>
      <c r="K24" s="547">
        <v>64</v>
      </c>
      <c r="L24" s="535">
        <v>1.0158730158730158</v>
      </c>
      <c r="M24" s="535">
        <v>64</v>
      </c>
      <c r="N24" s="547"/>
      <c r="O24" s="547"/>
      <c r="P24" s="540"/>
      <c r="Q24" s="548"/>
    </row>
    <row r="25" spans="1:17" ht="14.4" customHeight="1" x14ac:dyDescent="0.3">
      <c r="A25" s="534" t="s">
        <v>1110</v>
      </c>
      <c r="B25" s="535" t="s">
        <v>468</v>
      </c>
      <c r="C25" s="535" t="s">
        <v>1079</v>
      </c>
      <c r="D25" s="535" t="s">
        <v>1111</v>
      </c>
      <c r="E25" s="535" t="s">
        <v>1112</v>
      </c>
      <c r="F25" s="547">
        <v>5</v>
      </c>
      <c r="G25" s="547">
        <v>815</v>
      </c>
      <c r="H25" s="535">
        <v>1</v>
      </c>
      <c r="I25" s="535">
        <v>163</v>
      </c>
      <c r="J25" s="547">
        <v>2</v>
      </c>
      <c r="K25" s="547">
        <v>327</v>
      </c>
      <c r="L25" s="535">
        <v>0.40122699386503069</v>
      </c>
      <c r="M25" s="535">
        <v>163.5</v>
      </c>
      <c r="N25" s="547"/>
      <c r="O25" s="547"/>
      <c r="P25" s="540"/>
      <c r="Q25" s="548"/>
    </row>
    <row r="26" spans="1:17" ht="14.4" customHeight="1" x14ac:dyDescent="0.3">
      <c r="A26" s="534" t="s">
        <v>1110</v>
      </c>
      <c r="B26" s="535" t="s">
        <v>468</v>
      </c>
      <c r="C26" s="535" t="s">
        <v>1079</v>
      </c>
      <c r="D26" s="535" t="s">
        <v>1098</v>
      </c>
      <c r="E26" s="535" t="s">
        <v>1099</v>
      </c>
      <c r="F26" s="547">
        <v>2</v>
      </c>
      <c r="G26" s="547">
        <v>0</v>
      </c>
      <c r="H26" s="535"/>
      <c r="I26" s="535">
        <v>0</v>
      </c>
      <c r="J26" s="547">
        <v>2</v>
      </c>
      <c r="K26" s="547">
        <v>0</v>
      </c>
      <c r="L26" s="535"/>
      <c r="M26" s="535">
        <v>0</v>
      </c>
      <c r="N26" s="547"/>
      <c r="O26" s="547"/>
      <c r="P26" s="540"/>
      <c r="Q26" s="548"/>
    </row>
    <row r="27" spans="1:17" ht="14.4" customHeight="1" x14ac:dyDescent="0.3">
      <c r="A27" s="534" t="s">
        <v>1110</v>
      </c>
      <c r="B27" s="535" t="s">
        <v>468</v>
      </c>
      <c r="C27" s="535" t="s">
        <v>1079</v>
      </c>
      <c r="D27" s="535" t="s">
        <v>1100</v>
      </c>
      <c r="E27" s="535" t="s">
        <v>1101</v>
      </c>
      <c r="F27" s="547">
        <v>1</v>
      </c>
      <c r="G27" s="547">
        <v>35</v>
      </c>
      <c r="H27" s="535">
        <v>1</v>
      </c>
      <c r="I27" s="535">
        <v>35</v>
      </c>
      <c r="J27" s="547">
        <v>2</v>
      </c>
      <c r="K27" s="547">
        <v>71</v>
      </c>
      <c r="L27" s="535">
        <v>2.0285714285714285</v>
      </c>
      <c r="M27" s="535">
        <v>35.5</v>
      </c>
      <c r="N27" s="547"/>
      <c r="O27" s="547"/>
      <c r="P27" s="540"/>
      <c r="Q27" s="548"/>
    </row>
    <row r="28" spans="1:17" ht="14.4" customHeight="1" x14ac:dyDescent="0.3">
      <c r="A28" s="534" t="s">
        <v>1110</v>
      </c>
      <c r="B28" s="535" t="s">
        <v>468</v>
      </c>
      <c r="C28" s="535" t="s">
        <v>1079</v>
      </c>
      <c r="D28" s="535" t="s">
        <v>1113</v>
      </c>
      <c r="E28" s="535" t="s">
        <v>1114</v>
      </c>
      <c r="F28" s="547">
        <v>19</v>
      </c>
      <c r="G28" s="547">
        <v>6213</v>
      </c>
      <c r="H28" s="535">
        <v>1</v>
      </c>
      <c r="I28" s="535">
        <v>327</v>
      </c>
      <c r="J28" s="547">
        <v>22</v>
      </c>
      <c r="K28" s="547">
        <v>6582</v>
      </c>
      <c r="L28" s="535">
        <v>1.0593915982617093</v>
      </c>
      <c r="M28" s="535">
        <v>299.18181818181819</v>
      </c>
      <c r="N28" s="547"/>
      <c r="O28" s="547"/>
      <c r="P28" s="540"/>
      <c r="Q28" s="548"/>
    </row>
    <row r="29" spans="1:17" ht="14.4" customHeight="1" x14ac:dyDescent="0.3">
      <c r="A29" s="534" t="s">
        <v>1115</v>
      </c>
      <c r="B29" s="535" t="s">
        <v>468</v>
      </c>
      <c r="C29" s="535" t="s">
        <v>1072</v>
      </c>
      <c r="D29" s="535" t="s">
        <v>1073</v>
      </c>
      <c r="E29" s="535" t="s">
        <v>1074</v>
      </c>
      <c r="F29" s="547">
        <v>17</v>
      </c>
      <c r="G29" s="547">
        <v>23368.829999999994</v>
      </c>
      <c r="H29" s="535">
        <v>1</v>
      </c>
      <c r="I29" s="535">
        <v>1374.6370588235291</v>
      </c>
      <c r="J29" s="547"/>
      <c r="K29" s="547"/>
      <c r="L29" s="535"/>
      <c r="M29" s="535"/>
      <c r="N29" s="547"/>
      <c r="O29" s="547"/>
      <c r="P29" s="540"/>
      <c r="Q29" s="548"/>
    </row>
    <row r="30" spans="1:17" ht="14.4" customHeight="1" x14ac:dyDescent="0.3">
      <c r="A30" s="534" t="s">
        <v>1115</v>
      </c>
      <c r="B30" s="535" t="s">
        <v>468</v>
      </c>
      <c r="C30" s="535" t="s">
        <v>1072</v>
      </c>
      <c r="D30" s="535" t="s">
        <v>1075</v>
      </c>
      <c r="E30" s="535" t="s">
        <v>1076</v>
      </c>
      <c r="F30" s="547">
        <v>6</v>
      </c>
      <c r="G30" s="547">
        <v>6880.26</v>
      </c>
      <c r="H30" s="535">
        <v>1</v>
      </c>
      <c r="I30" s="535">
        <v>1146.71</v>
      </c>
      <c r="J30" s="547">
        <v>2</v>
      </c>
      <c r="K30" s="547">
        <v>2293.4</v>
      </c>
      <c r="L30" s="535">
        <v>0.33333042646644168</v>
      </c>
      <c r="M30" s="535">
        <v>1146.7</v>
      </c>
      <c r="N30" s="547"/>
      <c r="O30" s="547"/>
      <c r="P30" s="540"/>
      <c r="Q30" s="548"/>
    </row>
    <row r="31" spans="1:17" ht="14.4" customHeight="1" x14ac:dyDescent="0.3">
      <c r="A31" s="534" t="s">
        <v>1115</v>
      </c>
      <c r="B31" s="535" t="s">
        <v>468</v>
      </c>
      <c r="C31" s="535" t="s">
        <v>1072</v>
      </c>
      <c r="D31" s="535" t="s">
        <v>1077</v>
      </c>
      <c r="E31" s="535" t="s">
        <v>1078</v>
      </c>
      <c r="F31" s="547"/>
      <c r="G31" s="547"/>
      <c r="H31" s="535"/>
      <c r="I31" s="535"/>
      <c r="J31" s="547">
        <v>6</v>
      </c>
      <c r="K31" s="547">
        <v>8256.2999999999993</v>
      </c>
      <c r="L31" s="535"/>
      <c r="M31" s="535">
        <v>1376.05</v>
      </c>
      <c r="N31" s="547"/>
      <c r="O31" s="547"/>
      <c r="P31" s="540"/>
      <c r="Q31" s="548"/>
    </row>
    <row r="32" spans="1:17" ht="14.4" customHeight="1" x14ac:dyDescent="0.3">
      <c r="A32" s="534" t="s">
        <v>1115</v>
      </c>
      <c r="B32" s="535" t="s">
        <v>468</v>
      </c>
      <c r="C32" s="535" t="s">
        <v>1079</v>
      </c>
      <c r="D32" s="535" t="s">
        <v>1116</v>
      </c>
      <c r="E32" s="535" t="s">
        <v>1117</v>
      </c>
      <c r="F32" s="547">
        <v>1795</v>
      </c>
      <c r="G32" s="547">
        <v>786210</v>
      </c>
      <c r="H32" s="535">
        <v>1</v>
      </c>
      <c r="I32" s="535">
        <v>438</v>
      </c>
      <c r="J32" s="547">
        <v>1318</v>
      </c>
      <c r="K32" s="547">
        <v>573350</v>
      </c>
      <c r="L32" s="535">
        <v>0.72925808626194022</v>
      </c>
      <c r="M32" s="535">
        <v>435.01517450682854</v>
      </c>
      <c r="N32" s="547"/>
      <c r="O32" s="547"/>
      <c r="P32" s="540"/>
      <c r="Q32" s="548"/>
    </row>
    <row r="33" spans="1:17" ht="14.4" customHeight="1" x14ac:dyDescent="0.3">
      <c r="A33" s="534" t="s">
        <v>1115</v>
      </c>
      <c r="B33" s="535" t="s">
        <v>468</v>
      </c>
      <c r="C33" s="535" t="s">
        <v>1079</v>
      </c>
      <c r="D33" s="535" t="s">
        <v>1118</v>
      </c>
      <c r="E33" s="535" t="s">
        <v>1119</v>
      </c>
      <c r="F33" s="547">
        <v>80</v>
      </c>
      <c r="G33" s="547">
        <v>81440</v>
      </c>
      <c r="H33" s="535">
        <v>1</v>
      </c>
      <c r="I33" s="535">
        <v>1018</v>
      </c>
      <c r="J33" s="547">
        <v>50</v>
      </c>
      <c r="K33" s="547">
        <v>51108</v>
      </c>
      <c r="L33" s="535">
        <v>0.62755402750491163</v>
      </c>
      <c r="M33" s="535">
        <v>1022.16</v>
      </c>
      <c r="N33" s="547"/>
      <c r="O33" s="547"/>
      <c r="P33" s="540"/>
      <c r="Q33" s="548"/>
    </row>
    <row r="34" spans="1:17" ht="14.4" customHeight="1" x14ac:dyDescent="0.3">
      <c r="A34" s="534" t="s">
        <v>1115</v>
      </c>
      <c r="B34" s="535" t="s">
        <v>468</v>
      </c>
      <c r="C34" s="535" t="s">
        <v>1079</v>
      </c>
      <c r="D34" s="535" t="s">
        <v>1120</v>
      </c>
      <c r="E34" s="535" t="s">
        <v>1121</v>
      </c>
      <c r="F34" s="547">
        <v>8</v>
      </c>
      <c r="G34" s="547">
        <v>5104</v>
      </c>
      <c r="H34" s="535">
        <v>1</v>
      </c>
      <c r="I34" s="535">
        <v>638</v>
      </c>
      <c r="J34" s="547">
        <v>3</v>
      </c>
      <c r="K34" s="547">
        <v>1919</v>
      </c>
      <c r="L34" s="535">
        <v>0.37597962382445144</v>
      </c>
      <c r="M34" s="535">
        <v>639.66666666666663</v>
      </c>
      <c r="N34" s="547"/>
      <c r="O34" s="547"/>
      <c r="P34" s="540"/>
      <c r="Q34" s="548"/>
    </row>
    <row r="35" spans="1:17" ht="14.4" customHeight="1" x14ac:dyDescent="0.3">
      <c r="A35" s="534" t="s">
        <v>1115</v>
      </c>
      <c r="B35" s="535" t="s">
        <v>468</v>
      </c>
      <c r="C35" s="535" t="s">
        <v>1079</v>
      </c>
      <c r="D35" s="535" t="s">
        <v>1122</v>
      </c>
      <c r="E35" s="535" t="s">
        <v>1123</v>
      </c>
      <c r="F35" s="547">
        <v>52</v>
      </c>
      <c r="G35" s="547">
        <v>15860</v>
      </c>
      <c r="H35" s="535">
        <v>1</v>
      </c>
      <c r="I35" s="535">
        <v>305</v>
      </c>
      <c r="J35" s="547">
        <v>27</v>
      </c>
      <c r="K35" s="547">
        <v>8257</v>
      </c>
      <c r="L35" s="535">
        <v>0.5206179066834804</v>
      </c>
      <c r="M35" s="535">
        <v>305.81481481481484</v>
      </c>
      <c r="N35" s="547"/>
      <c r="O35" s="547"/>
      <c r="P35" s="540"/>
      <c r="Q35" s="548"/>
    </row>
    <row r="36" spans="1:17" ht="14.4" customHeight="1" x14ac:dyDescent="0.3">
      <c r="A36" s="534" t="s">
        <v>1115</v>
      </c>
      <c r="B36" s="535" t="s">
        <v>468</v>
      </c>
      <c r="C36" s="535" t="s">
        <v>1079</v>
      </c>
      <c r="D36" s="535" t="s">
        <v>1124</v>
      </c>
      <c r="E36" s="535" t="s">
        <v>1125</v>
      </c>
      <c r="F36" s="547">
        <v>6</v>
      </c>
      <c r="G36" s="547">
        <v>4986</v>
      </c>
      <c r="H36" s="535">
        <v>1</v>
      </c>
      <c r="I36" s="535">
        <v>831</v>
      </c>
      <c r="J36" s="547">
        <v>1</v>
      </c>
      <c r="K36" s="547">
        <v>831</v>
      </c>
      <c r="L36" s="535">
        <v>0.16666666666666666</v>
      </c>
      <c r="M36" s="535">
        <v>831</v>
      </c>
      <c r="N36" s="547"/>
      <c r="O36" s="547"/>
      <c r="P36" s="540"/>
      <c r="Q36" s="548"/>
    </row>
    <row r="37" spans="1:17" ht="14.4" customHeight="1" x14ac:dyDescent="0.3">
      <c r="A37" s="534" t="s">
        <v>1115</v>
      </c>
      <c r="B37" s="535" t="s">
        <v>468</v>
      </c>
      <c r="C37" s="535" t="s">
        <v>1079</v>
      </c>
      <c r="D37" s="535" t="s">
        <v>1104</v>
      </c>
      <c r="E37" s="535" t="s">
        <v>1105</v>
      </c>
      <c r="F37" s="547">
        <v>2</v>
      </c>
      <c r="G37" s="547">
        <v>60</v>
      </c>
      <c r="H37" s="535">
        <v>1</v>
      </c>
      <c r="I37" s="535">
        <v>30</v>
      </c>
      <c r="J37" s="547"/>
      <c r="K37" s="547"/>
      <c r="L37" s="535"/>
      <c r="M37" s="535"/>
      <c r="N37" s="547"/>
      <c r="O37" s="547"/>
      <c r="P37" s="540"/>
      <c r="Q37" s="548"/>
    </row>
    <row r="38" spans="1:17" ht="14.4" customHeight="1" x14ac:dyDescent="0.3">
      <c r="A38" s="534" t="s">
        <v>1115</v>
      </c>
      <c r="B38" s="535" t="s">
        <v>468</v>
      </c>
      <c r="C38" s="535" t="s">
        <v>1079</v>
      </c>
      <c r="D38" s="535" t="s">
        <v>1126</v>
      </c>
      <c r="E38" s="535" t="s">
        <v>1127</v>
      </c>
      <c r="F38" s="547">
        <v>4828</v>
      </c>
      <c r="G38" s="547">
        <v>3099576</v>
      </c>
      <c r="H38" s="535">
        <v>1</v>
      </c>
      <c r="I38" s="535">
        <v>642</v>
      </c>
      <c r="J38" s="547">
        <v>3434</v>
      </c>
      <c r="K38" s="547">
        <v>2201622</v>
      </c>
      <c r="L38" s="535">
        <v>0.71029779556945849</v>
      </c>
      <c r="M38" s="535">
        <v>641.12463599301111</v>
      </c>
      <c r="N38" s="547"/>
      <c r="O38" s="547"/>
      <c r="P38" s="540"/>
      <c r="Q38" s="548"/>
    </row>
    <row r="39" spans="1:17" ht="14.4" customHeight="1" x14ac:dyDescent="0.3">
      <c r="A39" s="534" t="s">
        <v>1115</v>
      </c>
      <c r="B39" s="535" t="s">
        <v>468</v>
      </c>
      <c r="C39" s="535" t="s">
        <v>1079</v>
      </c>
      <c r="D39" s="535" t="s">
        <v>1128</v>
      </c>
      <c r="E39" s="535" t="s">
        <v>1129</v>
      </c>
      <c r="F39" s="547">
        <v>921</v>
      </c>
      <c r="G39" s="547">
        <v>269853</v>
      </c>
      <c r="H39" s="535">
        <v>1</v>
      </c>
      <c r="I39" s="535">
        <v>293</v>
      </c>
      <c r="J39" s="547">
        <v>117</v>
      </c>
      <c r="K39" s="547">
        <v>34281</v>
      </c>
      <c r="L39" s="535">
        <v>0.12703583061889251</v>
      </c>
      <c r="M39" s="535">
        <v>293</v>
      </c>
      <c r="N39" s="547"/>
      <c r="O39" s="547"/>
      <c r="P39" s="540"/>
      <c r="Q39" s="548"/>
    </row>
    <row r="40" spans="1:17" ht="14.4" customHeight="1" x14ac:dyDescent="0.3">
      <c r="A40" s="534" t="s">
        <v>1115</v>
      </c>
      <c r="B40" s="535" t="s">
        <v>468</v>
      </c>
      <c r="C40" s="535" t="s">
        <v>1079</v>
      </c>
      <c r="D40" s="535" t="s">
        <v>1130</v>
      </c>
      <c r="E40" s="535" t="s">
        <v>1131</v>
      </c>
      <c r="F40" s="547">
        <v>95</v>
      </c>
      <c r="G40" s="547">
        <v>55670</v>
      </c>
      <c r="H40" s="535">
        <v>1</v>
      </c>
      <c r="I40" s="535">
        <v>586</v>
      </c>
      <c r="J40" s="547">
        <v>50</v>
      </c>
      <c r="K40" s="547">
        <v>29410</v>
      </c>
      <c r="L40" s="535">
        <v>0.52829171905873895</v>
      </c>
      <c r="M40" s="535">
        <v>588.20000000000005</v>
      </c>
      <c r="N40" s="547"/>
      <c r="O40" s="547"/>
      <c r="P40" s="540"/>
      <c r="Q40" s="548"/>
    </row>
    <row r="41" spans="1:17" ht="14.4" customHeight="1" x14ac:dyDescent="0.3">
      <c r="A41" s="534" t="s">
        <v>1115</v>
      </c>
      <c r="B41" s="535" t="s">
        <v>468</v>
      </c>
      <c r="C41" s="535" t="s">
        <v>1079</v>
      </c>
      <c r="D41" s="535" t="s">
        <v>1132</v>
      </c>
      <c r="E41" s="535" t="s">
        <v>1133</v>
      </c>
      <c r="F41" s="547">
        <v>273</v>
      </c>
      <c r="G41" s="547">
        <v>222768</v>
      </c>
      <c r="H41" s="535">
        <v>1</v>
      </c>
      <c r="I41" s="535">
        <v>816</v>
      </c>
      <c r="J41" s="547">
        <v>226</v>
      </c>
      <c r="K41" s="547">
        <v>183051</v>
      </c>
      <c r="L41" s="535">
        <v>0.82171137685843565</v>
      </c>
      <c r="M41" s="535">
        <v>809.96017699115043</v>
      </c>
      <c r="N41" s="547"/>
      <c r="O41" s="547"/>
      <c r="P41" s="540"/>
      <c r="Q41" s="548"/>
    </row>
    <row r="42" spans="1:17" ht="14.4" customHeight="1" x14ac:dyDescent="0.3">
      <c r="A42" s="534" t="s">
        <v>1115</v>
      </c>
      <c r="B42" s="535" t="s">
        <v>468</v>
      </c>
      <c r="C42" s="535" t="s">
        <v>1079</v>
      </c>
      <c r="D42" s="535" t="s">
        <v>1134</v>
      </c>
      <c r="E42" s="535" t="s">
        <v>1135</v>
      </c>
      <c r="F42" s="547">
        <v>1</v>
      </c>
      <c r="G42" s="547">
        <v>285</v>
      </c>
      <c r="H42" s="535">
        <v>1</v>
      </c>
      <c r="I42" s="535">
        <v>285</v>
      </c>
      <c r="J42" s="547"/>
      <c r="K42" s="547"/>
      <c r="L42" s="535"/>
      <c r="M42" s="535"/>
      <c r="N42" s="547"/>
      <c r="O42" s="547"/>
      <c r="P42" s="540"/>
      <c r="Q42" s="548"/>
    </row>
    <row r="43" spans="1:17" ht="14.4" customHeight="1" x14ac:dyDescent="0.3">
      <c r="A43" s="534" t="s">
        <v>1115</v>
      </c>
      <c r="B43" s="535" t="s">
        <v>468</v>
      </c>
      <c r="C43" s="535" t="s">
        <v>1079</v>
      </c>
      <c r="D43" s="535" t="s">
        <v>1136</v>
      </c>
      <c r="E43" s="535" t="s">
        <v>1137</v>
      </c>
      <c r="F43" s="547">
        <v>1</v>
      </c>
      <c r="G43" s="547">
        <v>1118</v>
      </c>
      <c r="H43" s="535">
        <v>1</v>
      </c>
      <c r="I43" s="535">
        <v>1118</v>
      </c>
      <c r="J43" s="547"/>
      <c r="K43" s="547"/>
      <c r="L43" s="535"/>
      <c r="M43" s="535"/>
      <c r="N43" s="547"/>
      <c r="O43" s="547"/>
      <c r="P43" s="540"/>
      <c r="Q43" s="548"/>
    </row>
    <row r="44" spans="1:17" ht="14.4" customHeight="1" x14ac:dyDescent="0.3">
      <c r="A44" s="534" t="s">
        <v>1138</v>
      </c>
      <c r="B44" s="535" t="s">
        <v>473</v>
      </c>
      <c r="C44" s="535" t="s">
        <v>1079</v>
      </c>
      <c r="D44" s="535" t="s">
        <v>1139</v>
      </c>
      <c r="E44" s="535" t="s">
        <v>1140</v>
      </c>
      <c r="F44" s="547">
        <v>82</v>
      </c>
      <c r="G44" s="547">
        <v>870102</v>
      </c>
      <c r="H44" s="535">
        <v>1</v>
      </c>
      <c r="I44" s="535">
        <v>10611</v>
      </c>
      <c r="J44" s="547">
        <v>58</v>
      </c>
      <c r="K44" s="547">
        <v>597456</v>
      </c>
      <c r="L44" s="535">
        <v>0.68665053062744363</v>
      </c>
      <c r="M44" s="535">
        <v>10300.965517241379</v>
      </c>
      <c r="N44" s="547">
        <v>52</v>
      </c>
      <c r="O44" s="547">
        <v>557180</v>
      </c>
      <c r="P44" s="540">
        <v>0.64036170471967657</v>
      </c>
      <c r="Q44" s="548">
        <v>10715</v>
      </c>
    </row>
    <row r="45" spans="1:17" ht="14.4" customHeight="1" x14ac:dyDescent="0.3">
      <c r="A45" s="534" t="s">
        <v>1138</v>
      </c>
      <c r="B45" s="535" t="s">
        <v>473</v>
      </c>
      <c r="C45" s="535" t="s">
        <v>1079</v>
      </c>
      <c r="D45" s="535" t="s">
        <v>1141</v>
      </c>
      <c r="E45" s="535" t="s">
        <v>1142</v>
      </c>
      <c r="F45" s="547">
        <v>555</v>
      </c>
      <c r="G45" s="547">
        <v>164835</v>
      </c>
      <c r="H45" s="535">
        <v>1</v>
      </c>
      <c r="I45" s="535">
        <v>297</v>
      </c>
      <c r="J45" s="547">
        <v>571</v>
      </c>
      <c r="K45" s="547">
        <v>168751</v>
      </c>
      <c r="L45" s="535">
        <v>1.0237570904237572</v>
      </c>
      <c r="M45" s="535">
        <v>295.53590192644481</v>
      </c>
      <c r="N45" s="547">
        <v>503</v>
      </c>
      <c r="O45" s="547">
        <v>152409</v>
      </c>
      <c r="P45" s="540">
        <v>0.92461552461552465</v>
      </c>
      <c r="Q45" s="548">
        <v>303</v>
      </c>
    </row>
    <row r="46" spans="1:17" ht="14.4" customHeight="1" x14ac:dyDescent="0.3">
      <c r="A46" s="534" t="s">
        <v>1138</v>
      </c>
      <c r="B46" s="535" t="s">
        <v>473</v>
      </c>
      <c r="C46" s="535" t="s">
        <v>1079</v>
      </c>
      <c r="D46" s="535" t="s">
        <v>1143</v>
      </c>
      <c r="E46" s="535" t="s">
        <v>1144</v>
      </c>
      <c r="F46" s="547">
        <v>1335</v>
      </c>
      <c r="G46" s="547">
        <v>1662075</v>
      </c>
      <c r="H46" s="535">
        <v>1</v>
      </c>
      <c r="I46" s="535">
        <v>1245</v>
      </c>
      <c r="J46" s="547">
        <v>1504</v>
      </c>
      <c r="K46" s="547">
        <v>1751306</v>
      </c>
      <c r="L46" s="535">
        <v>1.0536865063249252</v>
      </c>
      <c r="M46" s="535">
        <v>1164.4321808510638</v>
      </c>
      <c r="N46" s="547">
        <v>1123</v>
      </c>
      <c r="O46" s="547">
        <v>1423964</v>
      </c>
      <c r="P46" s="540">
        <v>0.85673871516026656</v>
      </c>
      <c r="Q46" s="548">
        <v>1268</v>
      </c>
    </row>
    <row r="47" spans="1:17" ht="14.4" customHeight="1" x14ac:dyDescent="0.3">
      <c r="A47" s="534" t="s">
        <v>1138</v>
      </c>
      <c r="B47" s="535" t="s">
        <v>473</v>
      </c>
      <c r="C47" s="535" t="s">
        <v>1079</v>
      </c>
      <c r="D47" s="535" t="s">
        <v>1145</v>
      </c>
      <c r="E47" s="535" t="s">
        <v>1146</v>
      </c>
      <c r="F47" s="547">
        <v>28</v>
      </c>
      <c r="G47" s="547">
        <v>261436</v>
      </c>
      <c r="H47" s="535">
        <v>1</v>
      </c>
      <c r="I47" s="535">
        <v>9337</v>
      </c>
      <c r="J47" s="547">
        <v>53</v>
      </c>
      <c r="K47" s="547">
        <v>478512</v>
      </c>
      <c r="L47" s="535">
        <v>1.8303217613488578</v>
      </c>
      <c r="M47" s="535">
        <v>9028.5283018867922</v>
      </c>
      <c r="N47" s="547">
        <v>43</v>
      </c>
      <c r="O47" s="547">
        <v>406178</v>
      </c>
      <c r="P47" s="540">
        <v>1.5536421915879985</v>
      </c>
      <c r="Q47" s="548">
        <v>9446</v>
      </c>
    </row>
    <row r="48" spans="1:17" ht="14.4" customHeight="1" x14ac:dyDescent="0.3">
      <c r="A48" s="534" t="s">
        <v>1138</v>
      </c>
      <c r="B48" s="535" t="s">
        <v>473</v>
      </c>
      <c r="C48" s="535" t="s">
        <v>1079</v>
      </c>
      <c r="D48" s="535" t="s">
        <v>1147</v>
      </c>
      <c r="E48" s="535" t="s">
        <v>1148</v>
      </c>
      <c r="F48" s="547">
        <v>16</v>
      </c>
      <c r="G48" s="547">
        <v>6784</v>
      </c>
      <c r="H48" s="535">
        <v>1</v>
      </c>
      <c r="I48" s="535">
        <v>424</v>
      </c>
      <c r="J48" s="547">
        <v>23</v>
      </c>
      <c r="K48" s="547">
        <v>3870</v>
      </c>
      <c r="L48" s="535">
        <v>0.57045990566037741</v>
      </c>
      <c r="M48" s="535">
        <v>168.2608695652174</v>
      </c>
      <c r="N48" s="547"/>
      <c r="O48" s="547"/>
      <c r="P48" s="540"/>
      <c r="Q48" s="548"/>
    </row>
    <row r="49" spans="1:17" ht="14.4" customHeight="1" x14ac:dyDescent="0.3">
      <c r="A49" s="534" t="s">
        <v>1138</v>
      </c>
      <c r="B49" s="535" t="s">
        <v>473</v>
      </c>
      <c r="C49" s="535" t="s">
        <v>1079</v>
      </c>
      <c r="D49" s="535" t="s">
        <v>1149</v>
      </c>
      <c r="E49" s="535" t="s">
        <v>1150</v>
      </c>
      <c r="F49" s="547">
        <v>283</v>
      </c>
      <c r="G49" s="547">
        <v>283566</v>
      </c>
      <c r="H49" s="535">
        <v>1</v>
      </c>
      <c r="I49" s="535">
        <v>1002</v>
      </c>
      <c r="J49" s="547">
        <v>829</v>
      </c>
      <c r="K49" s="547">
        <v>514066</v>
      </c>
      <c r="L49" s="535">
        <v>1.812861908691451</v>
      </c>
      <c r="M49" s="535">
        <v>620.10373944511457</v>
      </c>
      <c r="N49" s="547">
        <v>495</v>
      </c>
      <c r="O49" s="547">
        <v>498960</v>
      </c>
      <c r="P49" s="540">
        <v>1.7595903599162099</v>
      </c>
      <c r="Q49" s="548">
        <v>1008</v>
      </c>
    </row>
    <row r="50" spans="1:17" ht="14.4" customHeight="1" x14ac:dyDescent="0.3">
      <c r="A50" s="534" t="s">
        <v>1138</v>
      </c>
      <c r="B50" s="535" t="s">
        <v>473</v>
      </c>
      <c r="C50" s="535" t="s">
        <v>1079</v>
      </c>
      <c r="D50" s="535" t="s">
        <v>1151</v>
      </c>
      <c r="E50" s="535" t="s">
        <v>1152</v>
      </c>
      <c r="F50" s="547">
        <v>10509</v>
      </c>
      <c r="G50" s="547">
        <v>23466597</v>
      </c>
      <c r="H50" s="535">
        <v>1</v>
      </c>
      <c r="I50" s="535">
        <v>2233</v>
      </c>
      <c r="J50" s="547">
        <v>16493</v>
      </c>
      <c r="K50" s="547">
        <v>30491734</v>
      </c>
      <c r="L50" s="535">
        <v>1.2993675222700589</v>
      </c>
      <c r="M50" s="535">
        <v>1848.7682046929001</v>
      </c>
      <c r="N50" s="547">
        <v>18571</v>
      </c>
      <c r="O50" s="547">
        <v>42044744</v>
      </c>
      <c r="P50" s="540">
        <v>1.791684750882286</v>
      </c>
      <c r="Q50" s="548">
        <v>2264</v>
      </c>
    </row>
    <row r="51" spans="1:17" ht="14.4" customHeight="1" x14ac:dyDescent="0.3">
      <c r="A51" s="534" t="s">
        <v>1138</v>
      </c>
      <c r="B51" s="535" t="s">
        <v>473</v>
      </c>
      <c r="C51" s="535" t="s">
        <v>1079</v>
      </c>
      <c r="D51" s="535" t="s">
        <v>1153</v>
      </c>
      <c r="E51" s="535" t="s">
        <v>1154</v>
      </c>
      <c r="F51" s="547">
        <v>80</v>
      </c>
      <c r="G51" s="547">
        <v>39600</v>
      </c>
      <c r="H51" s="535">
        <v>1</v>
      </c>
      <c r="I51" s="535">
        <v>495</v>
      </c>
      <c r="J51" s="547">
        <v>56</v>
      </c>
      <c r="K51" s="547">
        <v>26988</v>
      </c>
      <c r="L51" s="535">
        <v>0.68151515151515152</v>
      </c>
      <c r="M51" s="535">
        <v>481.92857142857144</v>
      </c>
      <c r="N51" s="547">
        <v>51</v>
      </c>
      <c r="O51" s="547">
        <v>25653</v>
      </c>
      <c r="P51" s="540">
        <v>0.64780303030303032</v>
      </c>
      <c r="Q51" s="548">
        <v>503</v>
      </c>
    </row>
    <row r="52" spans="1:17" ht="14.4" customHeight="1" x14ac:dyDescent="0.3">
      <c r="A52" s="534" t="s">
        <v>1138</v>
      </c>
      <c r="B52" s="535" t="s">
        <v>473</v>
      </c>
      <c r="C52" s="535" t="s">
        <v>1079</v>
      </c>
      <c r="D52" s="535" t="s">
        <v>1155</v>
      </c>
      <c r="E52" s="535" t="s">
        <v>1156</v>
      </c>
      <c r="F52" s="547">
        <v>175</v>
      </c>
      <c r="G52" s="547">
        <v>152775</v>
      </c>
      <c r="H52" s="535">
        <v>1</v>
      </c>
      <c r="I52" s="535">
        <v>873</v>
      </c>
      <c r="J52" s="547">
        <v>137</v>
      </c>
      <c r="K52" s="547">
        <v>113353</v>
      </c>
      <c r="L52" s="535">
        <v>0.74196039927998692</v>
      </c>
      <c r="M52" s="535">
        <v>827.39416058394158</v>
      </c>
      <c r="N52" s="547">
        <v>122</v>
      </c>
      <c r="O52" s="547">
        <v>107970</v>
      </c>
      <c r="P52" s="540">
        <v>0.70672557682866965</v>
      </c>
      <c r="Q52" s="548">
        <v>885</v>
      </c>
    </row>
    <row r="53" spans="1:17" ht="14.4" customHeight="1" x14ac:dyDescent="0.3">
      <c r="A53" s="534" t="s">
        <v>1138</v>
      </c>
      <c r="B53" s="535" t="s">
        <v>473</v>
      </c>
      <c r="C53" s="535" t="s">
        <v>1079</v>
      </c>
      <c r="D53" s="535" t="s">
        <v>1157</v>
      </c>
      <c r="E53" s="535" t="s">
        <v>1158</v>
      </c>
      <c r="F53" s="547">
        <v>382</v>
      </c>
      <c r="G53" s="547">
        <v>2488348</v>
      </c>
      <c r="H53" s="535">
        <v>1</v>
      </c>
      <c r="I53" s="535">
        <v>6514</v>
      </c>
      <c r="J53" s="547">
        <v>437</v>
      </c>
      <c r="K53" s="547">
        <v>2849466</v>
      </c>
      <c r="L53" s="535">
        <v>1.1451235920377696</v>
      </c>
      <c r="M53" s="535">
        <v>6520.5171624713957</v>
      </c>
      <c r="N53" s="547">
        <v>381</v>
      </c>
      <c r="O53" s="547">
        <v>2511552</v>
      </c>
      <c r="P53" s="540">
        <v>1.0093250622501355</v>
      </c>
      <c r="Q53" s="548">
        <v>6592</v>
      </c>
    </row>
    <row r="54" spans="1:17" ht="14.4" customHeight="1" x14ac:dyDescent="0.3">
      <c r="A54" s="534" t="s">
        <v>1138</v>
      </c>
      <c r="B54" s="535" t="s">
        <v>473</v>
      </c>
      <c r="C54" s="535" t="s">
        <v>1079</v>
      </c>
      <c r="D54" s="535" t="s">
        <v>1159</v>
      </c>
      <c r="E54" s="535" t="s">
        <v>1160</v>
      </c>
      <c r="F54" s="547">
        <v>16</v>
      </c>
      <c r="G54" s="547">
        <v>53056</v>
      </c>
      <c r="H54" s="535">
        <v>1</v>
      </c>
      <c r="I54" s="535">
        <v>3316</v>
      </c>
      <c r="J54" s="547">
        <v>20</v>
      </c>
      <c r="K54" s="547">
        <v>53366</v>
      </c>
      <c r="L54" s="535">
        <v>1.005842882991556</v>
      </c>
      <c r="M54" s="535">
        <v>2668.3</v>
      </c>
      <c r="N54" s="547">
        <v>13</v>
      </c>
      <c r="O54" s="547">
        <v>43693</v>
      </c>
      <c r="P54" s="540">
        <v>0.8235260856453559</v>
      </c>
      <c r="Q54" s="548">
        <v>3361</v>
      </c>
    </row>
    <row r="55" spans="1:17" ht="14.4" customHeight="1" x14ac:dyDescent="0.3">
      <c r="A55" s="534" t="s">
        <v>1138</v>
      </c>
      <c r="B55" s="535" t="s">
        <v>473</v>
      </c>
      <c r="C55" s="535" t="s">
        <v>1079</v>
      </c>
      <c r="D55" s="535" t="s">
        <v>1161</v>
      </c>
      <c r="E55" s="535" t="s">
        <v>1162</v>
      </c>
      <c r="F55" s="547">
        <v>91</v>
      </c>
      <c r="G55" s="547">
        <v>773500</v>
      </c>
      <c r="H55" s="535">
        <v>1</v>
      </c>
      <c r="I55" s="535">
        <v>8500</v>
      </c>
      <c r="J55" s="547">
        <v>70</v>
      </c>
      <c r="K55" s="547">
        <v>580451</v>
      </c>
      <c r="L55" s="535">
        <v>0.75042146089204909</v>
      </c>
      <c r="M55" s="535">
        <v>8292.1571428571424</v>
      </c>
      <c r="N55" s="547">
        <v>60</v>
      </c>
      <c r="O55" s="547">
        <v>514920</v>
      </c>
      <c r="P55" s="540">
        <v>0.6657013574660634</v>
      </c>
      <c r="Q55" s="548">
        <v>8582</v>
      </c>
    </row>
    <row r="56" spans="1:17" ht="14.4" customHeight="1" x14ac:dyDescent="0.3">
      <c r="A56" s="534" t="s">
        <v>1138</v>
      </c>
      <c r="B56" s="535" t="s">
        <v>473</v>
      </c>
      <c r="C56" s="535" t="s">
        <v>1079</v>
      </c>
      <c r="D56" s="535" t="s">
        <v>1163</v>
      </c>
      <c r="E56" s="535" t="s">
        <v>1164</v>
      </c>
      <c r="F56" s="547">
        <v>12</v>
      </c>
      <c r="G56" s="547">
        <v>124488</v>
      </c>
      <c r="H56" s="535">
        <v>1</v>
      </c>
      <c r="I56" s="535">
        <v>10374</v>
      </c>
      <c r="J56" s="547">
        <v>10</v>
      </c>
      <c r="K56" s="547">
        <v>83496</v>
      </c>
      <c r="L56" s="535">
        <v>0.67071524966261808</v>
      </c>
      <c r="M56" s="535">
        <v>8349.6</v>
      </c>
      <c r="N56" s="547">
        <v>10</v>
      </c>
      <c r="O56" s="547">
        <v>104780</v>
      </c>
      <c r="P56" s="540">
        <v>0.84168755221386804</v>
      </c>
      <c r="Q56" s="548">
        <v>10478</v>
      </c>
    </row>
    <row r="57" spans="1:17" ht="14.4" customHeight="1" x14ac:dyDescent="0.3">
      <c r="A57" s="534" t="s">
        <v>1138</v>
      </c>
      <c r="B57" s="535" t="s">
        <v>473</v>
      </c>
      <c r="C57" s="535" t="s">
        <v>1079</v>
      </c>
      <c r="D57" s="535" t="s">
        <v>1165</v>
      </c>
      <c r="E57" s="535" t="s">
        <v>1166</v>
      </c>
      <c r="F57" s="547">
        <v>17</v>
      </c>
      <c r="G57" s="547">
        <v>17340</v>
      </c>
      <c r="H57" s="535">
        <v>1</v>
      </c>
      <c r="I57" s="535">
        <v>1020</v>
      </c>
      <c r="J57" s="547">
        <v>17</v>
      </c>
      <c r="K57" s="547">
        <v>17439</v>
      </c>
      <c r="L57" s="535">
        <v>1.0057093425605537</v>
      </c>
      <c r="M57" s="535">
        <v>1025.8235294117646</v>
      </c>
      <c r="N57" s="547">
        <v>9</v>
      </c>
      <c r="O57" s="547">
        <v>9324</v>
      </c>
      <c r="P57" s="540">
        <v>0.53771626297577857</v>
      </c>
      <c r="Q57" s="548">
        <v>1036</v>
      </c>
    </row>
    <row r="58" spans="1:17" ht="14.4" customHeight="1" x14ac:dyDescent="0.3">
      <c r="A58" s="534" t="s">
        <v>1138</v>
      </c>
      <c r="B58" s="535" t="s">
        <v>473</v>
      </c>
      <c r="C58" s="535" t="s">
        <v>1079</v>
      </c>
      <c r="D58" s="535" t="s">
        <v>1167</v>
      </c>
      <c r="E58" s="535" t="s">
        <v>1168</v>
      </c>
      <c r="F58" s="547">
        <v>2</v>
      </c>
      <c r="G58" s="547">
        <v>1122</v>
      </c>
      <c r="H58" s="535">
        <v>1</v>
      </c>
      <c r="I58" s="535">
        <v>561</v>
      </c>
      <c r="J58" s="547">
        <v>5</v>
      </c>
      <c r="K58" s="547">
        <v>2823</v>
      </c>
      <c r="L58" s="535">
        <v>2.5160427807486632</v>
      </c>
      <c r="M58" s="535">
        <v>564.6</v>
      </c>
      <c r="N58" s="547">
        <v>2</v>
      </c>
      <c r="O58" s="547">
        <v>1138</v>
      </c>
      <c r="P58" s="540">
        <v>1.0142602495543671</v>
      </c>
      <c r="Q58" s="548">
        <v>569</v>
      </c>
    </row>
    <row r="59" spans="1:17" ht="14.4" customHeight="1" thickBot="1" x14ac:dyDescent="0.35">
      <c r="A59" s="526" t="s">
        <v>1138</v>
      </c>
      <c r="B59" s="527" t="s">
        <v>473</v>
      </c>
      <c r="C59" s="527" t="s">
        <v>1079</v>
      </c>
      <c r="D59" s="527" t="s">
        <v>1169</v>
      </c>
      <c r="E59" s="527" t="s">
        <v>1170</v>
      </c>
      <c r="F59" s="549"/>
      <c r="G59" s="549"/>
      <c r="H59" s="527"/>
      <c r="I59" s="527"/>
      <c r="J59" s="549">
        <v>2</v>
      </c>
      <c r="K59" s="549">
        <v>4820</v>
      </c>
      <c r="L59" s="527"/>
      <c r="M59" s="527">
        <v>2410</v>
      </c>
      <c r="N59" s="549"/>
      <c r="O59" s="549"/>
      <c r="P59" s="532"/>
      <c r="Q59" s="550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277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522315</v>
      </c>
      <c r="C3" s="222">
        <f t="shared" ref="C3:R3" si="0">SUBTOTAL(9,C6:C1048576)</f>
        <v>7</v>
      </c>
      <c r="D3" s="222">
        <f t="shared" si="0"/>
        <v>756757</v>
      </c>
      <c r="E3" s="222">
        <f t="shared" si="0"/>
        <v>7.5332994140455236</v>
      </c>
      <c r="F3" s="222">
        <f t="shared" si="0"/>
        <v>765788</v>
      </c>
      <c r="G3" s="225">
        <f>IF(B3&lt;&gt;0,F3/B3,"")</f>
        <v>1.4661420790136221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599"/>
      <c r="B5" s="600">
        <v>2013</v>
      </c>
      <c r="C5" s="601"/>
      <c r="D5" s="601">
        <v>2014</v>
      </c>
      <c r="E5" s="601"/>
      <c r="F5" s="601">
        <v>2015</v>
      </c>
      <c r="G5" s="602" t="s">
        <v>2</v>
      </c>
      <c r="H5" s="600">
        <v>2013</v>
      </c>
      <c r="I5" s="601"/>
      <c r="J5" s="601">
        <v>2014</v>
      </c>
      <c r="K5" s="601"/>
      <c r="L5" s="601">
        <v>2015</v>
      </c>
      <c r="M5" s="602" t="s">
        <v>2</v>
      </c>
      <c r="N5" s="600">
        <v>2013</v>
      </c>
      <c r="O5" s="601"/>
      <c r="P5" s="601">
        <v>2014</v>
      </c>
      <c r="Q5" s="601"/>
      <c r="R5" s="601">
        <v>2015</v>
      </c>
      <c r="S5" s="602" t="s">
        <v>2</v>
      </c>
    </row>
    <row r="6" spans="1:19" ht="14.4" customHeight="1" x14ac:dyDescent="0.3">
      <c r="A6" s="558" t="s">
        <v>1172</v>
      </c>
      <c r="B6" s="603"/>
      <c r="C6" s="457"/>
      <c r="D6" s="603"/>
      <c r="E6" s="457"/>
      <c r="F6" s="603">
        <v>1448</v>
      </c>
      <c r="G6" s="480"/>
      <c r="H6" s="603"/>
      <c r="I6" s="457"/>
      <c r="J6" s="603"/>
      <c r="K6" s="457"/>
      <c r="L6" s="603"/>
      <c r="M6" s="480"/>
      <c r="N6" s="603"/>
      <c r="O6" s="457"/>
      <c r="P6" s="603"/>
      <c r="Q6" s="457"/>
      <c r="R6" s="603"/>
      <c r="S6" s="122"/>
    </row>
    <row r="7" spans="1:19" ht="14.4" customHeight="1" x14ac:dyDescent="0.3">
      <c r="A7" s="559" t="s">
        <v>1173</v>
      </c>
      <c r="B7" s="604"/>
      <c r="C7" s="535"/>
      <c r="D7" s="604">
        <v>2705</v>
      </c>
      <c r="E7" s="535"/>
      <c r="F7" s="604"/>
      <c r="G7" s="540"/>
      <c r="H7" s="604"/>
      <c r="I7" s="535"/>
      <c r="J7" s="604"/>
      <c r="K7" s="535"/>
      <c r="L7" s="604"/>
      <c r="M7" s="540"/>
      <c r="N7" s="604"/>
      <c r="O7" s="535"/>
      <c r="P7" s="604"/>
      <c r="Q7" s="535"/>
      <c r="R7" s="604"/>
      <c r="S7" s="541"/>
    </row>
    <row r="8" spans="1:19" ht="14.4" customHeight="1" x14ac:dyDescent="0.3">
      <c r="A8" s="559" t="s">
        <v>1174</v>
      </c>
      <c r="B8" s="604">
        <v>6798</v>
      </c>
      <c r="C8" s="535">
        <v>1</v>
      </c>
      <c r="D8" s="604">
        <v>4316</v>
      </c>
      <c r="E8" s="535">
        <v>0.63489261547513975</v>
      </c>
      <c r="F8" s="604">
        <v>1448</v>
      </c>
      <c r="G8" s="540">
        <v>0.21300382465431009</v>
      </c>
      <c r="H8" s="604"/>
      <c r="I8" s="535"/>
      <c r="J8" s="604"/>
      <c r="K8" s="535"/>
      <c r="L8" s="604"/>
      <c r="M8" s="540"/>
      <c r="N8" s="604"/>
      <c r="O8" s="535"/>
      <c r="P8" s="604"/>
      <c r="Q8" s="535"/>
      <c r="R8" s="604"/>
      <c r="S8" s="541"/>
    </row>
    <row r="9" spans="1:19" ht="14.4" customHeight="1" x14ac:dyDescent="0.3">
      <c r="A9" s="559" t="s">
        <v>1175</v>
      </c>
      <c r="B9" s="604"/>
      <c r="C9" s="535"/>
      <c r="D9" s="604">
        <v>2705</v>
      </c>
      <c r="E9" s="535"/>
      <c r="F9" s="604">
        <v>5863</v>
      </c>
      <c r="G9" s="540"/>
      <c r="H9" s="604"/>
      <c r="I9" s="535"/>
      <c r="J9" s="604"/>
      <c r="K9" s="535"/>
      <c r="L9" s="604"/>
      <c r="M9" s="540"/>
      <c r="N9" s="604"/>
      <c r="O9" s="535"/>
      <c r="P9" s="604"/>
      <c r="Q9" s="535"/>
      <c r="R9" s="604"/>
      <c r="S9" s="541"/>
    </row>
    <row r="10" spans="1:19" ht="14.4" customHeight="1" x14ac:dyDescent="0.3">
      <c r="A10" s="559" t="s">
        <v>1176</v>
      </c>
      <c r="B10" s="604">
        <v>2516</v>
      </c>
      <c r="C10" s="535">
        <v>1</v>
      </c>
      <c r="D10" s="604"/>
      <c r="E10" s="535"/>
      <c r="F10" s="604"/>
      <c r="G10" s="540"/>
      <c r="H10" s="604"/>
      <c r="I10" s="535"/>
      <c r="J10" s="604"/>
      <c r="K10" s="535"/>
      <c r="L10" s="604"/>
      <c r="M10" s="540"/>
      <c r="N10" s="604"/>
      <c r="O10" s="535"/>
      <c r="P10" s="604"/>
      <c r="Q10" s="535"/>
      <c r="R10" s="604"/>
      <c r="S10" s="541"/>
    </row>
    <row r="11" spans="1:19" ht="14.4" customHeight="1" x14ac:dyDescent="0.3">
      <c r="A11" s="559" t="s">
        <v>1177</v>
      </c>
      <c r="B11" s="604">
        <v>86838</v>
      </c>
      <c r="C11" s="535">
        <v>1</v>
      </c>
      <c r="D11" s="604">
        <v>169728</v>
      </c>
      <c r="E11" s="535">
        <v>1.9545360326124508</v>
      </c>
      <c r="F11" s="604">
        <v>317579</v>
      </c>
      <c r="G11" s="540">
        <v>3.6571431861627399</v>
      </c>
      <c r="H11" s="604"/>
      <c r="I11" s="535"/>
      <c r="J11" s="604"/>
      <c r="K11" s="535"/>
      <c r="L11" s="604"/>
      <c r="M11" s="540"/>
      <c r="N11" s="604"/>
      <c r="O11" s="535"/>
      <c r="P11" s="604"/>
      <c r="Q11" s="535"/>
      <c r="R11" s="604"/>
      <c r="S11" s="541"/>
    </row>
    <row r="12" spans="1:19" ht="14.4" customHeight="1" x14ac:dyDescent="0.3">
      <c r="A12" s="559" t="s">
        <v>1178</v>
      </c>
      <c r="B12" s="604">
        <v>149327</v>
      </c>
      <c r="C12" s="535">
        <v>1</v>
      </c>
      <c r="D12" s="604">
        <v>237687</v>
      </c>
      <c r="E12" s="535">
        <v>1.5917215239039155</v>
      </c>
      <c r="F12" s="604">
        <v>332549</v>
      </c>
      <c r="G12" s="540">
        <v>2.2269850730276506</v>
      </c>
      <c r="H12" s="604"/>
      <c r="I12" s="535"/>
      <c r="J12" s="604"/>
      <c r="K12" s="535"/>
      <c r="L12" s="604"/>
      <c r="M12" s="540"/>
      <c r="N12" s="604"/>
      <c r="O12" s="535"/>
      <c r="P12" s="604"/>
      <c r="Q12" s="535"/>
      <c r="R12" s="604"/>
      <c r="S12" s="541"/>
    </row>
    <row r="13" spans="1:19" ht="14.4" customHeight="1" x14ac:dyDescent="0.3">
      <c r="A13" s="559" t="s">
        <v>1179</v>
      </c>
      <c r="B13" s="604">
        <v>161294</v>
      </c>
      <c r="C13" s="535">
        <v>1</v>
      </c>
      <c r="D13" s="604">
        <v>232499</v>
      </c>
      <c r="E13" s="535">
        <v>1.441460934690689</v>
      </c>
      <c r="F13" s="604">
        <v>48843</v>
      </c>
      <c r="G13" s="540">
        <v>0.30281969571093781</v>
      </c>
      <c r="H13" s="604"/>
      <c r="I13" s="535"/>
      <c r="J13" s="604"/>
      <c r="K13" s="535"/>
      <c r="L13" s="604"/>
      <c r="M13" s="540"/>
      <c r="N13" s="604"/>
      <c r="O13" s="535"/>
      <c r="P13" s="604"/>
      <c r="Q13" s="535"/>
      <c r="R13" s="604"/>
      <c r="S13" s="541"/>
    </row>
    <row r="14" spans="1:19" ht="14.4" customHeight="1" x14ac:dyDescent="0.3">
      <c r="A14" s="559" t="s">
        <v>1180</v>
      </c>
      <c r="B14" s="604">
        <v>114106</v>
      </c>
      <c r="C14" s="535">
        <v>1</v>
      </c>
      <c r="D14" s="604">
        <v>103915</v>
      </c>
      <c r="E14" s="535">
        <v>0.91068830736332884</v>
      </c>
      <c r="F14" s="604">
        <v>52626</v>
      </c>
      <c r="G14" s="540">
        <v>0.4612027413107111</v>
      </c>
      <c r="H14" s="604"/>
      <c r="I14" s="535"/>
      <c r="J14" s="604"/>
      <c r="K14" s="535"/>
      <c r="L14" s="604"/>
      <c r="M14" s="540"/>
      <c r="N14" s="604"/>
      <c r="O14" s="535"/>
      <c r="P14" s="604"/>
      <c r="Q14" s="535"/>
      <c r="R14" s="604"/>
      <c r="S14" s="541"/>
    </row>
    <row r="15" spans="1:19" ht="14.4" customHeight="1" x14ac:dyDescent="0.3">
      <c r="A15" s="559" t="s">
        <v>1181</v>
      </c>
      <c r="B15" s="604"/>
      <c r="C15" s="535"/>
      <c r="D15" s="604">
        <v>1766</v>
      </c>
      <c r="E15" s="535"/>
      <c r="F15" s="604"/>
      <c r="G15" s="540"/>
      <c r="H15" s="604"/>
      <c r="I15" s="535"/>
      <c r="J15" s="604"/>
      <c r="K15" s="535"/>
      <c r="L15" s="604"/>
      <c r="M15" s="540"/>
      <c r="N15" s="604"/>
      <c r="O15" s="535"/>
      <c r="P15" s="604"/>
      <c r="Q15" s="535"/>
      <c r="R15" s="604"/>
      <c r="S15" s="541"/>
    </row>
    <row r="16" spans="1:19" ht="14.4" customHeight="1" thickBot="1" x14ac:dyDescent="0.35">
      <c r="A16" s="606" t="s">
        <v>1182</v>
      </c>
      <c r="B16" s="605">
        <v>1436</v>
      </c>
      <c r="C16" s="527">
        <v>1</v>
      </c>
      <c r="D16" s="605">
        <v>1436</v>
      </c>
      <c r="E16" s="527">
        <v>1</v>
      </c>
      <c r="F16" s="605">
        <v>5432</v>
      </c>
      <c r="G16" s="532">
        <v>3.7827298050139277</v>
      </c>
      <c r="H16" s="605"/>
      <c r="I16" s="527"/>
      <c r="J16" s="605"/>
      <c r="K16" s="527"/>
      <c r="L16" s="605"/>
      <c r="M16" s="532"/>
      <c r="N16" s="605"/>
      <c r="O16" s="527"/>
      <c r="P16" s="605"/>
      <c r="Q16" s="527"/>
      <c r="R16" s="605"/>
      <c r="S16" s="53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1196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277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330</v>
      </c>
      <c r="G3" s="103">
        <f t="shared" si="0"/>
        <v>522315</v>
      </c>
      <c r="H3" s="103"/>
      <c r="I3" s="103"/>
      <c r="J3" s="103">
        <f t="shared" si="0"/>
        <v>410</v>
      </c>
      <c r="K3" s="103">
        <f t="shared" si="0"/>
        <v>756757</v>
      </c>
      <c r="L3" s="103"/>
      <c r="M3" s="103"/>
      <c r="N3" s="103">
        <f t="shared" si="0"/>
        <v>376</v>
      </c>
      <c r="O3" s="103">
        <f t="shared" si="0"/>
        <v>765788</v>
      </c>
      <c r="P3" s="75">
        <f>IF(G3=0,0,O3/G3)</f>
        <v>1.4661420790136221</v>
      </c>
      <c r="Q3" s="104">
        <f>IF(N3=0,0,O3/N3)</f>
        <v>2036.6702127659576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6" t="s">
        <v>97</v>
      </c>
      <c r="E4" s="408" t="s">
        <v>70</v>
      </c>
      <c r="F4" s="414">
        <v>2013</v>
      </c>
      <c r="G4" s="415"/>
      <c r="H4" s="105"/>
      <c r="I4" s="105"/>
      <c r="J4" s="414">
        <v>2014</v>
      </c>
      <c r="K4" s="415"/>
      <c r="L4" s="105"/>
      <c r="M4" s="105"/>
      <c r="N4" s="414">
        <v>2015</v>
      </c>
      <c r="O4" s="415"/>
      <c r="P4" s="417" t="s">
        <v>2</v>
      </c>
      <c r="Q4" s="405" t="s">
        <v>98</v>
      </c>
    </row>
    <row r="5" spans="1:17" ht="14.4" customHeight="1" thickBot="1" x14ac:dyDescent="0.35">
      <c r="A5" s="613"/>
      <c r="B5" s="611"/>
      <c r="C5" s="613"/>
      <c r="D5" s="621"/>
      <c r="E5" s="615"/>
      <c r="F5" s="622" t="s">
        <v>72</v>
      </c>
      <c r="G5" s="623" t="s">
        <v>14</v>
      </c>
      <c r="H5" s="624"/>
      <c r="I5" s="624"/>
      <c r="J5" s="622" t="s">
        <v>72</v>
      </c>
      <c r="K5" s="623" t="s">
        <v>14</v>
      </c>
      <c r="L5" s="624"/>
      <c r="M5" s="624"/>
      <c r="N5" s="622" t="s">
        <v>72</v>
      </c>
      <c r="O5" s="623" t="s">
        <v>14</v>
      </c>
      <c r="P5" s="625"/>
      <c r="Q5" s="620"/>
    </row>
    <row r="6" spans="1:17" ht="14.4" customHeight="1" x14ac:dyDescent="0.3">
      <c r="A6" s="519" t="s">
        <v>1183</v>
      </c>
      <c r="B6" s="457" t="s">
        <v>1071</v>
      </c>
      <c r="C6" s="457" t="s">
        <v>1079</v>
      </c>
      <c r="D6" s="457" t="s">
        <v>1096</v>
      </c>
      <c r="E6" s="457" t="s">
        <v>1097</v>
      </c>
      <c r="F6" s="460"/>
      <c r="G6" s="460"/>
      <c r="H6" s="460"/>
      <c r="I6" s="460"/>
      <c r="J6" s="460"/>
      <c r="K6" s="460"/>
      <c r="L6" s="460"/>
      <c r="M6" s="460"/>
      <c r="N6" s="460">
        <v>1</v>
      </c>
      <c r="O6" s="460">
        <v>1448</v>
      </c>
      <c r="P6" s="480"/>
      <c r="Q6" s="546">
        <v>1448</v>
      </c>
    </row>
    <row r="7" spans="1:17" ht="14.4" customHeight="1" x14ac:dyDescent="0.3">
      <c r="A7" s="534" t="s">
        <v>1184</v>
      </c>
      <c r="B7" s="535" t="s">
        <v>1071</v>
      </c>
      <c r="C7" s="535" t="s">
        <v>1079</v>
      </c>
      <c r="D7" s="535" t="s">
        <v>1094</v>
      </c>
      <c r="E7" s="535" t="s">
        <v>1095</v>
      </c>
      <c r="F7" s="547"/>
      <c r="G7" s="547"/>
      <c r="H7" s="547"/>
      <c r="I7" s="547"/>
      <c r="J7" s="547">
        <v>1</v>
      </c>
      <c r="K7" s="547">
        <v>0</v>
      </c>
      <c r="L7" s="547"/>
      <c r="M7" s="547">
        <v>0</v>
      </c>
      <c r="N7" s="547"/>
      <c r="O7" s="547"/>
      <c r="P7" s="540"/>
      <c r="Q7" s="548"/>
    </row>
    <row r="8" spans="1:17" ht="14.4" customHeight="1" x14ac:dyDescent="0.3">
      <c r="A8" s="534" t="s">
        <v>1184</v>
      </c>
      <c r="B8" s="535" t="s">
        <v>1071</v>
      </c>
      <c r="C8" s="535" t="s">
        <v>1079</v>
      </c>
      <c r="D8" s="535" t="s">
        <v>1096</v>
      </c>
      <c r="E8" s="535" t="s">
        <v>1097</v>
      </c>
      <c r="F8" s="547"/>
      <c r="G8" s="547"/>
      <c r="H8" s="547"/>
      <c r="I8" s="547"/>
      <c r="J8" s="547">
        <v>1</v>
      </c>
      <c r="K8" s="547">
        <v>1444</v>
      </c>
      <c r="L8" s="547"/>
      <c r="M8" s="547">
        <v>1444</v>
      </c>
      <c r="N8" s="547"/>
      <c r="O8" s="547"/>
      <c r="P8" s="540"/>
      <c r="Q8" s="548"/>
    </row>
    <row r="9" spans="1:17" ht="14.4" customHeight="1" x14ac:dyDescent="0.3">
      <c r="A9" s="534" t="s">
        <v>1184</v>
      </c>
      <c r="B9" s="535" t="s">
        <v>1138</v>
      </c>
      <c r="C9" s="535" t="s">
        <v>1079</v>
      </c>
      <c r="D9" s="535" t="s">
        <v>1143</v>
      </c>
      <c r="E9" s="535" t="s">
        <v>1144</v>
      </c>
      <c r="F9" s="547"/>
      <c r="G9" s="547"/>
      <c r="H9" s="547"/>
      <c r="I9" s="547"/>
      <c r="J9" s="547">
        <v>1</v>
      </c>
      <c r="K9" s="547">
        <v>1261</v>
      </c>
      <c r="L9" s="547"/>
      <c r="M9" s="547">
        <v>1261</v>
      </c>
      <c r="N9" s="547"/>
      <c r="O9" s="547"/>
      <c r="P9" s="540"/>
      <c r="Q9" s="548"/>
    </row>
    <row r="10" spans="1:17" ht="14.4" customHeight="1" x14ac:dyDescent="0.3">
      <c r="A10" s="534" t="s">
        <v>1185</v>
      </c>
      <c r="B10" s="535" t="s">
        <v>1071</v>
      </c>
      <c r="C10" s="535" t="s">
        <v>1079</v>
      </c>
      <c r="D10" s="535" t="s">
        <v>1094</v>
      </c>
      <c r="E10" s="535" t="s">
        <v>1095</v>
      </c>
      <c r="F10" s="547">
        <v>2</v>
      </c>
      <c r="G10" s="547">
        <v>0</v>
      </c>
      <c r="H10" s="547"/>
      <c r="I10" s="547">
        <v>0</v>
      </c>
      <c r="J10" s="547">
        <v>2</v>
      </c>
      <c r="K10" s="547">
        <v>0</v>
      </c>
      <c r="L10" s="547"/>
      <c r="M10" s="547">
        <v>0</v>
      </c>
      <c r="N10" s="547"/>
      <c r="O10" s="547"/>
      <c r="P10" s="540"/>
      <c r="Q10" s="548"/>
    </row>
    <row r="11" spans="1:17" ht="14.4" customHeight="1" x14ac:dyDescent="0.3">
      <c r="A11" s="534" t="s">
        <v>1185</v>
      </c>
      <c r="B11" s="535" t="s">
        <v>1071</v>
      </c>
      <c r="C11" s="535" t="s">
        <v>1079</v>
      </c>
      <c r="D11" s="535" t="s">
        <v>1096</v>
      </c>
      <c r="E11" s="535" t="s">
        <v>1097</v>
      </c>
      <c r="F11" s="547">
        <v>3</v>
      </c>
      <c r="G11" s="547">
        <v>4308</v>
      </c>
      <c r="H11" s="547">
        <v>1</v>
      </c>
      <c r="I11" s="547">
        <v>1436</v>
      </c>
      <c r="J11" s="547">
        <v>3</v>
      </c>
      <c r="K11" s="547">
        <v>4316</v>
      </c>
      <c r="L11" s="547">
        <v>1.0018570102135562</v>
      </c>
      <c r="M11" s="547">
        <v>1438.6666666666667</v>
      </c>
      <c r="N11" s="547">
        <v>1</v>
      </c>
      <c r="O11" s="547">
        <v>1448</v>
      </c>
      <c r="P11" s="540">
        <v>0.33611884865366759</v>
      </c>
      <c r="Q11" s="548">
        <v>1448</v>
      </c>
    </row>
    <row r="12" spans="1:17" ht="14.4" customHeight="1" x14ac:dyDescent="0.3">
      <c r="A12" s="534" t="s">
        <v>1185</v>
      </c>
      <c r="B12" s="535" t="s">
        <v>1138</v>
      </c>
      <c r="C12" s="535" t="s">
        <v>1079</v>
      </c>
      <c r="D12" s="535" t="s">
        <v>1143</v>
      </c>
      <c r="E12" s="535" t="s">
        <v>1144</v>
      </c>
      <c r="F12" s="547">
        <v>2</v>
      </c>
      <c r="G12" s="547">
        <v>2490</v>
      </c>
      <c r="H12" s="547">
        <v>1</v>
      </c>
      <c r="I12" s="547">
        <v>1245</v>
      </c>
      <c r="J12" s="547"/>
      <c r="K12" s="547"/>
      <c r="L12" s="547"/>
      <c r="M12" s="547"/>
      <c r="N12" s="547"/>
      <c r="O12" s="547"/>
      <c r="P12" s="540"/>
      <c r="Q12" s="548"/>
    </row>
    <row r="13" spans="1:17" ht="14.4" customHeight="1" x14ac:dyDescent="0.3">
      <c r="A13" s="534" t="s">
        <v>1186</v>
      </c>
      <c r="B13" s="535" t="s">
        <v>1071</v>
      </c>
      <c r="C13" s="535" t="s">
        <v>1079</v>
      </c>
      <c r="D13" s="535" t="s">
        <v>1092</v>
      </c>
      <c r="E13" s="535" t="s">
        <v>1093</v>
      </c>
      <c r="F13" s="547"/>
      <c r="G13" s="547"/>
      <c r="H13" s="547"/>
      <c r="I13" s="547"/>
      <c r="J13" s="547"/>
      <c r="K13" s="547"/>
      <c r="L13" s="547"/>
      <c r="M13" s="547"/>
      <c r="N13" s="547">
        <v>1</v>
      </c>
      <c r="O13" s="547">
        <v>327</v>
      </c>
      <c r="P13" s="540"/>
      <c r="Q13" s="548">
        <v>327</v>
      </c>
    </row>
    <row r="14" spans="1:17" ht="14.4" customHeight="1" x14ac:dyDescent="0.3">
      <c r="A14" s="534" t="s">
        <v>1186</v>
      </c>
      <c r="B14" s="535" t="s">
        <v>1071</v>
      </c>
      <c r="C14" s="535" t="s">
        <v>1079</v>
      </c>
      <c r="D14" s="535" t="s">
        <v>1096</v>
      </c>
      <c r="E14" s="535" t="s">
        <v>1097</v>
      </c>
      <c r="F14" s="547"/>
      <c r="G14" s="547"/>
      <c r="H14" s="547"/>
      <c r="I14" s="547"/>
      <c r="J14" s="547">
        <v>1</v>
      </c>
      <c r="K14" s="547">
        <v>1444</v>
      </c>
      <c r="L14" s="547"/>
      <c r="M14" s="547">
        <v>1444</v>
      </c>
      <c r="N14" s="547"/>
      <c r="O14" s="547"/>
      <c r="P14" s="540"/>
      <c r="Q14" s="548"/>
    </row>
    <row r="15" spans="1:17" ht="14.4" customHeight="1" x14ac:dyDescent="0.3">
      <c r="A15" s="534" t="s">
        <v>1186</v>
      </c>
      <c r="B15" s="535" t="s">
        <v>1138</v>
      </c>
      <c r="C15" s="535" t="s">
        <v>1079</v>
      </c>
      <c r="D15" s="535" t="s">
        <v>1143</v>
      </c>
      <c r="E15" s="535" t="s">
        <v>1144</v>
      </c>
      <c r="F15" s="547"/>
      <c r="G15" s="547"/>
      <c r="H15" s="547"/>
      <c r="I15" s="547"/>
      <c r="J15" s="547">
        <v>1</v>
      </c>
      <c r="K15" s="547">
        <v>1261</v>
      </c>
      <c r="L15" s="547"/>
      <c r="M15" s="547">
        <v>1261</v>
      </c>
      <c r="N15" s="547"/>
      <c r="O15" s="547"/>
      <c r="P15" s="540"/>
      <c r="Q15" s="548"/>
    </row>
    <row r="16" spans="1:17" ht="14.4" customHeight="1" x14ac:dyDescent="0.3">
      <c r="A16" s="534" t="s">
        <v>1186</v>
      </c>
      <c r="B16" s="535" t="s">
        <v>1138</v>
      </c>
      <c r="C16" s="535" t="s">
        <v>1079</v>
      </c>
      <c r="D16" s="535" t="s">
        <v>1149</v>
      </c>
      <c r="E16" s="535" t="s">
        <v>1150</v>
      </c>
      <c r="F16" s="547"/>
      <c r="G16" s="547"/>
      <c r="H16" s="547"/>
      <c r="I16" s="547"/>
      <c r="J16" s="547"/>
      <c r="K16" s="547"/>
      <c r="L16" s="547"/>
      <c r="M16" s="547"/>
      <c r="N16" s="547">
        <v>1</v>
      </c>
      <c r="O16" s="547">
        <v>1008</v>
      </c>
      <c r="P16" s="540"/>
      <c r="Q16" s="548">
        <v>1008</v>
      </c>
    </row>
    <row r="17" spans="1:17" ht="14.4" customHeight="1" x14ac:dyDescent="0.3">
      <c r="A17" s="534" t="s">
        <v>1186</v>
      </c>
      <c r="B17" s="535" t="s">
        <v>1138</v>
      </c>
      <c r="C17" s="535" t="s">
        <v>1079</v>
      </c>
      <c r="D17" s="535" t="s">
        <v>1151</v>
      </c>
      <c r="E17" s="535" t="s">
        <v>1152</v>
      </c>
      <c r="F17" s="547"/>
      <c r="G17" s="547"/>
      <c r="H17" s="547"/>
      <c r="I17" s="547"/>
      <c r="J17" s="547"/>
      <c r="K17" s="547"/>
      <c r="L17" s="547"/>
      <c r="M17" s="547"/>
      <c r="N17" s="547">
        <v>2</v>
      </c>
      <c r="O17" s="547">
        <v>4528</v>
      </c>
      <c r="P17" s="540"/>
      <c r="Q17" s="548">
        <v>2264</v>
      </c>
    </row>
    <row r="18" spans="1:17" ht="14.4" customHeight="1" x14ac:dyDescent="0.3">
      <c r="A18" s="534" t="s">
        <v>1187</v>
      </c>
      <c r="B18" s="535" t="s">
        <v>1071</v>
      </c>
      <c r="C18" s="535" t="s">
        <v>1079</v>
      </c>
      <c r="D18" s="535" t="s">
        <v>1096</v>
      </c>
      <c r="E18" s="535" t="s">
        <v>1097</v>
      </c>
      <c r="F18" s="547">
        <v>1</v>
      </c>
      <c r="G18" s="547">
        <v>1436</v>
      </c>
      <c r="H18" s="547">
        <v>1</v>
      </c>
      <c r="I18" s="547">
        <v>1436</v>
      </c>
      <c r="J18" s="547"/>
      <c r="K18" s="547"/>
      <c r="L18" s="547"/>
      <c r="M18" s="547"/>
      <c r="N18" s="547"/>
      <c r="O18" s="547"/>
      <c r="P18" s="540"/>
      <c r="Q18" s="548"/>
    </row>
    <row r="19" spans="1:17" ht="14.4" customHeight="1" x14ac:dyDescent="0.3">
      <c r="A19" s="534" t="s">
        <v>1187</v>
      </c>
      <c r="B19" s="535" t="s">
        <v>1115</v>
      </c>
      <c r="C19" s="535" t="s">
        <v>1079</v>
      </c>
      <c r="D19" s="535" t="s">
        <v>1116</v>
      </c>
      <c r="E19" s="535" t="s">
        <v>1117</v>
      </c>
      <c r="F19" s="547">
        <v>1</v>
      </c>
      <c r="G19" s="547">
        <v>438</v>
      </c>
      <c r="H19" s="547">
        <v>1</v>
      </c>
      <c r="I19" s="547">
        <v>438</v>
      </c>
      <c r="J19" s="547"/>
      <c r="K19" s="547"/>
      <c r="L19" s="547"/>
      <c r="M19" s="547"/>
      <c r="N19" s="547"/>
      <c r="O19" s="547"/>
      <c r="P19" s="540"/>
      <c r="Q19" s="548"/>
    </row>
    <row r="20" spans="1:17" ht="14.4" customHeight="1" x14ac:dyDescent="0.3">
      <c r="A20" s="534" t="s">
        <v>1187</v>
      </c>
      <c r="B20" s="535" t="s">
        <v>1115</v>
      </c>
      <c r="C20" s="535" t="s">
        <v>1079</v>
      </c>
      <c r="D20" s="535" t="s">
        <v>1126</v>
      </c>
      <c r="E20" s="535" t="s">
        <v>1127</v>
      </c>
      <c r="F20" s="547">
        <v>1</v>
      </c>
      <c r="G20" s="547">
        <v>642</v>
      </c>
      <c r="H20" s="547">
        <v>1</v>
      </c>
      <c r="I20" s="547">
        <v>642</v>
      </c>
      <c r="J20" s="547"/>
      <c r="K20" s="547"/>
      <c r="L20" s="547"/>
      <c r="M20" s="547"/>
      <c r="N20" s="547"/>
      <c r="O20" s="547"/>
      <c r="P20" s="540"/>
      <c r="Q20" s="548"/>
    </row>
    <row r="21" spans="1:17" ht="14.4" customHeight="1" x14ac:dyDescent="0.3">
      <c r="A21" s="534" t="s">
        <v>1188</v>
      </c>
      <c r="B21" s="535" t="s">
        <v>1071</v>
      </c>
      <c r="C21" s="535" t="s">
        <v>1079</v>
      </c>
      <c r="D21" s="535" t="s">
        <v>1092</v>
      </c>
      <c r="E21" s="535" t="s">
        <v>1093</v>
      </c>
      <c r="F21" s="547">
        <v>10</v>
      </c>
      <c r="G21" s="547">
        <v>3230</v>
      </c>
      <c r="H21" s="547">
        <v>1</v>
      </c>
      <c r="I21" s="547">
        <v>323</v>
      </c>
      <c r="J21" s="547">
        <v>8</v>
      </c>
      <c r="K21" s="547">
        <v>2590</v>
      </c>
      <c r="L21" s="547">
        <v>0.80185758513931893</v>
      </c>
      <c r="M21" s="547">
        <v>323.75</v>
      </c>
      <c r="N21" s="547">
        <v>8</v>
      </c>
      <c r="O21" s="547">
        <v>2616</v>
      </c>
      <c r="P21" s="540">
        <v>0.80990712074303406</v>
      </c>
      <c r="Q21" s="548">
        <v>327</v>
      </c>
    </row>
    <row r="22" spans="1:17" ht="14.4" customHeight="1" x14ac:dyDescent="0.3">
      <c r="A22" s="534" t="s">
        <v>1188</v>
      </c>
      <c r="B22" s="535" t="s">
        <v>1071</v>
      </c>
      <c r="C22" s="535" t="s">
        <v>1079</v>
      </c>
      <c r="D22" s="535" t="s">
        <v>1094</v>
      </c>
      <c r="E22" s="535" t="s">
        <v>1095</v>
      </c>
      <c r="F22" s="547">
        <v>2</v>
      </c>
      <c r="G22" s="547">
        <v>0</v>
      </c>
      <c r="H22" s="547"/>
      <c r="I22" s="547">
        <v>0</v>
      </c>
      <c r="J22" s="547">
        <v>4</v>
      </c>
      <c r="K22" s="547">
        <v>0</v>
      </c>
      <c r="L22" s="547"/>
      <c r="M22" s="547">
        <v>0</v>
      </c>
      <c r="N22" s="547"/>
      <c r="O22" s="547"/>
      <c r="P22" s="540"/>
      <c r="Q22" s="548"/>
    </row>
    <row r="23" spans="1:17" ht="14.4" customHeight="1" x14ac:dyDescent="0.3">
      <c r="A23" s="534" t="s">
        <v>1188</v>
      </c>
      <c r="B23" s="535" t="s">
        <v>1071</v>
      </c>
      <c r="C23" s="535" t="s">
        <v>1079</v>
      </c>
      <c r="D23" s="535" t="s">
        <v>1096</v>
      </c>
      <c r="E23" s="535" t="s">
        <v>1097</v>
      </c>
      <c r="F23" s="547">
        <v>4</v>
      </c>
      <c r="G23" s="547">
        <v>5744</v>
      </c>
      <c r="H23" s="547">
        <v>1</v>
      </c>
      <c r="I23" s="547">
        <v>1436</v>
      </c>
      <c r="J23" s="547">
        <v>9</v>
      </c>
      <c r="K23" s="547">
        <v>12980</v>
      </c>
      <c r="L23" s="547">
        <v>2.2597493036211698</v>
      </c>
      <c r="M23" s="547">
        <v>1442.2222222222222</v>
      </c>
      <c r="N23" s="547">
        <v>6</v>
      </c>
      <c r="O23" s="547">
        <v>8688</v>
      </c>
      <c r="P23" s="540">
        <v>1.5125348189415042</v>
      </c>
      <c r="Q23" s="548">
        <v>1448</v>
      </c>
    </row>
    <row r="24" spans="1:17" ht="14.4" customHeight="1" x14ac:dyDescent="0.3">
      <c r="A24" s="534" t="s">
        <v>1188</v>
      </c>
      <c r="B24" s="535" t="s">
        <v>1071</v>
      </c>
      <c r="C24" s="535" t="s">
        <v>1079</v>
      </c>
      <c r="D24" s="535" t="s">
        <v>1098</v>
      </c>
      <c r="E24" s="535" t="s">
        <v>1099</v>
      </c>
      <c r="F24" s="547">
        <v>0</v>
      </c>
      <c r="G24" s="547">
        <v>0</v>
      </c>
      <c r="H24" s="547"/>
      <c r="I24" s="547"/>
      <c r="J24" s="547"/>
      <c r="K24" s="547"/>
      <c r="L24" s="547"/>
      <c r="M24" s="547"/>
      <c r="N24" s="547"/>
      <c r="O24" s="547"/>
      <c r="P24" s="540"/>
      <c r="Q24" s="548"/>
    </row>
    <row r="25" spans="1:17" ht="14.4" customHeight="1" x14ac:dyDescent="0.3">
      <c r="A25" s="534" t="s">
        <v>1188</v>
      </c>
      <c r="B25" s="535" t="s">
        <v>1115</v>
      </c>
      <c r="C25" s="535" t="s">
        <v>1079</v>
      </c>
      <c r="D25" s="535" t="s">
        <v>1116</v>
      </c>
      <c r="E25" s="535" t="s">
        <v>1117</v>
      </c>
      <c r="F25" s="547"/>
      <c r="G25" s="547"/>
      <c r="H25" s="547"/>
      <c r="I25" s="547"/>
      <c r="J25" s="547">
        <v>1</v>
      </c>
      <c r="K25" s="547">
        <v>438</v>
      </c>
      <c r="L25" s="547"/>
      <c r="M25" s="547">
        <v>438</v>
      </c>
      <c r="N25" s="547"/>
      <c r="O25" s="547"/>
      <c r="P25" s="540"/>
      <c r="Q25" s="548"/>
    </row>
    <row r="26" spans="1:17" ht="14.4" customHeight="1" x14ac:dyDescent="0.3">
      <c r="A26" s="534" t="s">
        <v>1188</v>
      </c>
      <c r="B26" s="535" t="s">
        <v>1115</v>
      </c>
      <c r="C26" s="535" t="s">
        <v>1079</v>
      </c>
      <c r="D26" s="535" t="s">
        <v>1126</v>
      </c>
      <c r="E26" s="535" t="s">
        <v>1127</v>
      </c>
      <c r="F26" s="547">
        <v>15</v>
      </c>
      <c r="G26" s="547">
        <v>9630</v>
      </c>
      <c r="H26" s="547">
        <v>1</v>
      </c>
      <c r="I26" s="547">
        <v>642</v>
      </c>
      <c r="J26" s="547">
        <v>5</v>
      </c>
      <c r="K26" s="547">
        <v>3215</v>
      </c>
      <c r="L26" s="547">
        <v>0.33385254413291798</v>
      </c>
      <c r="M26" s="547">
        <v>643</v>
      </c>
      <c r="N26" s="547"/>
      <c r="O26" s="547"/>
      <c r="P26" s="540"/>
      <c r="Q26" s="548"/>
    </row>
    <row r="27" spans="1:17" ht="14.4" customHeight="1" x14ac:dyDescent="0.3">
      <c r="A27" s="534" t="s">
        <v>1188</v>
      </c>
      <c r="B27" s="535" t="s">
        <v>1115</v>
      </c>
      <c r="C27" s="535" t="s">
        <v>1079</v>
      </c>
      <c r="D27" s="535" t="s">
        <v>1130</v>
      </c>
      <c r="E27" s="535" t="s">
        <v>1131</v>
      </c>
      <c r="F27" s="547"/>
      <c r="G27" s="547"/>
      <c r="H27" s="547"/>
      <c r="I27" s="547"/>
      <c r="J27" s="547">
        <v>2</v>
      </c>
      <c r="K27" s="547">
        <v>1172</v>
      </c>
      <c r="L27" s="547"/>
      <c r="M27" s="547">
        <v>586</v>
      </c>
      <c r="N27" s="547"/>
      <c r="O27" s="547"/>
      <c r="P27" s="540"/>
      <c r="Q27" s="548"/>
    </row>
    <row r="28" spans="1:17" ht="14.4" customHeight="1" x14ac:dyDescent="0.3">
      <c r="A28" s="534" t="s">
        <v>1188</v>
      </c>
      <c r="B28" s="535" t="s">
        <v>1115</v>
      </c>
      <c r="C28" s="535" t="s">
        <v>1079</v>
      </c>
      <c r="D28" s="535" t="s">
        <v>1132</v>
      </c>
      <c r="E28" s="535" t="s">
        <v>1133</v>
      </c>
      <c r="F28" s="547">
        <v>3</v>
      </c>
      <c r="G28" s="547">
        <v>2448</v>
      </c>
      <c r="H28" s="547">
        <v>1</v>
      </c>
      <c r="I28" s="547">
        <v>816</v>
      </c>
      <c r="J28" s="547">
        <v>1</v>
      </c>
      <c r="K28" s="547">
        <v>816</v>
      </c>
      <c r="L28" s="547">
        <v>0.33333333333333331</v>
      </c>
      <c r="M28" s="547">
        <v>816</v>
      </c>
      <c r="N28" s="547"/>
      <c r="O28" s="547"/>
      <c r="P28" s="540"/>
      <c r="Q28" s="548"/>
    </row>
    <row r="29" spans="1:17" ht="14.4" customHeight="1" x14ac:dyDescent="0.3">
      <c r="A29" s="534" t="s">
        <v>1188</v>
      </c>
      <c r="B29" s="535" t="s">
        <v>1138</v>
      </c>
      <c r="C29" s="535" t="s">
        <v>1079</v>
      </c>
      <c r="D29" s="535" t="s">
        <v>1141</v>
      </c>
      <c r="E29" s="535" t="s">
        <v>1142</v>
      </c>
      <c r="F29" s="547">
        <v>4</v>
      </c>
      <c r="G29" s="547">
        <v>1188</v>
      </c>
      <c r="H29" s="547">
        <v>1</v>
      </c>
      <c r="I29" s="547">
        <v>297</v>
      </c>
      <c r="J29" s="547">
        <v>2</v>
      </c>
      <c r="K29" s="547">
        <v>594</v>
      </c>
      <c r="L29" s="547">
        <v>0.5</v>
      </c>
      <c r="M29" s="547">
        <v>297</v>
      </c>
      <c r="N29" s="547">
        <v>5</v>
      </c>
      <c r="O29" s="547">
        <v>1515</v>
      </c>
      <c r="P29" s="540">
        <v>1.2752525252525253</v>
      </c>
      <c r="Q29" s="548">
        <v>303</v>
      </c>
    </row>
    <row r="30" spans="1:17" ht="14.4" customHeight="1" x14ac:dyDescent="0.3">
      <c r="A30" s="534" t="s">
        <v>1188</v>
      </c>
      <c r="B30" s="535" t="s">
        <v>1138</v>
      </c>
      <c r="C30" s="535" t="s">
        <v>1079</v>
      </c>
      <c r="D30" s="535" t="s">
        <v>1143</v>
      </c>
      <c r="E30" s="535" t="s">
        <v>1144</v>
      </c>
      <c r="F30" s="547"/>
      <c r="G30" s="547"/>
      <c r="H30" s="547"/>
      <c r="I30" s="547"/>
      <c r="J30" s="547">
        <v>3</v>
      </c>
      <c r="K30" s="547">
        <v>3751</v>
      </c>
      <c r="L30" s="547"/>
      <c r="M30" s="547">
        <v>1250.3333333333333</v>
      </c>
      <c r="N30" s="547">
        <v>5</v>
      </c>
      <c r="O30" s="547">
        <v>6340</v>
      </c>
      <c r="P30" s="540"/>
      <c r="Q30" s="548">
        <v>1268</v>
      </c>
    </row>
    <row r="31" spans="1:17" ht="14.4" customHeight="1" x14ac:dyDescent="0.3">
      <c r="A31" s="534" t="s">
        <v>1188</v>
      </c>
      <c r="B31" s="535" t="s">
        <v>1138</v>
      </c>
      <c r="C31" s="535" t="s">
        <v>1079</v>
      </c>
      <c r="D31" s="535" t="s">
        <v>1151</v>
      </c>
      <c r="E31" s="535" t="s">
        <v>1152</v>
      </c>
      <c r="F31" s="547">
        <v>8</v>
      </c>
      <c r="G31" s="547">
        <v>17864</v>
      </c>
      <c r="H31" s="547">
        <v>1</v>
      </c>
      <c r="I31" s="547">
        <v>2233</v>
      </c>
      <c r="J31" s="547">
        <v>56</v>
      </c>
      <c r="K31" s="547">
        <v>125426</v>
      </c>
      <c r="L31" s="547">
        <v>7.0211598746081503</v>
      </c>
      <c r="M31" s="547">
        <v>2239.75</v>
      </c>
      <c r="N31" s="547">
        <v>108</v>
      </c>
      <c r="O31" s="547">
        <v>244512</v>
      </c>
      <c r="P31" s="540">
        <v>13.687416032243618</v>
      </c>
      <c r="Q31" s="548">
        <v>2264</v>
      </c>
    </row>
    <row r="32" spans="1:17" ht="14.4" customHeight="1" x14ac:dyDescent="0.3">
      <c r="A32" s="534" t="s">
        <v>1188</v>
      </c>
      <c r="B32" s="535" t="s">
        <v>1138</v>
      </c>
      <c r="C32" s="535" t="s">
        <v>1079</v>
      </c>
      <c r="D32" s="535" t="s">
        <v>1155</v>
      </c>
      <c r="E32" s="535" t="s">
        <v>1156</v>
      </c>
      <c r="F32" s="547">
        <v>6</v>
      </c>
      <c r="G32" s="547">
        <v>5238</v>
      </c>
      <c r="H32" s="547">
        <v>1</v>
      </c>
      <c r="I32" s="547">
        <v>873</v>
      </c>
      <c r="J32" s="547">
        <v>2</v>
      </c>
      <c r="K32" s="547">
        <v>1746</v>
      </c>
      <c r="L32" s="547">
        <v>0.33333333333333331</v>
      </c>
      <c r="M32" s="547">
        <v>873</v>
      </c>
      <c r="N32" s="547">
        <v>6</v>
      </c>
      <c r="O32" s="547">
        <v>5310</v>
      </c>
      <c r="P32" s="540">
        <v>1.0137457044673539</v>
      </c>
      <c r="Q32" s="548">
        <v>885</v>
      </c>
    </row>
    <row r="33" spans="1:17" ht="14.4" customHeight="1" x14ac:dyDescent="0.3">
      <c r="A33" s="534" t="s">
        <v>1188</v>
      </c>
      <c r="B33" s="535" t="s">
        <v>1138</v>
      </c>
      <c r="C33" s="535" t="s">
        <v>1079</v>
      </c>
      <c r="D33" s="535" t="s">
        <v>1161</v>
      </c>
      <c r="E33" s="535" t="s">
        <v>1162</v>
      </c>
      <c r="F33" s="547"/>
      <c r="G33" s="547"/>
      <c r="H33" s="547"/>
      <c r="I33" s="547"/>
      <c r="J33" s="547">
        <v>2</v>
      </c>
      <c r="K33" s="547">
        <v>17000</v>
      </c>
      <c r="L33" s="547"/>
      <c r="M33" s="547">
        <v>8500</v>
      </c>
      <c r="N33" s="547">
        <v>2</v>
      </c>
      <c r="O33" s="547">
        <v>17164</v>
      </c>
      <c r="P33" s="540"/>
      <c r="Q33" s="548">
        <v>8582</v>
      </c>
    </row>
    <row r="34" spans="1:17" ht="14.4" customHeight="1" x14ac:dyDescent="0.3">
      <c r="A34" s="534" t="s">
        <v>1188</v>
      </c>
      <c r="B34" s="535" t="s">
        <v>1138</v>
      </c>
      <c r="C34" s="535" t="s">
        <v>1079</v>
      </c>
      <c r="D34" s="535" t="s">
        <v>1163</v>
      </c>
      <c r="E34" s="535" t="s">
        <v>1164</v>
      </c>
      <c r="F34" s="547">
        <v>4</v>
      </c>
      <c r="G34" s="547">
        <v>41496</v>
      </c>
      <c r="H34" s="547">
        <v>1</v>
      </c>
      <c r="I34" s="547">
        <v>10374</v>
      </c>
      <c r="J34" s="547"/>
      <c r="K34" s="547"/>
      <c r="L34" s="547"/>
      <c r="M34" s="547"/>
      <c r="N34" s="547">
        <v>3</v>
      </c>
      <c r="O34" s="547">
        <v>31434</v>
      </c>
      <c r="P34" s="540">
        <v>0.75751879699248126</v>
      </c>
      <c r="Q34" s="548">
        <v>10478</v>
      </c>
    </row>
    <row r="35" spans="1:17" ht="14.4" customHeight="1" x14ac:dyDescent="0.3">
      <c r="A35" s="534" t="s">
        <v>1189</v>
      </c>
      <c r="B35" s="535" t="s">
        <v>1071</v>
      </c>
      <c r="C35" s="535" t="s">
        <v>1079</v>
      </c>
      <c r="D35" s="535" t="s">
        <v>1086</v>
      </c>
      <c r="E35" s="535" t="s">
        <v>1087</v>
      </c>
      <c r="F35" s="547">
        <v>2</v>
      </c>
      <c r="G35" s="547">
        <v>4626</v>
      </c>
      <c r="H35" s="547">
        <v>1</v>
      </c>
      <c r="I35" s="547">
        <v>2313</v>
      </c>
      <c r="J35" s="547">
        <v>9</v>
      </c>
      <c r="K35" s="547">
        <v>11629</v>
      </c>
      <c r="L35" s="547">
        <v>2.5138348465196714</v>
      </c>
      <c r="M35" s="547">
        <v>1292.1111111111111</v>
      </c>
      <c r="N35" s="547">
        <v>5</v>
      </c>
      <c r="O35" s="547">
        <v>11680</v>
      </c>
      <c r="P35" s="540">
        <v>2.5248594898400345</v>
      </c>
      <c r="Q35" s="548">
        <v>2336</v>
      </c>
    </row>
    <row r="36" spans="1:17" ht="14.4" customHeight="1" x14ac:dyDescent="0.3">
      <c r="A36" s="534" t="s">
        <v>1189</v>
      </c>
      <c r="B36" s="535" t="s">
        <v>1071</v>
      </c>
      <c r="C36" s="535" t="s">
        <v>1079</v>
      </c>
      <c r="D36" s="535" t="s">
        <v>1092</v>
      </c>
      <c r="E36" s="535" t="s">
        <v>1093</v>
      </c>
      <c r="F36" s="547">
        <v>2</v>
      </c>
      <c r="G36" s="547">
        <v>646</v>
      </c>
      <c r="H36" s="547">
        <v>1</v>
      </c>
      <c r="I36" s="547">
        <v>323</v>
      </c>
      <c r="J36" s="547">
        <v>4</v>
      </c>
      <c r="K36" s="547">
        <v>1301</v>
      </c>
      <c r="L36" s="547">
        <v>2.0139318885448918</v>
      </c>
      <c r="M36" s="547">
        <v>325.25</v>
      </c>
      <c r="N36" s="547">
        <v>15</v>
      </c>
      <c r="O36" s="547">
        <v>4905</v>
      </c>
      <c r="P36" s="540">
        <v>7.5928792569659445</v>
      </c>
      <c r="Q36" s="548">
        <v>327</v>
      </c>
    </row>
    <row r="37" spans="1:17" ht="14.4" customHeight="1" x14ac:dyDescent="0.3">
      <c r="A37" s="534" t="s">
        <v>1189</v>
      </c>
      <c r="B37" s="535" t="s">
        <v>1071</v>
      </c>
      <c r="C37" s="535" t="s">
        <v>1079</v>
      </c>
      <c r="D37" s="535" t="s">
        <v>1096</v>
      </c>
      <c r="E37" s="535" t="s">
        <v>1097</v>
      </c>
      <c r="F37" s="547">
        <v>7</v>
      </c>
      <c r="G37" s="547">
        <v>10052</v>
      </c>
      <c r="H37" s="547">
        <v>1</v>
      </c>
      <c r="I37" s="547">
        <v>1436</v>
      </c>
      <c r="J37" s="547">
        <v>13</v>
      </c>
      <c r="K37" s="547">
        <v>18756</v>
      </c>
      <c r="L37" s="547">
        <v>1.8658973338639078</v>
      </c>
      <c r="M37" s="547">
        <v>1442.7692307692307</v>
      </c>
      <c r="N37" s="547">
        <v>11</v>
      </c>
      <c r="O37" s="547">
        <v>15928</v>
      </c>
      <c r="P37" s="540">
        <v>1.5845602865101471</v>
      </c>
      <c r="Q37" s="548">
        <v>1448</v>
      </c>
    </row>
    <row r="38" spans="1:17" ht="14.4" customHeight="1" x14ac:dyDescent="0.3">
      <c r="A38" s="534" t="s">
        <v>1189</v>
      </c>
      <c r="B38" s="535" t="s">
        <v>1071</v>
      </c>
      <c r="C38" s="535" t="s">
        <v>1079</v>
      </c>
      <c r="D38" s="535" t="s">
        <v>1098</v>
      </c>
      <c r="E38" s="535" t="s">
        <v>1099</v>
      </c>
      <c r="F38" s="547">
        <v>5</v>
      </c>
      <c r="G38" s="547">
        <v>530</v>
      </c>
      <c r="H38" s="547">
        <v>1</v>
      </c>
      <c r="I38" s="547">
        <v>106</v>
      </c>
      <c r="J38" s="547"/>
      <c r="K38" s="547"/>
      <c r="L38" s="547"/>
      <c r="M38" s="547"/>
      <c r="N38" s="547"/>
      <c r="O38" s="547"/>
      <c r="P38" s="540"/>
      <c r="Q38" s="548"/>
    </row>
    <row r="39" spans="1:17" ht="14.4" customHeight="1" x14ac:dyDescent="0.3">
      <c r="A39" s="534" t="s">
        <v>1189</v>
      </c>
      <c r="B39" s="535" t="s">
        <v>1138</v>
      </c>
      <c r="C39" s="535" t="s">
        <v>1079</v>
      </c>
      <c r="D39" s="535" t="s">
        <v>1141</v>
      </c>
      <c r="E39" s="535" t="s">
        <v>1142</v>
      </c>
      <c r="F39" s="547">
        <v>2</v>
      </c>
      <c r="G39" s="547">
        <v>594</v>
      </c>
      <c r="H39" s="547">
        <v>1</v>
      </c>
      <c r="I39" s="547">
        <v>297</v>
      </c>
      <c r="J39" s="547">
        <v>5</v>
      </c>
      <c r="K39" s="547">
        <v>1497</v>
      </c>
      <c r="L39" s="547">
        <v>2.5202020202020203</v>
      </c>
      <c r="M39" s="547">
        <v>299.39999999999998</v>
      </c>
      <c r="N39" s="547">
        <v>8</v>
      </c>
      <c r="O39" s="547">
        <v>2424</v>
      </c>
      <c r="P39" s="540">
        <v>4.0808080808080804</v>
      </c>
      <c r="Q39" s="548">
        <v>303</v>
      </c>
    </row>
    <row r="40" spans="1:17" ht="14.4" customHeight="1" x14ac:dyDescent="0.3">
      <c r="A40" s="534" t="s">
        <v>1189</v>
      </c>
      <c r="B40" s="535" t="s">
        <v>1138</v>
      </c>
      <c r="C40" s="535" t="s">
        <v>1079</v>
      </c>
      <c r="D40" s="535" t="s">
        <v>1143</v>
      </c>
      <c r="E40" s="535" t="s">
        <v>1144</v>
      </c>
      <c r="F40" s="547">
        <v>3</v>
      </c>
      <c r="G40" s="547">
        <v>3735</v>
      </c>
      <c r="H40" s="547">
        <v>1</v>
      </c>
      <c r="I40" s="547">
        <v>1245</v>
      </c>
      <c r="J40" s="547">
        <v>8</v>
      </c>
      <c r="K40" s="547">
        <v>10072</v>
      </c>
      <c r="L40" s="547">
        <v>2.69665327978581</v>
      </c>
      <c r="M40" s="547">
        <v>1259</v>
      </c>
      <c r="N40" s="547">
        <v>11</v>
      </c>
      <c r="O40" s="547">
        <v>13948</v>
      </c>
      <c r="P40" s="540">
        <v>3.7344042838018741</v>
      </c>
      <c r="Q40" s="548">
        <v>1268</v>
      </c>
    </row>
    <row r="41" spans="1:17" ht="14.4" customHeight="1" x14ac:dyDescent="0.3">
      <c r="A41" s="534" t="s">
        <v>1189</v>
      </c>
      <c r="B41" s="535" t="s">
        <v>1138</v>
      </c>
      <c r="C41" s="535" t="s">
        <v>1079</v>
      </c>
      <c r="D41" s="535" t="s">
        <v>1151</v>
      </c>
      <c r="E41" s="535" t="s">
        <v>1152</v>
      </c>
      <c r="F41" s="547">
        <v>52</v>
      </c>
      <c r="G41" s="547">
        <v>116116</v>
      </c>
      <c r="H41" s="547">
        <v>1</v>
      </c>
      <c r="I41" s="547">
        <v>2233</v>
      </c>
      <c r="J41" s="547">
        <v>78</v>
      </c>
      <c r="K41" s="547">
        <v>161700</v>
      </c>
      <c r="L41" s="547">
        <v>1.3925729442970822</v>
      </c>
      <c r="M41" s="547">
        <v>2073.0769230769229</v>
      </c>
      <c r="N41" s="547">
        <v>102</v>
      </c>
      <c r="O41" s="547">
        <v>230928</v>
      </c>
      <c r="P41" s="540">
        <v>1.9887698508388163</v>
      </c>
      <c r="Q41" s="548">
        <v>2264</v>
      </c>
    </row>
    <row r="42" spans="1:17" ht="14.4" customHeight="1" x14ac:dyDescent="0.3">
      <c r="A42" s="534" t="s">
        <v>1189</v>
      </c>
      <c r="B42" s="535" t="s">
        <v>1138</v>
      </c>
      <c r="C42" s="535" t="s">
        <v>1079</v>
      </c>
      <c r="D42" s="535" t="s">
        <v>1157</v>
      </c>
      <c r="E42" s="535" t="s">
        <v>1158</v>
      </c>
      <c r="F42" s="547">
        <v>2</v>
      </c>
      <c r="G42" s="547">
        <v>13028</v>
      </c>
      <c r="H42" s="547">
        <v>1</v>
      </c>
      <c r="I42" s="547">
        <v>6514</v>
      </c>
      <c r="J42" s="547">
        <v>5</v>
      </c>
      <c r="K42" s="547">
        <v>32732</v>
      </c>
      <c r="L42" s="547">
        <v>2.512434755910347</v>
      </c>
      <c r="M42" s="547">
        <v>6546.4</v>
      </c>
      <c r="N42" s="547">
        <v>8</v>
      </c>
      <c r="O42" s="547">
        <v>52736</v>
      </c>
      <c r="P42" s="540">
        <v>4.0478968375805957</v>
      </c>
      <c r="Q42" s="548">
        <v>6592</v>
      </c>
    </row>
    <row r="43" spans="1:17" ht="14.4" customHeight="1" x14ac:dyDescent="0.3">
      <c r="A43" s="534" t="s">
        <v>1190</v>
      </c>
      <c r="B43" s="535" t="s">
        <v>1071</v>
      </c>
      <c r="C43" s="535" t="s">
        <v>1079</v>
      </c>
      <c r="D43" s="535" t="s">
        <v>1086</v>
      </c>
      <c r="E43" s="535" t="s">
        <v>1087</v>
      </c>
      <c r="F43" s="547">
        <v>3</v>
      </c>
      <c r="G43" s="547">
        <v>6939</v>
      </c>
      <c r="H43" s="547">
        <v>1</v>
      </c>
      <c r="I43" s="547">
        <v>2313</v>
      </c>
      <c r="J43" s="547">
        <v>3</v>
      </c>
      <c r="K43" s="547">
        <v>6955</v>
      </c>
      <c r="L43" s="547">
        <v>1.0023058077532785</v>
      </c>
      <c r="M43" s="547">
        <v>2318.3333333333335</v>
      </c>
      <c r="N43" s="547">
        <v>1</v>
      </c>
      <c r="O43" s="547">
        <v>2336</v>
      </c>
      <c r="P43" s="540">
        <v>0.33664793197867127</v>
      </c>
      <c r="Q43" s="548">
        <v>2336</v>
      </c>
    </row>
    <row r="44" spans="1:17" ht="14.4" customHeight="1" x14ac:dyDescent="0.3">
      <c r="A44" s="534" t="s">
        <v>1190</v>
      </c>
      <c r="B44" s="535" t="s">
        <v>1071</v>
      </c>
      <c r="C44" s="535" t="s">
        <v>1079</v>
      </c>
      <c r="D44" s="535" t="s">
        <v>1092</v>
      </c>
      <c r="E44" s="535" t="s">
        <v>1093</v>
      </c>
      <c r="F44" s="547">
        <v>4</v>
      </c>
      <c r="G44" s="547">
        <v>1292</v>
      </c>
      <c r="H44" s="547">
        <v>1</v>
      </c>
      <c r="I44" s="547">
        <v>323</v>
      </c>
      <c r="J44" s="547">
        <v>6</v>
      </c>
      <c r="K44" s="547">
        <v>1953</v>
      </c>
      <c r="L44" s="547">
        <v>1.5116099071207429</v>
      </c>
      <c r="M44" s="547">
        <v>325.5</v>
      </c>
      <c r="N44" s="547">
        <v>1</v>
      </c>
      <c r="O44" s="547">
        <v>327</v>
      </c>
      <c r="P44" s="540">
        <v>0.25309597523219812</v>
      </c>
      <c r="Q44" s="548">
        <v>327</v>
      </c>
    </row>
    <row r="45" spans="1:17" ht="14.4" customHeight="1" x14ac:dyDescent="0.3">
      <c r="A45" s="534" t="s">
        <v>1190</v>
      </c>
      <c r="B45" s="535" t="s">
        <v>1071</v>
      </c>
      <c r="C45" s="535" t="s">
        <v>1079</v>
      </c>
      <c r="D45" s="535" t="s">
        <v>1094</v>
      </c>
      <c r="E45" s="535" t="s">
        <v>1095</v>
      </c>
      <c r="F45" s="547">
        <v>1</v>
      </c>
      <c r="G45" s="547">
        <v>0</v>
      </c>
      <c r="H45" s="547"/>
      <c r="I45" s="547">
        <v>0</v>
      </c>
      <c r="J45" s="547">
        <v>1</v>
      </c>
      <c r="K45" s="547">
        <v>0</v>
      </c>
      <c r="L45" s="547"/>
      <c r="M45" s="547">
        <v>0</v>
      </c>
      <c r="N45" s="547"/>
      <c r="O45" s="547"/>
      <c r="P45" s="540"/>
      <c r="Q45" s="548"/>
    </row>
    <row r="46" spans="1:17" ht="14.4" customHeight="1" x14ac:dyDescent="0.3">
      <c r="A46" s="534" t="s">
        <v>1190</v>
      </c>
      <c r="B46" s="535" t="s">
        <v>1071</v>
      </c>
      <c r="C46" s="535" t="s">
        <v>1079</v>
      </c>
      <c r="D46" s="535" t="s">
        <v>1096</v>
      </c>
      <c r="E46" s="535" t="s">
        <v>1097</v>
      </c>
      <c r="F46" s="547">
        <v>11</v>
      </c>
      <c r="G46" s="547">
        <v>15796</v>
      </c>
      <c r="H46" s="547">
        <v>1</v>
      </c>
      <c r="I46" s="547">
        <v>1436</v>
      </c>
      <c r="J46" s="547">
        <v>19</v>
      </c>
      <c r="K46" s="547">
        <v>27372</v>
      </c>
      <c r="L46" s="547">
        <v>1.7328437579133957</v>
      </c>
      <c r="M46" s="547">
        <v>1440.6315789473683</v>
      </c>
      <c r="N46" s="547">
        <v>7</v>
      </c>
      <c r="O46" s="547">
        <v>10136</v>
      </c>
      <c r="P46" s="540">
        <v>0.64168143833881996</v>
      </c>
      <c r="Q46" s="548">
        <v>1448</v>
      </c>
    </row>
    <row r="47" spans="1:17" ht="14.4" customHeight="1" x14ac:dyDescent="0.3">
      <c r="A47" s="534" t="s">
        <v>1190</v>
      </c>
      <c r="B47" s="535" t="s">
        <v>1071</v>
      </c>
      <c r="C47" s="535" t="s">
        <v>1079</v>
      </c>
      <c r="D47" s="535" t="s">
        <v>1098</v>
      </c>
      <c r="E47" s="535" t="s">
        <v>1099</v>
      </c>
      <c r="F47" s="547">
        <v>9</v>
      </c>
      <c r="G47" s="547">
        <v>530</v>
      </c>
      <c r="H47" s="547">
        <v>1</v>
      </c>
      <c r="I47" s="547">
        <v>58.888888888888886</v>
      </c>
      <c r="J47" s="547"/>
      <c r="K47" s="547"/>
      <c r="L47" s="547"/>
      <c r="M47" s="547"/>
      <c r="N47" s="547"/>
      <c r="O47" s="547"/>
      <c r="P47" s="540"/>
      <c r="Q47" s="548"/>
    </row>
    <row r="48" spans="1:17" ht="14.4" customHeight="1" x14ac:dyDescent="0.3">
      <c r="A48" s="534" t="s">
        <v>1190</v>
      </c>
      <c r="B48" s="535" t="s">
        <v>1115</v>
      </c>
      <c r="C48" s="535" t="s">
        <v>1079</v>
      </c>
      <c r="D48" s="535" t="s">
        <v>1116</v>
      </c>
      <c r="E48" s="535" t="s">
        <v>1117</v>
      </c>
      <c r="F48" s="547">
        <v>1</v>
      </c>
      <c r="G48" s="547">
        <v>438</v>
      </c>
      <c r="H48" s="547">
        <v>1</v>
      </c>
      <c r="I48" s="547">
        <v>438</v>
      </c>
      <c r="J48" s="547"/>
      <c r="K48" s="547"/>
      <c r="L48" s="547"/>
      <c r="M48" s="547"/>
      <c r="N48" s="547"/>
      <c r="O48" s="547"/>
      <c r="P48" s="540"/>
      <c r="Q48" s="548"/>
    </row>
    <row r="49" spans="1:17" ht="14.4" customHeight="1" x14ac:dyDescent="0.3">
      <c r="A49" s="534" t="s">
        <v>1190</v>
      </c>
      <c r="B49" s="535" t="s">
        <v>1115</v>
      </c>
      <c r="C49" s="535" t="s">
        <v>1079</v>
      </c>
      <c r="D49" s="535" t="s">
        <v>1126</v>
      </c>
      <c r="E49" s="535" t="s">
        <v>1127</v>
      </c>
      <c r="F49" s="547">
        <v>2</v>
      </c>
      <c r="G49" s="547">
        <v>1284</v>
      </c>
      <c r="H49" s="547">
        <v>1</v>
      </c>
      <c r="I49" s="547">
        <v>642</v>
      </c>
      <c r="J49" s="547"/>
      <c r="K49" s="547"/>
      <c r="L49" s="547"/>
      <c r="M49" s="547"/>
      <c r="N49" s="547"/>
      <c r="O49" s="547"/>
      <c r="P49" s="540"/>
      <c r="Q49" s="548"/>
    </row>
    <row r="50" spans="1:17" ht="14.4" customHeight="1" x14ac:dyDescent="0.3">
      <c r="A50" s="534" t="s">
        <v>1190</v>
      </c>
      <c r="B50" s="535" t="s">
        <v>1138</v>
      </c>
      <c r="C50" s="535" t="s">
        <v>1079</v>
      </c>
      <c r="D50" s="535" t="s">
        <v>1141</v>
      </c>
      <c r="E50" s="535" t="s">
        <v>1142</v>
      </c>
      <c r="F50" s="547">
        <v>2</v>
      </c>
      <c r="G50" s="547">
        <v>594</v>
      </c>
      <c r="H50" s="547">
        <v>1</v>
      </c>
      <c r="I50" s="547">
        <v>297</v>
      </c>
      <c r="J50" s="547">
        <v>5</v>
      </c>
      <c r="K50" s="547">
        <v>1501</v>
      </c>
      <c r="L50" s="547">
        <v>2.5269360269360268</v>
      </c>
      <c r="M50" s="547">
        <v>300.2</v>
      </c>
      <c r="N50" s="547"/>
      <c r="O50" s="547"/>
      <c r="P50" s="540"/>
      <c r="Q50" s="548"/>
    </row>
    <row r="51" spans="1:17" ht="14.4" customHeight="1" x14ac:dyDescent="0.3">
      <c r="A51" s="534" t="s">
        <v>1190</v>
      </c>
      <c r="B51" s="535" t="s">
        <v>1138</v>
      </c>
      <c r="C51" s="535" t="s">
        <v>1079</v>
      </c>
      <c r="D51" s="535" t="s">
        <v>1191</v>
      </c>
      <c r="E51" s="535" t="s">
        <v>1192</v>
      </c>
      <c r="F51" s="547"/>
      <c r="G51" s="547"/>
      <c r="H51" s="547"/>
      <c r="I51" s="547"/>
      <c r="J51" s="547">
        <v>1</v>
      </c>
      <c r="K51" s="547">
        <v>6276</v>
      </c>
      <c r="L51" s="547"/>
      <c r="M51" s="547">
        <v>6276</v>
      </c>
      <c r="N51" s="547"/>
      <c r="O51" s="547"/>
      <c r="P51" s="540"/>
      <c r="Q51" s="548"/>
    </row>
    <row r="52" spans="1:17" ht="14.4" customHeight="1" x14ac:dyDescent="0.3">
      <c r="A52" s="534" t="s">
        <v>1190</v>
      </c>
      <c r="B52" s="535" t="s">
        <v>1138</v>
      </c>
      <c r="C52" s="535" t="s">
        <v>1079</v>
      </c>
      <c r="D52" s="535" t="s">
        <v>1143</v>
      </c>
      <c r="E52" s="535" t="s">
        <v>1144</v>
      </c>
      <c r="F52" s="547">
        <v>15</v>
      </c>
      <c r="G52" s="547">
        <v>18675</v>
      </c>
      <c r="H52" s="547">
        <v>1</v>
      </c>
      <c r="I52" s="547">
        <v>1245</v>
      </c>
      <c r="J52" s="547">
        <v>20</v>
      </c>
      <c r="K52" s="547">
        <v>25108</v>
      </c>
      <c r="L52" s="547">
        <v>1.344471218206158</v>
      </c>
      <c r="M52" s="547">
        <v>1255.4000000000001</v>
      </c>
      <c r="N52" s="547">
        <v>7</v>
      </c>
      <c r="O52" s="547">
        <v>8876</v>
      </c>
      <c r="P52" s="540">
        <v>0.47528781793842034</v>
      </c>
      <c r="Q52" s="548">
        <v>1268</v>
      </c>
    </row>
    <row r="53" spans="1:17" ht="14.4" customHeight="1" x14ac:dyDescent="0.3">
      <c r="A53" s="534" t="s">
        <v>1190</v>
      </c>
      <c r="B53" s="535" t="s">
        <v>1138</v>
      </c>
      <c r="C53" s="535" t="s">
        <v>1079</v>
      </c>
      <c r="D53" s="535" t="s">
        <v>1145</v>
      </c>
      <c r="E53" s="535" t="s">
        <v>1146</v>
      </c>
      <c r="F53" s="547"/>
      <c r="G53" s="547"/>
      <c r="H53" s="547"/>
      <c r="I53" s="547"/>
      <c r="J53" s="547">
        <v>3</v>
      </c>
      <c r="K53" s="547">
        <v>28161</v>
      </c>
      <c r="L53" s="547"/>
      <c r="M53" s="547">
        <v>9387</v>
      </c>
      <c r="N53" s="547"/>
      <c r="O53" s="547"/>
      <c r="P53" s="540"/>
      <c r="Q53" s="548"/>
    </row>
    <row r="54" spans="1:17" ht="14.4" customHeight="1" x14ac:dyDescent="0.3">
      <c r="A54" s="534" t="s">
        <v>1190</v>
      </c>
      <c r="B54" s="535" t="s">
        <v>1138</v>
      </c>
      <c r="C54" s="535" t="s">
        <v>1079</v>
      </c>
      <c r="D54" s="535" t="s">
        <v>1151</v>
      </c>
      <c r="E54" s="535" t="s">
        <v>1152</v>
      </c>
      <c r="F54" s="547">
        <v>46</v>
      </c>
      <c r="G54" s="547">
        <v>102718</v>
      </c>
      <c r="H54" s="547">
        <v>1</v>
      </c>
      <c r="I54" s="547">
        <v>2233</v>
      </c>
      <c r="J54" s="547">
        <v>45</v>
      </c>
      <c r="K54" s="547">
        <v>101367</v>
      </c>
      <c r="L54" s="547">
        <v>0.98684748534823497</v>
      </c>
      <c r="M54" s="547">
        <v>2252.6</v>
      </c>
      <c r="N54" s="547">
        <v>12</v>
      </c>
      <c r="O54" s="547">
        <v>27168</v>
      </c>
      <c r="P54" s="540">
        <v>0.26449113105784772</v>
      </c>
      <c r="Q54" s="548">
        <v>2264</v>
      </c>
    </row>
    <row r="55" spans="1:17" ht="14.4" customHeight="1" x14ac:dyDescent="0.3">
      <c r="A55" s="534" t="s">
        <v>1190</v>
      </c>
      <c r="B55" s="535" t="s">
        <v>1138</v>
      </c>
      <c r="C55" s="535" t="s">
        <v>1079</v>
      </c>
      <c r="D55" s="535" t="s">
        <v>1157</v>
      </c>
      <c r="E55" s="535" t="s">
        <v>1158</v>
      </c>
      <c r="F55" s="547">
        <v>2</v>
      </c>
      <c r="G55" s="547">
        <v>13028</v>
      </c>
      <c r="H55" s="547">
        <v>1</v>
      </c>
      <c r="I55" s="547">
        <v>6514</v>
      </c>
      <c r="J55" s="547">
        <v>5</v>
      </c>
      <c r="K55" s="547">
        <v>32786</v>
      </c>
      <c r="L55" s="547">
        <v>2.5165796745471294</v>
      </c>
      <c r="M55" s="547">
        <v>6557.2</v>
      </c>
      <c r="N55" s="547"/>
      <c r="O55" s="547"/>
      <c r="P55" s="540"/>
      <c r="Q55" s="548"/>
    </row>
    <row r="56" spans="1:17" ht="14.4" customHeight="1" x14ac:dyDescent="0.3">
      <c r="A56" s="534" t="s">
        <v>1190</v>
      </c>
      <c r="B56" s="535" t="s">
        <v>1138</v>
      </c>
      <c r="C56" s="535" t="s">
        <v>1079</v>
      </c>
      <c r="D56" s="535" t="s">
        <v>1165</v>
      </c>
      <c r="E56" s="535" t="s">
        <v>1166</v>
      </c>
      <c r="F56" s="547"/>
      <c r="G56" s="547"/>
      <c r="H56" s="547"/>
      <c r="I56" s="547"/>
      <c r="J56" s="547">
        <v>1</v>
      </c>
      <c r="K56" s="547">
        <v>1020</v>
      </c>
      <c r="L56" s="547"/>
      <c r="M56" s="547">
        <v>1020</v>
      </c>
      <c r="N56" s="547"/>
      <c r="O56" s="547"/>
      <c r="P56" s="540"/>
      <c r="Q56" s="548"/>
    </row>
    <row r="57" spans="1:17" ht="14.4" customHeight="1" x14ac:dyDescent="0.3">
      <c r="A57" s="534" t="s">
        <v>1193</v>
      </c>
      <c r="B57" s="535" t="s">
        <v>1071</v>
      </c>
      <c r="C57" s="535" t="s">
        <v>1079</v>
      </c>
      <c r="D57" s="535" t="s">
        <v>1086</v>
      </c>
      <c r="E57" s="535" t="s">
        <v>1087</v>
      </c>
      <c r="F57" s="547">
        <v>3</v>
      </c>
      <c r="G57" s="547">
        <v>6939</v>
      </c>
      <c r="H57" s="547">
        <v>1</v>
      </c>
      <c r="I57" s="547">
        <v>2313</v>
      </c>
      <c r="J57" s="547">
        <v>2</v>
      </c>
      <c r="K57" s="547">
        <v>4658</v>
      </c>
      <c r="L57" s="547">
        <v>0.67127828217322383</v>
      </c>
      <c r="M57" s="547">
        <v>2329</v>
      </c>
      <c r="N57" s="547"/>
      <c r="O57" s="547"/>
      <c r="P57" s="540"/>
      <c r="Q57" s="548"/>
    </row>
    <row r="58" spans="1:17" ht="14.4" customHeight="1" x14ac:dyDescent="0.3">
      <c r="A58" s="534" t="s">
        <v>1193</v>
      </c>
      <c r="B58" s="535" t="s">
        <v>1071</v>
      </c>
      <c r="C58" s="535" t="s">
        <v>1079</v>
      </c>
      <c r="D58" s="535" t="s">
        <v>1092</v>
      </c>
      <c r="E58" s="535" t="s">
        <v>1093</v>
      </c>
      <c r="F58" s="547">
        <v>2</v>
      </c>
      <c r="G58" s="547">
        <v>646</v>
      </c>
      <c r="H58" s="547">
        <v>1</v>
      </c>
      <c r="I58" s="547">
        <v>323</v>
      </c>
      <c r="J58" s="547">
        <v>2</v>
      </c>
      <c r="K58" s="547">
        <v>652</v>
      </c>
      <c r="L58" s="547">
        <v>1.0092879256965945</v>
      </c>
      <c r="M58" s="547">
        <v>326</v>
      </c>
      <c r="N58" s="547">
        <v>2</v>
      </c>
      <c r="O58" s="547">
        <v>654</v>
      </c>
      <c r="P58" s="540">
        <v>1.0123839009287925</v>
      </c>
      <c r="Q58" s="548">
        <v>327</v>
      </c>
    </row>
    <row r="59" spans="1:17" ht="14.4" customHeight="1" x14ac:dyDescent="0.3">
      <c r="A59" s="534" t="s">
        <v>1193</v>
      </c>
      <c r="B59" s="535" t="s">
        <v>1071</v>
      </c>
      <c r="C59" s="535" t="s">
        <v>1079</v>
      </c>
      <c r="D59" s="535" t="s">
        <v>1094</v>
      </c>
      <c r="E59" s="535" t="s">
        <v>1095</v>
      </c>
      <c r="F59" s="547">
        <v>16</v>
      </c>
      <c r="G59" s="547">
        <v>0</v>
      </c>
      <c r="H59" s="547"/>
      <c r="I59" s="547">
        <v>0</v>
      </c>
      <c r="J59" s="547">
        <v>5</v>
      </c>
      <c r="K59" s="547">
        <v>0</v>
      </c>
      <c r="L59" s="547"/>
      <c r="M59" s="547">
        <v>0</v>
      </c>
      <c r="N59" s="547"/>
      <c r="O59" s="547"/>
      <c r="P59" s="540"/>
      <c r="Q59" s="548"/>
    </row>
    <row r="60" spans="1:17" ht="14.4" customHeight="1" x14ac:dyDescent="0.3">
      <c r="A60" s="534" t="s">
        <v>1193</v>
      </c>
      <c r="B60" s="535" t="s">
        <v>1071</v>
      </c>
      <c r="C60" s="535" t="s">
        <v>1079</v>
      </c>
      <c r="D60" s="535" t="s">
        <v>1096</v>
      </c>
      <c r="E60" s="535" t="s">
        <v>1097</v>
      </c>
      <c r="F60" s="547">
        <v>29</v>
      </c>
      <c r="G60" s="547">
        <v>41644</v>
      </c>
      <c r="H60" s="547">
        <v>1</v>
      </c>
      <c r="I60" s="547">
        <v>1436</v>
      </c>
      <c r="J60" s="547">
        <v>24</v>
      </c>
      <c r="K60" s="547">
        <v>34584</v>
      </c>
      <c r="L60" s="547">
        <v>0.8304677744693113</v>
      </c>
      <c r="M60" s="547">
        <v>1441</v>
      </c>
      <c r="N60" s="547">
        <v>12</v>
      </c>
      <c r="O60" s="547">
        <v>17376</v>
      </c>
      <c r="P60" s="540">
        <v>0.41725098453558734</v>
      </c>
      <c r="Q60" s="548">
        <v>1448</v>
      </c>
    </row>
    <row r="61" spans="1:17" ht="14.4" customHeight="1" x14ac:dyDescent="0.3">
      <c r="A61" s="534" t="s">
        <v>1193</v>
      </c>
      <c r="B61" s="535" t="s">
        <v>1071</v>
      </c>
      <c r="C61" s="535" t="s">
        <v>1079</v>
      </c>
      <c r="D61" s="535" t="s">
        <v>1098</v>
      </c>
      <c r="E61" s="535" t="s">
        <v>1099</v>
      </c>
      <c r="F61" s="547">
        <v>0</v>
      </c>
      <c r="G61" s="547">
        <v>0</v>
      </c>
      <c r="H61" s="547"/>
      <c r="I61" s="547"/>
      <c r="J61" s="547"/>
      <c r="K61" s="547"/>
      <c r="L61" s="547"/>
      <c r="M61" s="547"/>
      <c r="N61" s="547"/>
      <c r="O61" s="547"/>
      <c r="P61" s="540"/>
      <c r="Q61" s="548"/>
    </row>
    <row r="62" spans="1:17" ht="14.4" customHeight="1" x14ac:dyDescent="0.3">
      <c r="A62" s="534" t="s">
        <v>1193</v>
      </c>
      <c r="B62" s="535" t="s">
        <v>1138</v>
      </c>
      <c r="C62" s="535" t="s">
        <v>1079</v>
      </c>
      <c r="D62" s="535" t="s">
        <v>1141</v>
      </c>
      <c r="E62" s="535" t="s">
        <v>1142</v>
      </c>
      <c r="F62" s="547"/>
      <c r="G62" s="547"/>
      <c r="H62" s="547"/>
      <c r="I62" s="547"/>
      <c r="J62" s="547">
        <v>1</v>
      </c>
      <c r="K62" s="547">
        <v>301</v>
      </c>
      <c r="L62" s="547"/>
      <c r="M62" s="547">
        <v>301</v>
      </c>
      <c r="N62" s="547"/>
      <c r="O62" s="547"/>
      <c r="P62" s="540"/>
      <c r="Q62" s="548"/>
    </row>
    <row r="63" spans="1:17" ht="14.4" customHeight="1" x14ac:dyDescent="0.3">
      <c r="A63" s="534" t="s">
        <v>1193</v>
      </c>
      <c r="B63" s="535" t="s">
        <v>1138</v>
      </c>
      <c r="C63" s="535" t="s">
        <v>1079</v>
      </c>
      <c r="D63" s="535" t="s">
        <v>1143</v>
      </c>
      <c r="E63" s="535" t="s">
        <v>1144</v>
      </c>
      <c r="F63" s="547">
        <v>27</v>
      </c>
      <c r="G63" s="547">
        <v>33615</v>
      </c>
      <c r="H63" s="547">
        <v>1</v>
      </c>
      <c r="I63" s="547">
        <v>1245</v>
      </c>
      <c r="J63" s="547">
        <v>24</v>
      </c>
      <c r="K63" s="547">
        <v>30104</v>
      </c>
      <c r="L63" s="547">
        <v>0.89555258069314292</v>
      </c>
      <c r="M63" s="547">
        <v>1254.3333333333333</v>
      </c>
      <c r="N63" s="547">
        <v>13</v>
      </c>
      <c r="O63" s="547">
        <v>16484</v>
      </c>
      <c r="P63" s="540">
        <v>0.49037632009519561</v>
      </c>
      <c r="Q63" s="548">
        <v>1268</v>
      </c>
    </row>
    <row r="64" spans="1:17" ht="14.4" customHeight="1" x14ac:dyDescent="0.3">
      <c r="A64" s="534" t="s">
        <v>1193</v>
      </c>
      <c r="B64" s="535" t="s">
        <v>1138</v>
      </c>
      <c r="C64" s="535" t="s">
        <v>1079</v>
      </c>
      <c r="D64" s="535" t="s">
        <v>1151</v>
      </c>
      <c r="E64" s="535" t="s">
        <v>1152</v>
      </c>
      <c r="F64" s="547">
        <v>14</v>
      </c>
      <c r="G64" s="547">
        <v>31262</v>
      </c>
      <c r="H64" s="547">
        <v>1</v>
      </c>
      <c r="I64" s="547">
        <v>2233</v>
      </c>
      <c r="J64" s="547">
        <v>12</v>
      </c>
      <c r="K64" s="547">
        <v>27048</v>
      </c>
      <c r="L64" s="547">
        <v>0.86520376175548586</v>
      </c>
      <c r="M64" s="547">
        <v>2254</v>
      </c>
      <c r="N64" s="547">
        <v>8</v>
      </c>
      <c r="O64" s="547">
        <v>18112</v>
      </c>
      <c r="P64" s="540">
        <v>0.57936152517433304</v>
      </c>
      <c r="Q64" s="548">
        <v>2264</v>
      </c>
    </row>
    <row r="65" spans="1:17" ht="14.4" customHeight="1" x14ac:dyDescent="0.3">
      <c r="A65" s="534" t="s">
        <v>1193</v>
      </c>
      <c r="B65" s="535" t="s">
        <v>1138</v>
      </c>
      <c r="C65" s="535" t="s">
        <v>1079</v>
      </c>
      <c r="D65" s="535" t="s">
        <v>1157</v>
      </c>
      <c r="E65" s="535" t="s">
        <v>1158</v>
      </c>
      <c r="F65" s="547"/>
      <c r="G65" s="547"/>
      <c r="H65" s="547"/>
      <c r="I65" s="547"/>
      <c r="J65" s="547">
        <v>1</v>
      </c>
      <c r="K65" s="547">
        <v>6568</v>
      </c>
      <c r="L65" s="547"/>
      <c r="M65" s="547">
        <v>6568</v>
      </c>
      <c r="N65" s="547"/>
      <c r="O65" s="547"/>
      <c r="P65" s="540"/>
      <c r="Q65" s="548"/>
    </row>
    <row r="66" spans="1:17" ht="14.4" customHeight="1" x14ac:dyDescent="0.3">
      <c r="A66" s="534" t="s">
        <v>1194</v>
      </c>
      <c r="B66" s="535" t="s">
        <v>1071</v>
      </c>
      <c r="C66" s="535" t="s">
        <v>1079</v>
      </c>
      <c r="D66" s="535" t="s">
        <v>1088</v>
      </c>
      <c r="E66" s="535" t="s">
        <v>1089</v>
      </c>
      <c r="F66" s="547"/>
      <c r="G66" s="547"/>
      <c r="H66" s="547"/>
      <c r="I66" s="547"/>
      <c r="J66" s="547">
        <v>1</v>
      </c>
      <c r="K66" s="547">
        <v>322</v>
      </c>
      <c r="L66" s="547"/>
      <c r="M66" s="547">
        <v>322</v>
      </c>
      <c r="N66" s="547"/>
      <c r="O66" s="547"/>
      <c r="P66" s="540"/>
      <c r="Q66" s="548"/>
    </row>
    <row r="67" spans="1:17" ht="14.4" customHeight="1" x14ac:dyDescent="0.3">
      <c r="A67" s="534" t="s">
        <v>1194</v>
      </c>
      <c r="B67" s="535" t="s">
        <v>1071</v>
      </c>
      <c r="C67" s="535" t="s">
        <v>1079</v>
      </c>
      <c r="D67" s="535" t="s">
        <v>1096</v>
      </c>
      <c r="E67" s="535" t="s">
        <v>1097</v>
      </c>
      <c r="F67" s="547"/>
      <c r="G67" s="547"/>
      <c r="H67" s="547"/>
      <c r="I67" s="547"/>
      <c r="J67" s="547">
        <v>1</v>
      </c>
      <c r="K67" s="547">
        <v>1444</v>
      </c>
      <c r="L67" s="547"/>
      <c r="M67" s="547">
        <v>1444</v>
      </c>
      <c r="N67" s="547"/>
      <c r="O67" s="547"/>
      <c r="P67" s="540"/>
      <c r="Q67" s="548"/>
    </row>
    <row r="68" spans="1:17" ht="14.4" customHeight="1" x14ac:dyDescent="0.3">
      <c r="A68" s="534" t="s">
        <v>1195</v>
      </c>
      <c r="B68" s="535" t="s">
        <v>1071</v>
      </c>
      <c r="C68" s="535" t="s">
        <v>1079</v>
      </c>
      <c r="D68" s="535" t="s">
        <v>1094</v>
      </c>
      <c r="E68" s="535" t="s">
        <v>1095</v>
      </c>
      <c r="F68" s="547">
        <v>1</v>
      </c>
      <c r="G68" s="547">
        <v>0</v>
      </c>
      <c r="H68" s="547"/>
      <c r="I68" s="547">
        <v>0</v>
      </c>
      <c r="J68" s="547"/>
      <c r="K68" s="547"/>
      <c r="L68" s="547"/>
      <c r="M68" s="547"/>
      <c r="N68" s="547"/>
      <c r="O68" s="547"/>
      <c r="P68" s="540"/>
      <c r="Q68" s="548"/>
    </row>
    <row r="69" spans="1:17" ht="14.4" customHeight="1" x14ac:dyDescent="0.3">
      <c r="A69" s="534" t="s">
        <v>1195</v>
      </c>
      <c r="B69" s="535" t="s">
        <v>1071</v>
      </c>
      <c r="C69" s="535" t="s">
        <v>1079</v>
      </c>
      <c r="D69" s="535" t="s">
        <v>1096</v>
      </c>
      <c r="E69" s="535" t="s">
        <v>1097</v>
      </c>
      <c r="F69" s="547">
        <v>1</v>
      </c>
      <c r="G69" s="547">
        <v>1436</v>
      </c>
      <c r="H69" s="547">
        <v>1</v>
      </c>
      <c r="I69" s="547">
        <v>1436</v>
      </c>
      <c r="J69" s="547">
        <v>1</v>
      </c>
      <c r="K69" s="547">
        <v>1436</v>
      </c>
      <c r="L69" s="547">
        <v>1</v>
      </c>
      <c r="M69" s="547">
        <v>1436</v>
      </c>
      <c r="N69" s="547">
        <v>2</v>
      </c>
      <c r="O69" s="547">
        <v>2896</v>
      </c>
      <c r="P69" s="540">
        <v>2.0167130919220058</v>
      </c>
      <c r="Q69" s="548">
        <v>1448</v>
      </c>
    </row>
    <row r="70" spans="1:17" ht="14.4" customHeight="1" thickBot="1" x14ac:dyDescent="0.35">
      <c r="A70" s="526" t="s">
        <v>1195</v>
      </c>
      <c r="B70" s="527" t="s">
        <v>1138</v>
      </c>
      <c r="C70" s="527" t="s">
        <v>1079</v>
      </c>
      <c r="D70" s="527" t="s">
        <v>1143</v>
      </c>
      <c r="E70" s="527" t="s">
        <v>1144</v>
      </c>
      <c r="F70" s="549"/>
      <c r="G70" s="549"/>
      <c r="H70" s="549"/>
      <c r="I70" s="549"/>
      <c r="J70" s="549"/>
      <c r="K70" s="549"/>
      <c r="L70" s="549"/>
      <c r="M70" s="549"/>
      <c r="N70" s="549">
        <v>2</v>
      </c>
      <c r="O70" s="549">
        <v>2536</v>
      </c>
      <c r="P70" s="532"/>
      <c r="Q70" s="550">
        <v>1268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136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4" t="s">
        <v>277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2013</v>
      </c>
      <c r="C3" s="40">
        <v>2014</v>
      </c>
      <c r="D3" s="7"/>
      <c r="E3" s="331">
        <v>2015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73.722539999999015</v>
      </c>
      <c r="C5" s="29">
        <v>52.639580000000002</v>
      </c>
      <c r="D5" s="8"/>
      <c r="E5" s="117">
        <v>19.488990000000001</v>
      </c>
      <c r="F5" s="28">
        <v>45.736399605008998</v>
      </c>
      <c r="G5" s="116">
        <f>E5-F5</f>
        <v>-26.247409605008997</v>
      </c>
      <c r="H5" s="122">
        <f>IF(F5&lt;0.00000001,"",E5/F5)</f>
        <v>0.42611552654585405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1540.0412799999988</v>
      </c>
      <c r="C6" s="31">
        <v>2026.8075400000009</v>
      </c>
      <c r="D6" s="8"/>
      <c r="E6" s="118">
        <v>2468.7250100000001</v>
      </c>
      <c r="F6" s="30">
        <v>3585.8111637092552</v>
      </c>
      <c r="G6" s="119">
        <f>E6-F6</f>
        <v>-1117.0861537092551</v>
      </c>
      <c r="H6" s="123">
        <f>IF(F6&lt;0.00000001,"",E6/F6)</f>
        <v>0.68847044567909921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11134.979489999998</v>
      </c>
      <c r="C7" s="31">
        <v>10726.577220000006</v>
      </c>
      <c r="D7" s="8"/>
      <c r="E7" s="118">
        <v>10329.891050000002</v>
      </c>
      <c r="F7" s="30">
        <v>11174.999648014582</v>
      </c>
      <c r="G7" s="119">
        <f>E7-F7</f>
        <v>-845.10859801457991</v>
      </c>
      <c r="H7" s="123">
        <f>IF(F7&lt;0.00000001,"",E7/F7)</f>
        <v>0.92437506714689455</v>
      </c>
    </row>
    <row r="8" spans="1:8" ht="14.4" customHeight="1" thickBot="1" x14ac:dyDescent="0.35">
      <c r="A8" s="1" t="s">
        <v>76</v>
      </c>
      <c r="B8" s="11">
        <v>3625.6321700000035</v>
      </c>
      <c r="C8" s="33">
        <v>4081.9408500000027</v>
      </c>
      <c r="D8" s="8"/>
      <c r="E8" s="120">
        <v>2803.8585400000029</v>
      </c>
      <c r="F8" s="32">
        <v>3341.927382918514</v>
      </c>
      <c r="G8" s="121">
        <f>E8-F8</f>
        <v>-538.06884291851111</v>
      </c>
      <c r="H8" s="124">
        <f>IF(F8&lt;0.00000001,"",E8/F8)</f>
        <v>0.83899445401814376</v>
      </c>
    </row>
    <row r="9" spans="1:8" ht="14.4" customHeight="1" thickBot="1" x14ac:dyDescent="0.35">
      <c r="A9" s="2" t="s">
        <v>77</v>
      </c>
      <c r="B9" s="3">
        <v>16374.375479999999</v>
      </c>
      <c r="C9" s="35">
        <v>16887.96519000001</v>
      </c>
      <c r="D9" s="8"/>
      <c r="E9" s="3">
        <v>15621.963590000005</v>
      </c>
      <c r="F9" s="34">
        <v>18148.47459424736</v>
      </c>
      <c r="G9" s="34">
        <f>E9-F9</f>
        <v>-2526.5110042473552</v>
      </c>
      <c r="H9" s="125">
        <f>IF(F9&lt;0.00000001,"",E9/F9)</f>
        <v>0.86078659167045368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41767.896000000001</v>
      </c>
      <c r="C11" s="29">
        <f>IF(ISERROR(VLOOKUP("Celkem:",'ZV Vykáz.-A'!A:F,4,0)),0,VLOOKUP("Celkem:",'ZV Vykáz.-A'!A:F,4,0)/1000)</f>
        <v>46878.633999999998</v>
      </c>
      <c r="D11" s="8"/>
      <c r="E11" s="117">
        <f>IF(ISERROR(VLOOKUP("Celkem:",'ZV Vykáz.-A'!A:F,6,0)),0,VLOOKUP("Celkem:",'ZV Vykáz.-A'!A:F,6,0)/1000)</f>
        <v>51729.620510000008</v>
      </c>
      <c r="F11" s="28">
        <f>B11</f>
        <v>41767.896000000001</v>
      </c>
      <c r="G11" s="116">
        <f>E11-F11</f>
        <v>9961.7245100000073</v>
      </c>
      <c r="H11" s="122">
        <f>IF(F11&lt;0.00000001,"",E11/F11)</f>
        <v>1.2385019468062266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41767.896000000001</v>
      </c>
      <c r="C13" s="37">
        <f>SUM(C11:C12)</f>
        <v>46878.633999999998</v>
      </c>
      <c r="D13" s="8"/>
      <c r="E13" s="5">
        <f>SUM(E11:E12)</f>
        <v>51729.620510000008</v>
      </c>
      <c r="F13" s="36">
        <f>SUM(F11:F12)</f>
        <v>41767.896000000001</v>
      </c>
      <c r="G13" s="36">
        <f>E13-F13</f>
        <v>9961.7245100000073</v>
      </c>
      <c r="H13" s="126">
        <f>IF(F13&lt;0.00000001,"",E13/F13)</f>
        <v>1.2385019468062266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2.5508084904377681</v>
      </c>
      <c r="C15" s="39">
        <f>IF(C9=0,"",C13/C9)</f>
        <v>2.7758604113986789</v>
      </c>
      <c r="D15" s="8"/>
      <c r="E15" s="6">
        <f>IF(E9=0,"",E13/E9)</f>
        <v>3.3113392059826197</v>
      </c>
      <c r="F15" s="38">
        <f>IF(F9=0,"",F13/F9)</f>
        <v>2.3014549119868972</v>
      </c>
      <c r="G15" s="38">
        <f>IF(ISERROR(F15-E15),"",E15-F15)</f>
        <v>1.0098842939957224</v>
      </c>
      <c r="H15" s="127">
        <f>IF(ISERROR(F15-E15),"",IF(F15&lt;0.00000001,"",E15/F15))</f>
        <v>1.4388025543041671</v>
      </c>
    </row>
    <row r="17" spans="1:8" ht="14.4" customHeight="1" x14ac:dyDescent="0.3">
      <c r="A17" s="113" t="s">
        <v>157</v>
      </c>
    </row>
    <row r="18" spans="1:8" ht="14.4" customHeight="1" x14ac:dyDescent="0.3">
      <c r="A18" s="287" t="s">
        <v>197</v>
      </c>
      <c r="B18" s="288"/>
      <c r="C18" s="288"/>
      <c r="D18" s="288"/>
      <c r="E18" s="288"/>
      <c r="F18" s="288"/>
      <c r="G18" s="288"/>
      <c r="H18" s="288"/>
    </row>
    <row r="19" spans="1:8" x14ac:dyDescent="0.3">
      <c r="A19" s="286" t="s">
        <v>196</v>
      </c>
      <c r="B19" s="288"/>
      <c r="C19" s="288"/>
      <c r="D19" s="288"/>
      <c r="E19" s="288"/>
      <c r="F19" s="288"/>
      <c r="G19" s="288"/>
      <c r="H19" s="288"/>
    </row>
    <row r="20" spans="1:8" ht="14.4" customHeight="1" x14ac:dyDescent="0.3">
      <c r="A20" s="114" t="s">
        <v>251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159</v>
      </c>
    </row>
    <row r="23" spans="1:8" ht="14.4" customHeight="1" x14ac:dyDescent="0.3">
      <c r="A23" s="115" t="s">
        <v>160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6" priority="4" operator="greaterThan">
      <formula>0</formula>
    </cfRule>
  </conditionalFormatting>
  <conditionalFormatting sqref="G11:G13 G15">
    <cfRule type="cellIs" dxfId="55" priority="3" operator="lessThan">
      <formula>0</formula>
    </cfRule>
  </conditionalFormatting>
  <conditionalFormatting sqref="H5:H9">
    <cfRule type="cellIs" dxfId="54" priority="2" operator="greaterThan">
      <formula>1</formula>
    </cfRule>
  </conditionalFormatting>
  <conditionalFormatting sqref="H11:H13 H15">
    <cfRule type="cellIs" dxfId="5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4" t="s">
        <v>277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2.4632184826932533</v>
      </c>
      <c r="C4" s="201">
        <f t="shared" ref="C4:M4" si="0">(C10+C8)/C6</f>
        <v>3.0890118691745063</v>
      </c>
      <c r="D4" s="201">
        <f t="shared" si="0"/>
        <v>2.738605454035365</v>
      </c>
      <c r="E4" s="201">
        <f t="shared" si="0"/>
        <v>2.8846120588841817</v>
      </c>
      <c r="F4" s="201">
        <f t="shared" si="0"/>
        <v>2.7732700888439656</v>
      </c>
      <c r="G4" s="201">
        <f t="shared" si="0"/>
        <v>3.0482787477934363</v>
      </c>
      <c r="H4" s="201">
        <f t="shared" si="0"/>
        <v>3.2386905940965165</v>
      </c>
      <c r="I4" s="201">
        <f t="shared" si="0"/>
        <v>3.3514878996856274</v>
      </c>
      <c r="J4" s="201">
        <f t="shared" si="0"/>
        <v>3.3113391944603814</v>
      </c>
      <c r="K4" s="201">
        <f t="shared" si="0"/>
        <v>3.3113391944603814</v>
      </c>
      <c r="L4" s="201">
        <f t="shared" si="0"/>
        <v>3.3113391944603814</v>
      </c>
      <c r="M4" s="201">
        <f t="shared" si="0"/>
        <v>3.3113391944603814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1412.6291900000001</v>
      </c>
      <c r="C5" s="201">
        <f>IF(ISERROR(VLOOKUP($A5,'Man Tab'!$A:$Q,COLUMN()+2,0)),0,VLOOKUP($A5,'Man Tab'!$A:$Q,COLUMN()+2,0))</f>
        <v>1307.2575200000001</v>
      </c>
      <c r="D5" s="201">
        <f>IF(ISERROR(VLOOKUP($A5,'Man Tab'!$A:$Q,COLUMN()+2,0)),0,VLOOKUP($A5,'Man Tab'!$A:$Q,COLUMN()+2,0))</f>
        <v>1433.39769</v>
      </c>
      <c r="E5" s="201">
        <f>IF(ISERROR(VLOOKUP($A5,'Man Tab'!$A:$Q,COLUMN()+2,0)),0,VLOOKUP($A5,'Man Tab'!$A:$Q,COLUMN()+2,0))</f>
        <v>1461.90644</v>
      </c>
      <c r="F5" s="201">
        <f>IF(ISERROR(VLOOKUP($A5,'Man Tab'!$A:$Q,COLUMN()+2,0)),0,VLOOKUP($A5,'Man Tab'!$A:$Q,COLUMN()+2,0))</f>
        <v>1528.4513099999999</v>
      </c>
      <c r="G5" s="201">
        <f>IF(ISERROR(VLOOKUP($A5,'Man Tab'!$A:$Q,COLUMN()+2,0)),0,VLOOKUP($A5,'Man Tab'!$A:$Q,COLUMN()+2,0))</f>
        <v>1917.2511</v>
      </c>
      <c r="H5" s="201">
        <f>IF(ISERROR(VLOOKUP($A5,'Man Tab'!$A:$Q,COLUMN()+2,0)),0,VLOOKUP($A5,'Man Tab'!$A:$Q,COLUMN()+2,0))</f>
        <v>2560.1944199999998</v>
      </c>
      <c r="I5" s="201">
        <f>IF(ISERROR(VLOOKUP($A5,'Man Tab'!$A:$Q,COLUMN()+2,0)),0,VLOOKUP($A5,'Man Tab'!$A:$Q,COLUMN()+2,0))</f>
        <v>1746.0927200000001</v>
      </c>
      <c r="J5" s="201">
        <f>IF(ISERROR(VLOOKUP($A5,'Man Tab'!$A:$Q,COLUMN()+2,0)),0,VLOOKUP($A5,'Man Tab'!$A:$Q,COLUMN()+2,0))</f>
        <v>2254.7831999999999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1412.6291900000001</v>
      </c>
      <c r="C6" s="203">
        <f t="shared" ref="C6:M6" si="1">C5+B6</f>
        <v>2719.8867100000002</v>
      </c>
      <c r="D6" s="203">
        <f t="shared" si="1"/>
        <v>4153.2844000000005</v>
      </c>
      <c r="E6" s="203">
        <f t="shared" si="1"/>
        <v>5615.1908400000002</v>
      </c>
      <c r="F6" s="203">
        <f t="shared" si="1"/>
        <v>7143.6421499999997</v>
      </c>
      <c r="G6" s="203">
        <f t="shared" si="1"/>
        <v>9060.8932499999992</v>
      </c>
      <c r="H6" s="203">
        <f t="shared" si="1"/>
        <v>11621.087669999999</v>
      </c>
      <c r="I6" s="203">
        <f t="shared" si="1"/>
        <v>13367.18039</v>
      </c>
      <c r="J6" s="203">
        <f t="shared" si="1"/>
        <v>15621.963589999999</v>
      </c>
      <c r="K6" s="203">
        <f t="shared" si="1"/>
        <v>15621.963589999999</v>
      </c>
      <c r="L6" s="203">
        <f t="shared" si="1"/>
        <v>15621.963589999999</v>
      </c>
      <c r="M6" s="203">
        <f t="shared" si="1"/>
        <v>15621.963589999999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3479614.33</v>
      </c>
      <c r="C9" s="202">
        <v>4922148</v>
      </c>
      <c r="D9" s="202">
        <v>2972444.98</v>
      </c>
      <c r="E9" s="202">
        <v>4823439.9000000004</v>
      </c>
      <c r="F9" s="202">
        <v>3613601.8899999997</v>
      </c>
      <c r="G9" s="202">
        <v>7808879.2299999995</v>
      </c>
      <c r="H9" s="202">
        <v>10016979</v>
      </c>
      <c r="I9" s="202">
        <v>7162836</v>
      </c>
      <c r="J9" s="202">
        <v>6929677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3479.6143299999999</v>
      </c>
      <c r="C10" s="203">
        <f t="shared" ref="C10:M10" si="3">C9/1000+B10</f>
        <v>8401.7623299999996</v>
      </c>
      <c r="D10" s="203">
        <f t="shared" si="3"/>
        <v>11374.20731</v>
      </c>
      <c r="E10" s="203">
        <f t="shared" si="3"/>
        <v>16197.647209999999</v>
      </c>
      <c r="F10" s="203">
        <f t="shared" si="3"/>
        <v>19811.249099999997</v>
      </c>
      <c r="G10" s="203">
        <f t="shared" si="3"/>
        <v>27620.128329999996</v>
      </c>
      <c r="H10" s="203">
        <f t="shared" si="3"/>
        <v>37637.107329999999</v>
      </c>
      <c r="I10" s="203">
        <f t="shared" si="3"/>
        <v>44799.943330000002</v>
      </c>
      <c r="J10" s="203">
        <f t="shared" si="3"/>
        <v>51729.620330000005</v>
      </c>
      <c r="K10" s="203">
        <f t="shared" si="3"/>
        <v>51729.620330000005</v>
      </c>
      <c r="L10" s="203">
        <f t="shared" si="3"/>
        <v>51729.620330000005</v>
      </c>
      <c r="M10" s="203">
        <f t="shared" si="3"/>
        <v>51729.620330000005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9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2.3014549119868972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2.3014549119868972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4" t="s">
        <v>279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4" customFormat="1" ht="14.4" customHeight="1" thickBot="1" x14ac:dyDescent="0.3">
      <c r="A2" s="234" t="s">
        <v>277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2015</v>
      </c>
      <c r="C4" s="139" t="s">
        <v>30</v>
      </c>
      <c r="D4" s="129" t="s">
        <v>254</v>
      </c>
      <c r="E4" s="129" t="s">
        <v>255</v>
      </c>
      <c r="F4" s="129" t="s">
        <v>256</v>
      </c>
      <c r="G4" s="129" t="s">
        <v>257</v>
      </c>
      <c r="H4" s="129" t="s">
        <v>258</v>
      </c>
      <c r="I4" s="129" t="s">
        <v>259</v>
      </c>
      <c r="J4" s="129" t="s">
        <v>260</v>
      </c>
      <c r="K4" s="129" t="s">
        <v>261</v>
      </c>
      <c r="L4" s="129" t="s">
        <v>262</v>
      </c>
      <c r="M4" s="129" t="s">
        <v>263</v>
      </c>
      <c r="N4" s="129" t="s">
        <v>264</v>
      </c>
      <c r="O4" s="129" t="s">
        <v>265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278</v>
      </c>
    </row>
    <row r="7" spans="1:17" ht="14.4" customHeight="1" x14ac:dyDescent="0.3">
      <c r="A7" s="15" t="s">
        <v>35</v>
      </c>
      <c r="B7" s="51">
        <v>60.981866140012002</v>
      </c>
      <c r="C7" s="52">
        <v>5.0818221783339999</v>
      </c>
      <c r="D7" s="52">
        <v>2.6626300000000001</v>
      </c>
      <c r="E7" s="52">
        <v>2.0402900000000002</v>
      </c>
      <c r="F7" s="52">
        <v>2.31555</v>
      </c>
      <c r="G7" s="52">
        <v>1.2957799999999999</v>
      </c>
      <c r="H7" s="52">
        <v>2.8487300000000002</v>
      </c>
      <c r="I7" s="52">
        <v>2.1675300000000002</v>
      </c>
      <c r="J7" s="52">
        <v>2.1471800000000001</v>
      </c>
      <c r="K7" s="52">
        <v>1.60964</v>
      </c>
      <c r="L7" s="52">
        <v>2.4016600000000001</v>
      </c>
      <c r="M7" s="52">
        <v>0</v>
      </c>
      <c r="N7" s="52">
        <v>0</v>
      </c>
      <c r="O7" s="52">
        <v>0</v>
      </c>
      <c r="P7" s="53">
        <v>19.488990000000001</v>
      </c>
      <c r="Q7" s="95">
        <v>0.42611552654500001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278</v>
      </c>
    </row>
    <row r="9" spans="1:17" ht="14.4" customHeight="1" x14ac:dyDescent="0.3">
      <c r="A9" s="15" t="s">
        <v>37</v>
      </c>
      <c r="B9" s="51">
        <v>4781.0815516123403</v>
      </c>
      <c r="C9" s="52">
        <v>398.42346263436201</v>
      </c>
      <c r="D9" s="52">
        <v>166.10278</v>
      </c>
      <c r="E9" s="52">
        <v>68.229309999999998</v>
      </c>
      <c r="F9" s="52">
        <v>144.53028</v>
      </c>
      <c r="G9" s="52">
        <v>127.90439000000001</v>
      </c>
      <c r="H9" s="52">
        <v>179.87715</v>
      </c>
      <c r="I9" s="52">
        <v>373.10032000000001</v>
      </c>
      <c r="J9" s="52">
        <v>306.89166</v>
      </c>
      <c r="K9" s="52">
        <v>327.03485999999998</v>
      </c>
      <c r="L9" s="52">
        <v>775.05426</v>
      </c>
      <c r="M9" s="52">
        <v>0</v>
      </c>
      <c r="N9" s="52">
        <v>0</v>
      </c>
      <c r="O9" s="52">
        <v>0</v>
      </c>
      <c r="P9" s="53">
        <v>2468.7250100000001</v>
      </c>
      <c r="Q9" s="95">
        <v>0.68847044567899995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278</v>
      </c>
    </row>
    <row r="11" spans="1:17" ht="14.4" customHeight="1" x14ac:dyDescent="0.3">
      <c r="A11" s="15" t="s">
        <v>39</v>
      </c>
      <c r="B11" s="51">
        <v>121.568222116962</v>
      </c>
      <c r="C11" s="52">
        <v>10.130685176412999</v>
      </c>
      <c r="D11" s="52">
        <v>12.058199999999999</v>
      </c>
      <c r="E11" s="52">
        <v>6.1905400000000004</v>
      </c>
      <c r="F11" s="52">
        <v>7.0789</v>
      </c>
      <c r="G11" s="52">
        <v>10.816330000000001</v>
      </c>
      <c r="H11" s="52">
        <v>7.0859399999999999</v>
      </c>
      <c r="I11" s="52">
        <v>4.4791699999999999</v>
      </c>
      <c r="J11" s="52">
        <v>8.9618599999999997</v>
      </c>
      <c r="K11" s="52">
        <v>4.4550099999999997</v>
      </c>
      <c r="L11" s="52">
        <v>9.6587700000000005</v>
      </c>
      <c r="M11" s="52">
        <v>0</v>
      </c>
      <c r="N11" s="52">
        <v>0</v>
      </c>
      <c r="O11" s="52">
        <v>0</v>
      </c>
      <c r="P11" s="53">
        <v>70.784719999999993</v>
      </c>
      <c r="Q11" s="95">
        <v>0.77635113044399995</v>
      </c>
    </row>
    <row r="12" spans="1:17" ht="14.4" customHeight="1" x14ac:dyDescent="0.3">
      <c r="A12" s="15" t="s">
        <v>40</v>
      </c>
      <c r="B12" s="51">
        <v>1.999999937004</v>
      </c>
      <c r="C12" s="52">
        <v>0.16666666141700001</v>
      </c>
      <c r="D12" s="52">
        <v>2.1000000000000001E-2</v>
      </c>
      <c r="E12" s="52">
        <v>5.9352499999999999</v>
      </c>
      <c r="F12" s="52">
        <v>4.9660000000000002</v>
      </c>
      <c r="G12" s="52">
        <v>0.20824000000000001</v>
      </c>
      <c r="H12" s="52">
        <v>1.0999999999999999E-2</v>
      </c>
      <c r="I12" s="52">
        <v>1.2250799999999999</v>
      </c>
      <c r="J12" s="52">
        <v>0.19689999999999999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12.563470000000001</v>
      </c>
      <c r="Q12" s="95">
        <v>8.3756469304790002</v>
      </c>
    </row>
    <row r="13" spans="1:17" ht="14.4" customHeight="1" x14ac:dyDescent="0.3">
      <c r="A13" s="15" t="s">
        <v>41</v>
      </c>
      <c r="B13" s="51">
        <v>17.999999433043001</v>
      </c>
      <c r="C13" s="52">
        <v>1.4999999527529999</v>
      </c>
      <c r="D13" s="52">
        <v>3.9377599999999999</v>
      </c>
      <c r="E13" s="52">
        <v>2.3766699999999998</v>
      </c>
      <c r="F13" s="52">
        <v>0.86989000000000005</v>
      </c>
      <c r="G13" s="52">
        <v>0.17455999999999999</v>
      </c>
      <c r="H13" s="52">
        <v>1.83117</v>
      </c>
      <c r="I13" s="52">
        <v>1.31406</v>
      </c>
      <c r="J13" s="52">
        <v>1.1821699999999999</v>
      </c>
      <c r="K13" s="52">
        <v>2.0683699999999998</v>
      </c>
      <c r="L13" s="52">
        <v>6.4820799999999998</v>
      </c>
      <c r="M13" s="52">
        <v>0</v>
      </c>
      <c r="N13" s="52">
        <v>0</v>
      </c>
      <c r="O13" s="52">
        <v>0</v>
      </c>
      <c r="P13" s="53">
        <v>20.236730000000001</v>
      </c>
      <c r="Q13" s="95">
        <v>1.4990170842520001</v>
      </c>
    </row>
    <row r="14" spans="1:17" ht="14.4" customHeight="1" x14ac:dyDescent="0.3">
      <c r="A14" s="15" t="s">
        <v>42</v>
      </c>
      <c r="B14" s="51">
        <v>178.61167656012799</v>
      </c>
      <c r="C14" s="52">
        <v>14.884306380010001</v>
      </c>
      <c r="D14" s="52">
        <v>20.312999999999999</v>
      </c>
      <c r="E14" s="52">
        <v>17.414000000000001</v>
      </c>
      <c r="F14" s="52">
        <v>16.846</v>
      </c>
      <c r="G14" s="52">
        <v>14.153</v>
      </c>
      <c r="H14" s="52">
        <v>11.349</v>
      </c>
      <c r="I14" s="52">
        <v>9.9179999999999993</v>
      </c>
      <c r="J14" s="52">
        <v>9.9410000000000007</v>
      </c>
      <c r="K14" s="52">
        <v>10.047000000000001</v>
      </c>
      <c r="L14" s="52">
        <v>10.382999999999999</v>
      </c>
      <c r="M14" s="52">
        <v>0</v>
      </c>
      <c r="N14" s="52">
        <v>0</v>
      </c>
      <c r="O14" s="52">
        <v>0</v>
      </c>
      <c r="P14" s="53">
        <v>120.364</v>
      </c>
      <c r="Q14" s="95">
        <v>0.89851535142600003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278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278</v>
      </c>
    </row>
    <row r="17" spans="1:17" ht="14.4" customHeight="1" x14ac:dyDescent="0.3">
      <c r="A17" s="15" t="s">
        <v>45</v>
      </c>
      <c r="B17" s="51">
        <v>907.19417182578798</v>
      </c>
      <c r="C17" s="52">
        <v>75.599514318814997</v>
      </c>
      <c r="D17" s="52">
        <v>6.29976</v>
      </c>
      <c r="E17" s="52">
        <v>5.8246900000000004</v>
      </c>
      <c r="F17" s="52">
        <v>13.873760000000001</v>
      </c>
      <c r="G17" s="52">
        <v>14.070679999999999</v>
      </c>
      <c r="H17" s="52">
        <v>6.0995100000000004</v>
      </c>
      <c r="I17" s="52">
        <v>5.3688700000000003</v>
      </c>
      <c r="J17" s="52">
        <v>2.7297600000000002</v>
      </c>
      <c r="K17" s="52">
        <v>3.0927600000000002</v>
      </c>
      <c r="L17" s="52">
        <v>2.7964099999999998</v>
      </c>
      <c r="M17" s="52">
        <v>0</v>
      </c>
      <c r="N17" s="52">
        <v>0</v>
      </c>
      <c r="O17" s="52">
        <v>0</v>
      </c>
      <c r="P17" s="53">
        <v>60.156199999999998</v>
      </c>
      <c r="Q17" s="95">
        <v>8.8413560357000001E-2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1.95</v>
      </c>
      <c r="E18" s="52">
        <v>5.2990000000000004</v>
      </c>
      <c r="F18" s="52">
        <v>3.4969999999999999</v>
      </c>
      <c r="G18" s="52">
        <v>1.895</v>
      </c>
      <c r="H18" s="52">
        <v>1.0820000000000001</v>
      </c>
      <c r="I18" s="52">
        <v>140.102</v>
      </c>
      <c r="J18" s="52">
        <v>12.417</v>
      </c>
      <c r="K18" s="52">
        <v>8.4302399999999995</v>
      </c>
      <c r="L18" s="52">
        <v>4.2590000000000003</v>
      </c>
      <c r="M18" s="52">
        <v>0</v>
      </c>
      <c r="N18" s="52">
        <v>0</v>
      </c>
      <c r="O18" s="52">
        <v>0</v>
      </c>
      <c r="P18" s="53">
        <v>178.93124</v>
      </c>
      <c r="Q18" s="95" t="s">
        <v>278</v>
      </c>
    </row>
    <row r="19" spans="1:17" ht="14.4" customHeight="1" x14ac:dyDescent="0.3">
      <c r="A19" s="15" t="s">
        <v>47</v>
      </c>
      <c r="B19" s="51">
        <v>1177.5292089068801</v>
      </c>
      <c r="C19" s="52">
        <v>98.127434075573007</v>
      </c>
      <c r="D19" s="52">
        <v>70.296490000000006</v>
      </c>
      <c r="E19" s="52">
        <v>50.632930000000002</v>
      </c>
      <c r="F19" s="52">
        <v>49.118279999999999</v>
      </c>
      <c r="G19" s="52">
        <v>72.079740000000001</v>
      </c>
      <c r="H19" s="52">
        <v>86.858170000000001</v>
      </c>
      <c r="I19" s="52">
        <v>54.425379999999997</v>
      </c>
      <c r="J19" s="52">
        <v>139.36382</v>
      </c>
      <c r="K19" s="52">
        <v>106.06131999999999</v>
      </c>
      <c r="L19" s="52">
        <v>79.494230000000002</v>
      </c>
      <c r="M19" s="52">
        <v>0</v>
      </c>
      <c r="N19" s="52">
        <v>0</v>
      </c>
      <c r="O19" s="52">
        <v>0</v>
      </c>
      <c r="P19" s="53">
        <v>708.33036000000004</v>
      </c>
      <c r="Q19" s="95">
        <v>0.80205269886800001</v>
      </c>
    </row>
    <row r="20" spans="1:17" ht="14.4" customHeight="1" x14ac:dyDescent="0.3">
      <c r="A20" s="15" t="s">
        <v>48</v>
      </c>
      <c r="B20" s="51">
        <v>14899.9995306861</v>
      </c>
      <c r="C20" s="52">
        <v>1241.6666275571799</v>
      </c>
      <c r="D20" s="52">
        <v>954.78126999999904</v>
      </c>
      <c r="E20" s="52">
        <v>967.26783000000296</v>
      </c>
      <c r="F20" s="52">
        <v>1014.6586</v>
      </c>
      <c r="G20" s="52">
        <v>1048.10312</v>
      </c>
      <c r="H20" s="52">
        <v>1057.20316</v>
      </c>
      <c r="I20" s="52">
        <v>1116.99639</v>
      </c>
      <c r="J20" s="52">
        <v>1883.4436800000001</v>
      </c>
      <c r="K20" s="52">
        <v>1108.0641000000001</v>
      </c>
      <c r="L20" s="52">
        <v>1179.3729000000001</v>
      </c>
      <c r="M20" s="52">
        <v>0</v>
      </c>
      <c r="N20" s="52">
        <v>0</v>
      </c>
      <c r="O20" s="52">
        <v>0</v>
      </c>
      <c r="P20" s="53">
        <v>10329.89105</v>
      </c>
      <c r="Q20" s="95">
        <v>0.92437506714600004</v>
      </c>
    </row>
    <row r="21" spans="1:17" ht="14.4" customHeight="1" x14ac:dyDescent="0.3">
      <c r="A21" s="16" t="s">
        <v>49</v>
      </c>
      <c r="B21" s="51">
        <v>2050.9998984448798</v>
      </c>
      <c r="C21" s="52">
        <v>170.91665820374001</v>
      </c>
      <c r="D21" s="52">
        <v>171.20599999999999</v>
      </c>
      <c r="E21" s="52">
        <v>171.20599999999999</v>
      </c>
      <c r="F21" s="52">
        <v>171.20599999999999</v>
      </c>
      <c r="G21" s="52">
        <v>171.20599999999999</v>
      </c>
      <c r="H21" s="52">
        <v>171.20599999999999</v>
      </c>
      <c r="I21" s="52">
        <v>174.51599999999999</v>
      </c>
      <c r="J21" s="52">
        <v>174.51499999999999</v>
      </c>
      <c r="K21" s="52">
        <v>174.51400000000001</v>
      </c>
      <c r="L21" s="52">
        <v>174.51400000000001</v>
      </c>
      <c r="M21" s="52">
        <v>0</v>
      </c>
      <c r="N21" s="52">
        <v>0</v>
      </c>
      <c r="O21" s="52">
        <v>0</v>
      </c>
      <c r="P21" s="53">
        <v>1554.0889999999999</v>
      </c>
      <c r="Q21" s="95">
        <v>1.0102968158300001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18.149999999999999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18.149999999999999</v>
      </c>
      <c r="Q22" s="95" t="s">
        <v>278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278</v>
      </c>
    </row>
    <row r="24" spans="1:17" ht="14.4" customHeight="1" x14ac:dyDescent="0.3">
      <c r="A24" s="16" t="s">
        <v>52</v>
      </c>
      <c r="B24" s="51">
        <v>-7.2759576141834308E-12</v>
      </c>
      <c r="C24" s="52">
        <v>-6.8212102632969598E-13</v>
      </c>
      <c r="D24" s="52">
        <v>3.0003000000000002</v>
      </c>
      <c r="E24" s="52">
        <v>4.8410099999999998</v>
      </c>
      <c r="F24" s="52">
        <v>4.43743</v>
      </c>
      <c r="G24" s="52">
        <v>-4.0000000000000002E-4</v>
      </c>
      <c r="H24" s="52">
        <v>2.9994799999990001</v>
      </c>
      <c r="I24" s="52">
        <v>33.638299999998999</v>
      </c>
      <c r="J24" s="52">
        <v>0.25438999999900003</v>
      </c>
      <c r="K24" s="52">
        <v>0.71541999999899997</v>
      </c>
      <c r="L24" s="52">
        <v>10.366889999999</v>
      </c>
      <c r="M24" s="52">
        <v>0</v>
      </c>
      <c r="N24" s="52">
        <v>0</v>
      </c>
      <c r="O24" s="52">
        <v>0</v>
      </c>
      <c r="P24" s="53">
        <v>60.252819999998998</v>
      </c>
      <c r="Q24" s="95"/>
    </row>
    <row r="25" spans="1:17" ht="14.4" customHeight="1" x14ac:dyDescent="0.3">
      <c r="A25" s="17" t="s">
        <v>53</v>
      </c>
      <c r="B25" s="54">
        <v>24197.966125663199</v>
      </c>
      <c r="C25" s="55">
        <v>2016.4971771385999</v>
      </c>
      <c r="D25" s="55">
        <v>1412.6291900000001</v>
      </c>
      <c r="E25" s="55">
        <v>1307.2575200000001</v>
      </c>
      <c r="F25" s="55">
        <v>1433.39769</v>
      </c>
      <c r="G25" s="55">
        <v>1461.90644</v>
      </c>
      <c r="H25" s="55">
        <v>1528.4513099999999</v>
      </c>
      <c r="I25" s="55">
        <v>1917.2511</v>
      </c>
      <c r="J25" s="55">
        <v>2560.1944199999998</v>
      </c>
      <c r="K25" s="55">
        <v>1746.0927200000001</v>
      </c>
      <c r="L25" s="55">
        <v>2254.7831999999999</v>
      </c>
      <c r="M25" s="55">
        <v>0</v>
      </c>
      <c r="N25" s="55">
        <v>0</v>
      </c>
      <c r="O25" s="55">
        <v>0</v>
      </c>
      <c r="P25" s="56">
        <v>15621.963589999999</v>
      </c>
      <c r="Q25" s="96">
        <v>0.86078659167000005</v>
      </c>
    </row>
    <row r="26" spans="1:17" ht="14.4" customHeight="1" x14ac:dyDescent="0.3">
      <c r="A26" s="15" t="s">
        <v>54</v>
      </c>
      <c r="B26" s="51">
        <v>2585.1075248492298</v>
      </c>
      <c r="C26" s="52">
        <v>215.42562707076999</v>
      </c>
      <c r="D26" s="52">
        <v>162.99978000000101</v>
      </c>
      <c r="E26" s="52">
        <v>161.13761000000099</v>
      </c>
      <c r="F26" s="52">
        <v>185.990250000001</v>
      </c>
      <c r="G26" s="52">
        <v>168.22004000000101</v>
      </c>
      <c r="H26" s="52">
        <v>153.07767000000001</v>
      </c>
      <c r="I26" s="52">
        <v>238.79239999999999</v>
      </c>
      <c r="J26" s="52">
        <v>263.90687000000003</v>
      </c>
      <c r="K26" s="52">
        <v>155.60443000000001</v>
      </c>
      <c r="L26" s="52">
        <v>202.55850000000001</v>
      </c>
      <c r="M26" s="52">
        <v>0</v>
      </c>
      <c r="N26" s="52">
        <v>0</v>
      </c>
      <c r="O26" s="52">
        <v>0</v>
      </c>
      <c r="P26" s="53">
        <v>1692.28755</v>
      </c>
      <c r="Q26" s="95">
        <v>0.87283928359200003</v>
      </c>
    </row>
    <row r="27" spans="1:17" ht="14.4" customHeight="1" x14ac:dyDescent="0.3">
      <c r="A27" s="18" t="s">
        <v>55</v>
      </c>
      <c r="B27" s="54">
        <v>26783.0736505124</v>
      </c>
      <c r="C27" s="55">
        <v>2231.92280420937</v>
      </c>
      <c r="D27" s="55">
        <v>1575.62897</v>
      </c>
      <c r="E27" s="55">
        <v>1468.3951300000001</v>
      </c>
      <c r="F27" s="55">
        <v>1619.3879400000001</v>
      </c>
      <c r="G27" s="55">
        <v>1630.1264799999999</v>
      </c>
      <c r="H27" s="55">
        <v>1681.52898</v>
      </c>
      <c r="I27" s="55">
        <v>2156.0435000000002</v>
      </c>
      <c r="J27" s="55">
        <v>2824.1012900000001</v>
      </c>
      <c r="K27" s="55">
        <v>1901.69715</v>
      </c>
      <c r="L27" s="55">
        <v>2457.3416999999999</v>
      </c>
      <c r="M27" s="55">
        <v>0</v>
      </c>
      <c r="N27" s="55">
        <v>0</v>
      </c>
      <c r="O27" s="55">
        <v>0</v>
      </c>
      <c r="P27" s="56">
        <v>17314.25114</v>
      </c>
      <c r="Q27" s="96">
        <v>0.86194991986000002</v>
      </c>
    </row>
    <row r="28" spans="1:17" ht="14.4" customHeight="1" x14ac:dyDescent="0.3">
      <c r="A28" s="16" t="s">
        <v>56</v>
      </c>
      <c r="B28" s="51">
        <v>347.62220521387701</v>
      </c>
      <c r="C28" s="52">
        <v>28.968517101155999</v>
      </c>
      <c r="D28" s="52">
        <v>0</v>
      </c>
      <c r="E28" s="52">
        <v>22.486280000000001</v>
      </c>
      <c r="F28" s="52">
        <v>7</v>
      </c>
      <c r="G28" s="52">
        <v>0</v>
      </c>
      <c r="H28" s="52">
        <v>0</v>
      </c>
      <c r="I28" s="52">
        <v>0</v>
      </c>
      <c r="J28" s="52">
        <v>7.0002800000000001</v>
      </c>
      <c r="K28" s="52">
        <v>0.72799999999999998</v>
      </c>
      <c r="L28" s="52">
        <v>0</v>
      </c>
      <c r="M28" s="52">
        <v>0</v>
      </c>
      <c r="N28" s="52">
        <v>0</v>
      </c>
      <c r="O28" s="52">
        <v>0</v>
      </c>
      <c r="P28" s="53">
        <v>37.214559999999999</v>
      </c>
      <c r="Q28" s="95">
        <v>0.14273948150900001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278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278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157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274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4" t="s">
        <v>277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270</v>
      </c>
      <c r="G4" s="346" t="s">
        <v>64</v>
      </c>
      <c r="H4" s="141" t="s">
        <v>141</v>
      </c>
      <c r="I4" s="344" t="s">
        <v>65</v>
      </c>
      <c r="J4" s="346" t="s">
        <v>272</v>
      </c>
      <c r="K4" s="347" t="s">
        <v>273</v>
      </c>
    </row>
    <row r="5" spans="1:11" ht="42" thickBot="1" x14ac:dyDescent="0.35">
      <c r="A5" s="78"/>
      <c r="B5" s="24" t="s">
        <v>266</v>
      </c>
      <c r="C5" s="25" t="s">
        <v>267</v>
      </c>
      <c r="D5" s="26" t="s">
        <v>268</v>
      </c>
      <c r="E5" s="26" t="s">
        <v>269</v>
      </c>
      <c r="F5" s="345"/>
      <c r="G5" s="345"/>
      <c r="H5" s="25" t="s">
        <v>271</v>
      </c>
      <c r="I5" s="345"/>
      <c r="J5" s="345"/>
      <c r="K5" s="348"/>
    </row>
    <row r="6" spans="1:11" ht="14.4" customHeight="1" thickBot="1" x14ac:dyDescent="0.35">
      <c r="A6" s="436" t="s">
        <v>280</v>
      </c>
      <c r="B6" s="418">
        <v>24973.923178545301</v>
      </c>
      <c r="C6" s="418">
        <v>24484.53832</v>
      </c>
      <c r="D6" s="419">
        <v>-489.384858545258</v>
      </c>
      <c r="E6" s="420">
        <v>0.980404165775</v>
      </c>
      <c r="F6" s="418">
        <v>24197.966125663199</v>
      </c>
      <c r="G6" s="419">
        <v>18148.4745942474</v>
      </c>
      <c r="H6" s="421">
        <v>2254.7831999999999</v>
      </c>
      <c r="I6" s="418">
        <v>15621.963589999999</v>
      </c>
      <c r="J6" s="419">
        <v>-2526.5110042473698</v>
      </c>
      <c r="K6" s="422">
        <v>0.64558994375199996</v>
      </c>
    </row>
    <row r="7" spans="1:11" ht="14.4" customHeight="1" thickBot="1" x14ac:dyDescent="0.35">
      <c r="A7" s="437" t="s">
        <v>281</v>
      </c>
      <c r="B7" s="418">
        <v>4915.3792112361598</v>
      </c>
      <c r="C7" s="418">
        <v>4886.3432700000003</v>
      </c>
      <c r="D7" s="419">
        <v>-29.035941236159999</v>
      </c>
      <c r="E7" s="420">
        <v>0.99409283801100001</v>
      </c>
      <c r="F7" s="418">
        <v>5162.2433157994901</v>
      </c>
      <c r="G7" s="419">
        <v>3871.6824868496201</v>
      </c>
      <c r="H7" s="421">
        <v>803.97991000000002</v>
      </c>
      <c r="I7" s="418">
        <v>2712.1625100000001</v>
      </c>
      <c r="J7" s="419">
        <v>-1159.51997684962</v>
      </c>
      <c r="K7" s="422">
        <v>0.52538447804199995</v>
      </c>
    </row>
    <row r="8" spans="1:11" ht="14.4" customHeight="1" thickBot="1" x14ac:dyDescent="0.35">
      <c r="A8" s="438" t="s">
        <v>282</v>
      </c>
      <c r="B8" s="418">
        <v>4659.3942056369697</v>
      </c>
      <c r="C8" s="418">
        <v>4672.6032699999996</v>
      </c>
      <c r="D8" s="419">
        <v>13.209064363032001</v>
      </c>
      <c r="E8" s="420">
        <v>1.002834931705</v>
      </c>
      <c r="F8" s="418">
        <v>4983.6316392393701</v>
      </c>
      <c r="G8" s="419">
        <v>3737.7237294295201</v>
      </c>
      <c r="H8" s="421">
        <v>793.59690999999998</v>
      </c>
      <c r="I8" s="418">
        <v>2591.7985100000001</v>
      </c>
      <c r="J8" s="419">
        <v>-1145.92521942952</v>
      </c>
      <c r="K8" s="422">
        <v>0.52006221519100004</v>
      </c>
    </row>
    <row r="9" spans="1:11" ht="14.4" customHeight="1" thickBot="1" x14ac:dyDescent="0.35">
      <c r="A9" s="439" t="s">
        <v>283</v>
      </c>
      <c r="B9" s="423">
        <v>0</v>
      </c>
      <c r="C9" s="423">
        <v>-2.8300000000000001E-3</v>
      </c>
      <c r="D9" s="424">
        <v>-2.8300000000000001E-3</v>
      </c>
      <c r="E9" s="425" t="s">
        <v>278</v>
      </c>
      <c r="F9" s="423">
        <v>0</v>
      </c>
      <c r="G9" s="424">
        <v>0</v>
      </c>
      <c r="H9" s="426">
        <v>1.3999999999999999E-4</v>
      </c>
      <c r="I9" s="423">
        <v>-4.09999999E-4</v>
      </c>
      <c r="J9" s="424">
        <v>-4.09999999E-4</v>
      </c>
      <c r="K9" s="427" t="s">
        <v>278</v>
      </c>
    </row>
    <row r="10" spans="1:11" ht="14.4" customHeight="1" thickBot="1" x14ac:dyDescent="0.35">
      <c r="A10" s="440" t="s">
        <v>284</v>
      </c>
      <c r="B10" s="418">
        <v>0</v>
      </c>
      <c r="C10" s="418">
        <v>-2.8300000000000001E-3</v>
      </c>
      <c r="D10" s="419">
        <v>-2.8300000000000001E-3</v>
      </c>
      <c r="E10" s="428" t="s">
        <v>278</v>
      </c>
      <c r="F10" s="418">
        <v>0</v>
      </c>
      <c r="G10" s="419">
        <v>0</v>
      </c>
      <c r="H10" s="421">
        <v>1.3999999999999999E-4</v>
      </c>
      <c r="I10" s="418">
        <v>-4.09999999E-4</v>
      </c>
      <c r="J10" s="419">
        <v>-4.09999999E-4</v>
      </c>
      <c r="K10" s="429" t="s">
        <v>278</v>
      </c>
    </row>
    <row r="11" spans="1:11" ht="14.4" customHeight="1" thickBot="1" x14ac:dyDescent="0.35">
      <c r="A11" s="439" t="s">
        <v>285</v>
      </c>
      <c r="B11" s="423">
        <v>93.808699516833002</v>
      </c>
      <c r="C11" s="423">
        <v>62.504669999999997</v>
      </c>
      <c r="D11" s="424">
        <v>-31.304029516833001</v>
      </c>
      <c r="E11" s="430">
        <v>0.66629929123700005</v>
      </c>
      <c r="F11" s="423">
        <v>60.981866140012002</v>
      </c>
      <c r="G11" s="424">
        <v>45.736399605008998</v>
      </c>
      <c r="H11" s="426">
        <v>2.4016600000000001</v>
      </c>
      <c r="I11" s="423">
        <v>19.488990000000001</v>
      </c>
      <c r="J11" s="424">
        <v>-26.247409605009</v>
      </c>
      <c r="K11" s="431">
        <v>0.31958664490900002</v>
      </c>
    </row>
    <row r="12" spans="1:11" ht="14.4" customHeight="1" thickBot="1" x14ac:dyDescent="0.35">
      <c r="A12" s="440" t="s">
        <v>286</v>
      </c>
      <c r="B12" s="418">
        <v>87.821719923201996</v>
      </c>
      <c r="C12" s="418">
        <v>59.789430000000003</v>
      </c>
      <c r="D12" s="419">
        <v>-28.032289923202001</v>
      </c>
      <c r="E12" s="420">
        <v>0.68080458971000002</v>
      </c>
      <c r="F12" s="418">
        <v>59.304480578320998</v>
      </c>
      <c r="G12" s="419">
        <v>44.478360433740001</v>
      </c>
      <c r="H12" s="421">
        <v>2.4016600000000001</v>
      </c>
      <c r="I12" s="418">
        <v>19.488990000000001</v>
      </c>
      <c r="J12" s="419">
        <v>-24.98937043374</v>
      </c>
      <c r="K12" s="422">
        <v>0.32862592859599998</v>
      </c>
    </row>
    <row r="13" spans="1:11" ht="14.4" customHeight="1" thickBot="1" x14ac:dyDescent="0.35">
      <c r="A13" s="440" t="s">
        <v>287</v>
      </c>
      <c r="B13" s="418">
        <v>0.22952717267</v>
      </c>
      <c r="C13" s="418">
        <v>0</v>
      </c>
      <c r="D13" s="419">
        <v>-0.22952717267</v>
      </c>
      <c r="E13" s="420">
        <v>0</v>
      </c>
      <c r="F13" s="418">
        <v>0</v>
      </c>
      <c r="G13" s="419">
        <v>0</v>
      </c>
      <c r="H13" s="421">
        <v>0</v>
      </c>
      <c r="I13" s="418">
        <v>0</v>
      </c>
      <c r="J13" s="419">
        <v>0</v>
      </c>
      <c r="K13" s="422">
        <v>0</v>
      </c>
    </row>
    <row r="14" spans="1:11" ht="14.4" customHeight="1" thickBot="1" x14ac:dyDescent="0.35">
      <c r="A14" s="440" t="s">
        <v>288</v>
      </c>
      <c r="B14" s="418">
        <v>5.7574524209589999</v>
      </c>
      <c r="C14" s="418">
        <v>2.7152400000000001</v>
      </c>
      <c r="D14" s="419">
        <v>-3.0422124209589998</v>
      </c>
      <c r="E14" s="420">
        <v>0.47160441832099997</v>
      </c>
      <c r="F14" s="418">
        <v>1.6773855616910001</v>
      </c>
      <c r="G14" s="419">
        <v>1.2580391712679999</v>
      </c>
      <c r="H14" s="421">
        <v>0</v>
      </c>
      <c r="I14" s="418">
        <v>0</v>
      </c>
      <c r="J14" s="419">
        <v>-1.2580391712679999</v>
      </c>
      <c r="K14" s="422">
        <v>0</v>
      </c>
    </row>
    <row r="15" spans="1:11" ht="14.4" customHeight="1" thickBot="1" x14ac:dyDescent="0.35">
      <c r="A15" s="439" t="s">
        <v>289</v>
      </c>
      <c r="B15" s="423">
        <v>4403.4489457165801</v>
      </c>
      <c r="C15" s="423">
        <v>4456.4060900000004</v>
      </c>
      <c r="D15" s="424">
        <v>52.95714428342</v>
      </c>
      <c r="E15" s="430">
        <v>1.012026287788</v>
      </c>
      <c r="F15" s="423">
        <v>4781.0815516123403</v>
      </c>
      <c r="G15" s="424">
        <v>3585.8111637092602</v>
      </c>
      <c r="H15" s="426">
        <v>775.05426</v>
      </c>
      <c r="I15" s="423">
        <v>2468.7250100000001</v>
      </c>
      <c r="J15" s="424">
        <v>-1117.0861537092601</v>
      </c>
      <c r="K15" s="431">
        <v>0.51635283425900003</v>
      </c>
    </row>
    <row r="16" spans="1:11" ht="14.4" customHeight="1" thickBot="1" x14ac:dyDescent="0.35">
      <c r="A16" s="440" t="s">
        <v>290</v>
      </c>
      <c r="B16" s="418">
        <v>3917.8563265389198</v>
      </c>
      <c r="C16" s="418">
        <v>4101.7459200000003</v>
      </c>
      <c r="D16" s="419">
        <v>183.88959346108601</v>
      </c>
      <c r="E16" s="420">
        <v>1.0469362779369999</v>
      </c>
      <c r="F16" s="418">
        <v>4217.9998671432204</v>
      </c>
      <c r="G16" s="419">
        <v>3163.4999003574198</v>
      </c>
      <c r="H16" s="421">
        <v>746.92516000000001</v>
      </c>
      <c r="I16" s="418">
        <v>2158.0312600000002</v>
      </c>
      <c r="J16" s="419">
        <v>-1005.46864035742</v>
      </c>
      <c r="K16" s="422">
        <v>0.51162430724800001</v>
      </c>
    </row>
    <row r="17" spans="1:11" ht="14.4" customHeight="1" thickBot="1" x14ac:dyDescent="0.35">
      <c r="A17" s="440" t="s">
        <v>291</v>
      </c>
      <c r="B17" s="418">
        <v>122.889438850548</v>
      </c>
      <c r="C17" s="418">
        <v>168.77743000000001</v>
      </c>
      <c r="D17" s="419">
        <v>45.887991149450997</v>
      </c>
      <c r="E17" s="420">
        <v>1.3734087451179999</v>
      </c>
      <c r="F17" s="418">
        <v>244.999994487924</v>
      </c>
      <c r="G17" s="419">
        <v>183.74999586594299</v>
      </c>
      <c r="H17" s="421">
        <v>15.879490000000001</v>
      </c>
      <c r="I17" s="418">
        <v>203.14586</v>
      </c>
      <c r="J17" s="419">
        <v>19.395864134057</v>
      </c>
      <c r="K17" s="422">
        <v>0.82916679416500005</v>
      </c>
    </row>
    <row r="18" spans="1:11" ht="14.4" customHeight="1" thickBot="1" x14ac:dyDescent="0.35">
      <c r="A18" s="440" t="s">
        <v>292</v>
      </c>
      <c r="B18" s="418">
        <v>29.757362349459999</v>
      </c>
      <c r="C18" s="418">
        <v>11.84942</v>
      </c>
      <c r="D18" s="419">
        <v>-17.907942349460001</v>
      </c>
      <c r="E18" s="420">
        <v>0.39820128749400002</v>
      </c>
      <c r="F18" s="418">
        <v>23.999999244057999</v>
      </c>
      <c r="G18" s="419">
        <v>17.999999433043001</v>
      </c>
      <c r="H18" s="421">
        <v>1.0572699999999999</v>
      </c>
      <c r="I18" s="418">
        <v>6.28355</v>
      </c>
      <c r="J18" s="419">
        <v>-11.716449433043</v>
      </c>
      <c r="K18" s="422">
        <v>0.261814591579</v>
      </c>
    </row>
    <row r="19" spans="1:11" ht="14.4" customHeight="1" thickBot="1" x14ac:dyDescent="0.35">
      <c r="A19" s="440" t="s">
        <v>293</v>
      </c>
      <c r="B19" s="418">
        <v>285.41284547706698</v>
      </c>
      <c r="C19" s="418">
        <v>153.68686</v>
      </c>
      <c r="D19" s="419">
        <v>-131.72598547706701</v>
      </c>
      <c r="E19" s="420">
        <v>0.53847212007199996</v>
      </c>
      <c r="F19" s="418">
        <v>263.99999168464001</v>
      </c>
      <c r="G19" s="419">
        <v>197.99999376348001</v>
      </c>
      <c r="H19" s="421">
        <v>9.4967000000000006</v>
      </c>
      <c r="I19" s="418">
        <v>88.106700000000004</v>
      </c>
      <c r="J19" s="419">
        <v>-109.89329376348</v>
      </c>
      <c r="K19" s="422">
        <v>0.33373751051099998</v>
      </c>
    </row>
    <row r="20" spans="1:11" ht="14.4" customHeight="1" thickBot="1" x14ac:dyDescent="0.35">
      <c r="A20" s="440" t="s">
        <v>294</v>
      </c>
      <c r="B20" s="418">
        <v>0</v>
      </c>
      <c r="C20" s="418">
        <v>8.1699999999999995E-2</v>
      </c>
      <c r="D20" s="419">
        <v>8.1699999999999995E-2</v>
      </c>
      <c r="E20" s="428" t="s">
        <v>295</v>
      </c>
      <c r="F20" s="418">
        <v>8.1699997425999996E-2</v>
      </c>
      <c r="G20" s="419">
        <v>6.1274998068999997E-2</v>
      </c>
      <c r="H20" s="421">
        <v>0</v>
      </c>
      <c r="I20" s="418">
        <v>8.1600000000000006E-2</v>
      </c>
      <c r="J20" s="419">
        <v>2.0325001929999999E-2</v>
      </c>
      <c r="K20" s="422">
        <v>0</v>
      </c>
    </row>
    <row r="21" spans="1:11" ht="14.4" customHeight="1" thickBot="1" x14ac:dyDescent="0.35">
      <c r="A21" s="440" t="s">
        <v>296</v>
      </c>
      <c r="B21" s="418">
        <v>16.369401562176002</v>
      </c>
      <c r="C21" s="418">
        <v>7.3203199999999997</v>
      </c>
      <c r="D21" s="419">
        <v>-9.0490815621759992</v>
      </c>
      <c r="E21" s="420">
        <v>0.44719533406200002</v>
      </c>
      <c r="F21" s="418">
        <v>13.999999559033</v>
      </c>
      <c r="G21" s="419">
        <v>10.499999669275001</v>
      </c>
      <c r="H21" s="421">
        <v>0.21099999999999999</v>
      </c>
      <c r="I21" s="418">
        <v>2.4590000000000001</v>
      </c>
      <c r="J21" s="419">
        <v>-8.0409996692749992</v>
      </c>
      <c r="K21" s="422">
        <v>0.17564286267500001</v>
      </c>
    </row>
    <row r="22" spans="1:11" ht="14.4" customHeight="1" thickBot="1" x14ac:dyDescent="0.35">
      <c r="A22" s="440" t="s">
        <v>297</v>
      </c>
      <c r="B22" s="418">
        <v>31.163570938414001</v>
      </c>
      <c r="C22" s="418">
        <v>12.94444</v>
      </c>
      <c r="D22" s="419">
        <v>-18.219130938414001</v>
      </c>
      <c r="E22" s="420">
        <v>0.41537088370199998</v>
      </c>
      <c r="F22" s="418">
        <v>15.999999496038001</v>
      </c>
      <c r="G22" s="419">
        <v>11.999999622029</v>
      </c>
      <c r="H22" s="421">
        <v>1.48464</v>
      </c>
      <c r="I22" s="418">
        <v>10.617039999999999</v>
      </c>
      <c r="J22" s="419">
        <v>-1.3829596220289999</v>
      </c>
      <c r="K22" s="422">
        <v>0.66356502090000002</v>
      </c>
    </row>
    <row r="23" spans="1:11" ht="14.4" customHeight="1" thickBot="1" x14ac:dyDescent="0.35">
      <c r="A23" s="439" t="s">
        <v>298</v>
      </c>
      <c r="B23" s="423">
        <v>129.733234849436</v>
      </c>
      <c r="C23" s="423">
        <v>118.87909999999999</v>
      </c>
      <c r="D23" s="424">
        <v>-10.854134849435001</v>
      </c>
      <c r="E23" s="430">
        <v>0.91633497104999995</v>
      </c>
      <c r="F23" s="423">
        <v>121.568222116962</v>
      </c>
      <c r="G23" s="424">
        <v>91.176166587720999</v>
      </c>
      <c r="H23" s="426">
        <v>9.6587700000000005</v>
      </c>
      <c r="I23" s="423">
        <v>70.784719999999993</v>
      </c>
      <c r="J23" s="424">
        <v>-20.391446587720999</v>
      </c>
      <c r="K23" s="431">
        <v>0.58226334783300004</v>
      </c>
    </row>
    <row r="24" spans="1:11" ht="14.4" customHeight="1" thickBot="1" x14ac:dyDescent="0.35">
      <c r="A24" s="440" t="s">
        <v>299</v>
      </c>
      <c r="B24" s="418">
        <v>2.318597316405</v>
      </c>
      <c r="C24" s="418">
        <v>2.7110699999999999</v>
      </c>
      <c r="D24" s="419">
        <v>0.392472683594</v>
      </c>
      <c r="E24" s="420">
        <v>1.1692716026259999</v>
      </c>
      <c r="F24" s="418">
        <v>2.5879877795519999</v>
      </c>
      <c r="G24" s="419">
        <v>1.9409908346639999</v>
      </c>
      <c r="H24" s="421">
        <v>0.218</v>
      </c>
      <c r="I24" s="418">
        <v>0.218</v>
      </c>
      <c r="J24" s="419">
        <v>-1.7229908346639999</v>
      </c>
      <c r="K24" s="422">
        <v>8.4235328203999996E-2</v>
      </c>
    </row>
    <row r="25" spans="1:11" ht="14.4" customHeight="1" thickBot="1" x14ac:dyDescent="0.35">
      <c r="A25" s="440" t="s">
        <v>300</v>
      </c>
      <c r="B25" s="418">
        <v>3.247166154326</v>
      </c>
      <c r="C25" s="418">
        <v>3.0940400000000001</v>
      </c>
      <c r="D25" s="419">
        <v>-0.15312615432599999</v>
      </c>
      <c r="E25" s="420">
        <v>0.95284314166499995</v>
      </c>
      <c r="F25" s="418">
        <v>3.9999999685019998</v>
      </c>
      <c r="G25" s="419">
        <v>2.9999999763759999</v>
      </c>
      <c r="H25" s="421">
        <v>0.18457999999999999</v>
      </c>
      <c r="I25" s="418">
        <v>2.3604099999999999</v>
      </c>
      <c r="J25" s="419">
        <v>-0.63958997637600001</v>
      </c>
      <c r="K25" s="422">
        <v>0.590102504646</v>
      </c>
    </row>
    <row r="26" spans="1:11" ht="14.4" customHeight="1" thickBot="1" x14ac:dyDescent="0.35">
      <c r="A26" s="440" t="s">
        <v>301</v>
      </c>
      <c r="B26" s="418">
        <v>7.4991124676799998</v>
      </c>
      <c r="C26" s="418">
        <v>8.7327399999999997</v>
      </c>
      <c r="D26" s="419">
        <v>1.233627532319</v>
      </c>
      <c r="E26" s="420">
        <v>1.1645031378890001</v>
      </c>
      <c r="F26" s="418">
        <v>11</v>
      </c>
      <c r="G26" s="419">
        <v>8.25</v>
      </c>
      <c r="H26" s="421">
        <v>1.9292499999999999</v>
      </c>
      <c r="I26" s="418">
        <v>9.9404400000000006</v>
      </c>
      <c r="J26" s="419">
        <v>1.6904399999999999</v>
      </c>
      <c r="K26" s="422">
        <v>0.90367636363600001</v>
      </c>
    </row>
    <row r="27" spans="1:11" ht="14.4" customHeight="1" thickBot="1" x14ac:dyDescent="0.35">
      <c r="A27" s="440" t="s">
        <v>302</v>
      </c>
      <c r="B27" s="418">
        <v>38.923525075736002</v>
      </c>
      <c r="C27" s="418">
        <v>29.888549999999999</v>
      </c>
      <c r="D27" s="419">
        <v>-9.0349750757359999</v>
      </c>
      <c r="E27" s="420">
        <v>0.767878807015</v>
      </c>
      <c r="F27" s="418">
        <v>23.999999244057999</v>
      </c>
      <c r="G27" s="419">
        <v>17.999999433043001</v>
      </c>
      <c r="H27" s="421">
        <v>3.3397800000000002</v>
      </c>
      <c r="I27" s="418">
        <v>14.974449999999999</v>
      </c>
      <c r="J27" s="419">
        <v>-3.0255494330429999</v>
      </c>
      <c r="K27" s="422">
        <v>0.62393543631899995</v>
      </c>
    </row>
    <row r="28" spans="1:11" ht="14.4" customHeight="1" thickBot="1" x14ac:dyDescent="0.35">
      <c r="A28" s="440" t="s">
        <v>303</v>
      </c>
      <c r="B28" s="418">
        <v>2.9997569216720001</v>
      </c>
      <c r="C28" s="418">
        <v>1.1064000000000001</v>
      </c>
      <c r="D28" s="419">
        <v>-1.8933569216720001</v>
      </c>
      <c r="E28" s="420">
        <v>0.36882988485000001</v>
      </c>
      <c r="F28" s="418">
        <v>2.9999999055069999</v>
      </c>
      <c r="G28" s="419">
        <v>2.2499999291299999</v>
      </c>
      <c r="H28" s="421">
        <v>0</v>
      </c>
      <c r="I28" s="418">
        <v>1.4594</v>
      </c>
      <c r="J28" s="419">
        <v>-0.79059992912999999</v>
      </c>
      <c r="K28" s="422">
        <v>0.486466681989</v>
      </c>
    </row>
    <row r="29" spans="1:11" ht="14.4" customHeight="1" thickBot="1" x14ac:dyDescent="0.35">
      <c r="A29" s="440" t="s">
        <v>304</v>
      </c>
      <c r="B29" s="418">
        <v>3.3862470025999999E-2</v>
      </c>
      <c r="C29" s="418">
        <v>0</v>
      </c>
      <c r="D29" s="419">
        <v>-3.3862470025999999E-2</v>
      </c>
      <c r="E29" s="420">
        <v>0</v>
      </c>
      <c r="F29" s="418">
        <v>0</v>
      </c>
      <c r="G29" s="419">
        <v>0</v>
      </c>
      <c r="H29" s="421">
        <v>0</v>
      </c>
      <c r="I29" s="418">
        <v>0</v>
      </c>
      <c r="J29" s="419">
        <v>0</v>
      </c>
      <c r="K29" s="422">
        <v>0</v>
      </c>
    </row>
    <row r="30" spans="1:11" ht="14.4" customHeight="1" thickBot="1" x14ac:dyDescent="0.35">
      <c r="A30" s="440" t="s">
        <v>305</v>
      </c>
      <c r="B30" s="418">
        <v>7.4461075476000005E-2</v>
      </c>
      <c r="C30" s="418">
        <v>7.9659999999999995E-2</v>
      </c>
      <c r="D30" s="419">
        <v>5.1989245229999998E-3</v>
      </c>
      <c r="E30" s="420">
        <v>1.0698207014959999</v>
      </c>
      <c r="F30" s="418">
        <v>4.6271731801999998E-2</v>
      </c>
      <c r="G30" s="419">
        <v>3.4703798851999999E-2</v>
      </c>
      <c r="H30" s="421">
        <v>0</v>
      </c>
      <c r="I30" s="418">
        <v>0</v>
      </c>
      <c r="J30" s="419">
        <v>-3.4703798851999999E-2</v>
      </c>
      <c r="K30" s="422">
        <v>0</v>
      </c>
    </row>
    <row r="31" spans="1:11" ht="14.4" customHeight="1" thickBot="1" x14ac:dyDescent="0.35">
      <c r="A31" s="440" t="s">
        <v>306</v>
      </c>
      <c r="B31" s="418">
        <v>0.89250420355500004</v>
      </c>
      <c r="C31" s="418">
        <v>0</v>
      </c>
      <c r="D31" s="419">
        <v>-0.89250420355500004</v>
      </c>
      <c r="E31" s="420">
        <v>0</v>
      </c>
      <c r="F31" s="418">
        <v>2</v>
      </c>
      <c r="G31" s="419">
        <v>1.5</v>
      </c>
      <c r="H31" s="421">
        <v>0</v>
      </c>
      <c r="I31" s="418">
        <v>1.96262</v>
      </c>
      <c r="J31" s="419">
        <v>0.46261999999999998</v>
      </c>
      <c r="K31" s="422">
        <v>0.98131000000000002</v>
      </c>
    </row>
    <row r="32" spans="1:11" ht="14.4" customHeight="1" thickBot="1" x14ac:dyDescent="0.35">
      <c r="A32" s="440" t="s">
        <v>307</v>
      </c>
      <c r="B32" s="418">
        <v>42.733019277259999</v>
      </c>
      <c r="C32" s="418">
        <v>32.638919999999999</v>
      </c>
      <c r="D32" s="419">
        <v>-10.09409927726</v>
      </c>
      <c r="E32" s="420">
        <v>0.76378689247800002</v>
      </c>
      <c r="F32" s="418">
        <v>30.933964148988</v>
      </c>
      <c r="G32" s="419">
        <v>23.200473111741001</v>
      </c>
      <c r="H32" s="421">
        <v>0.20569999999999999</v>
      </c>
      <c r="I32" s="418">
        <v>9.1706199999999995</v>
      </c>
      <c r="J32" s="419">
        <v>-14.029853111741</v>
      </c>
      <c r="K32" s="422">
        <v>0.29645796302799998</v>
      </c>
    </row>
    <row r="33" spans="1:11" ht="14.4" customHeight="1" thickBot="1" x14ac:dyDescent="0.35">
      <c r="A33" s="440" t="s">
        <v>308</v>
      </c>
      <c r="B33" s="418">
        <v>28.124744832874999</v>
      </c>
      <c r="C33" s="418">
        <v>29.025279999999999</v>
      </c>
      <c r="D33" s="419">
        <v>0.90053516712399995</v>
      </c>
      <c r="E33" s="420">
        <v>1.032019318663</v>
      </c>
      <c r="F33" s="418">
        <v>33.999999653525997</v>
      </c>
      <c r="G33" s="419">
        <v>25.499999740145</v>
      </c>
      <c r="H33" s="421">
        <v>2.8376600000000001</v>
      </c>
      <c r="I33" s="418">
        <v>16.541779999999999</v>
      </c>
      <c r="J33" s="419">
        <v>-8.9582197401439991</v>
      </c>
      <c r="K33" s="422">
        <v>0.48652294613399999</v>
      </c>
    </row>
    <row r="34" spans="1:11" ht="14.4" customHeight="1" thickBot="1" x14ac:dyDescent="0.35">
      <c r="A34" s="440" t="s">
        <v>309</v>
      </c>
      <c r="B34" s="418">
        <v>0</v>
      </c>
      <c r="C34" s="418">
        <v>0.03</v>
      </c>
      <c r="D34" s="419">
        <v>0.03</v>
      </c>
      <c r="E34" s="428" t="s">
        <v>295</v>
      </c>
      <c r="F34" s="418">
        <v>0</v>
      </c>
      <c r="G34" s="419">
        <v>0</v>
      </c>
      <c r="H34" s="421">
        <v>0</v>
      </c>
      <c r="I34" s="418">
        <v>0</v>
      </c>
      <c r="J34" s="419">
        <v>0</v>
      </c>
      <c r="K34" s="429" t="s">
        <v>278</v>
      </c>
    </row>
    <row r="35" spans="1:11" ht="14.4" customHeight="1" thickBot="1" x14ac:dyDescent="0.35">
      <c r="A35" s="440" t="s">
        <v>310</v>
      </c>
      <c r="B35" s="418">
        <v>2.8864850544179999</v>
      </c>
      <c r="C35" s="418">
        <v>11.57244</v>
      </c>
      <c r="D35" s="419">
        <v>8.6859549455810008</v>
      </c>
      <c r="E35" s="420">
        <v>4.0091806407529997</v>
      </c>
      <c r="F35" s="418">
        <v>9.9999996850239992</v>
      </c>
      <c r="G35" s="419">
        <v>7.4999997637679998</v>
      </c>
      <c r="H35" s="421">
        <v>0.94379999999999997</v>
      </c>
      <c r="I35" s="418">
        <v>14.157</v>
      </c>
      <c r="J35" s="419">
        <v>6.6570002362310001</v>
      </c>
      <c r="K35" s="422">
        <v>1.415700044591</v>
      </c>
    </row>
    <row r="36" spans="1:11" ht="14.4" customHeight="1" thickBot="1" x14ac:dyDescent="0.35">
      <c r="A36" s="439" t="s">
        <v>311</v>
      </c>
      <c r="B36" s="423">
        <v>10.535080868799</v>
      </c>
      <c r="C36" s="423">
        <v>8.0173299999999994</v>
      </c>
      <c r="D36" s="424">
        <v>-2.5177508687989998</v>
      </c>
      <c r="E36" s="430">
        <v>0.76101266804099998</v>
      </c>
      <c r="F36" s="423">
        <v>1.999999937004</v>
      </c>
      <c r="G36" s="424">
        <v>1.4999999527529999</v>
      </c>
      <c r="H36" s="426">
        <v>0</v>
      </c>
      <c r="I36" s="423">
        <v>12.563470000000001</v>
      </c>
      <c r="J36" s="424">
        <v>11.063470047246</v>
      </c>
      <c r="K36" s="431">
        <v>6.2817351978589997</v>
      </c>
    </row>
    <row r="37" spans="1:11" ht="14.4" customHeight="1" thickBot="1" x14ac:dyDescent="0.35">
      <c r="A37" s="440" t="s">
        <v>312</v>
      </c>
      <c r="B37" s="418">
        <v>8.5347078727689993</v>
      </c>
      <c r="C37" s="418">
        <v>0</v>
      </c>
      <c r="D37" s="419">
        <v>-8.5347078727689993</v>
      </c>
      <c r="E37" s="420">
        <v>0</v>
      </c>
      <c r="F37" s="418">
        <v>0</v>
      </c>
      <c r="G37" s="419">
        <v>0</v>
      </c>
      <c r="H37" s="421">
        <v>0</v>
      </c>
      <c r="I37" s="418">
        <v>4.9660000000000002</v>
      </c>
      <c r="J37" s="419">
        <v>4.9660000000000002</v>
      </c>
      <c r="K37" s="429" t="s">
        <v>295</v>
      </c>
    </row>
    <row r="38" spans="1:11" ht="14.4" customHeight="1" thickBot="1" x14ac:dyDescent="0.35">
      <c r="A38" s="440" t="s">
        <v>313</v>
      </c>
      <c r="B38" s="418">
        <v>0</v>
      </c>
      <c r="C38" s="418">
        <v>0</v>
      </c>
      <c r="D38" s="419">
        <v>0</v>
      </c>
      <c r="E38" s="420">
        <v>1</v>
      </c>
      <c r="F38" s="418">
        <v>0</v>
      </c>
      <c r="G38" s="419">
        <v>0</v>
      </c>
      <c r="H38" s="421">
        <v>0</v>
      </c>
      <c r="I38" s="418">
        <v>5.7474999999999996</v>
      </c>
      <c r="J38" s="419">
        <v>5.7474999999999996</v>
      </c>
      <c r="K38" s="429" t="s">
        <v>295</v>
      </c>
    </row>
    <row r="39" spans="1:11" ht="14.4" customHeight="1" thickBot="1" x14ac:dyDescent="0.35">
      <c r="A39" s="440" t="s">
        <v>314</v>
      </c>
      <c r="B39" s="418">
        <v>0</v>
      </c>
      <c r="C39" s="418">
        <v>7.7</v>
      </c>
      <c r="D39" s="419">
        <v>7.7</v>
      </c>
      <c r="E39" s="428" t="s">
        <v>295</v>
      </c>
      <c r="F39" s="418">
        <v>0</v>
      </c>
      <c r="G39" s="419">
        <v>0</v>
      </c>
      <c r="H39" s="421">
        <v>0</v>
      </c>
      <c r="I39" s="418">
        <v>0</v>
      </c>
      <c r="J39" s="419">
        <v>0</v>
      </c>
      <c r="K39" s="429" t="s">
        <v>278</v>
      </c>
    </row>
    <row r="40" spans="1:11" ht="14.4" customHeight="1" thickBot="1" x14ac:dyDescent="0.35">
      <c r="A40" s="440" t="s">
        <v>315</v>
      </c>
      <c r="B40" s="418">
        <v>2.0003729960299999</v>
      </c>
      <c r="C40" s="418">
        <v>0.31733</v>
      </c>
      <c r="D40" s="419">
        <v>-1.6830429960290001</v>
      </c>
      <c r="E40" s="420">
        <v>0.15863541480999999</v>
      </c>
      <c r="F40" s="418">
        <v>1.999999937004</v>
      </c>
      <c r="G40" s="419">
        <v>1.4999999527529999</v>
      </c>
      <c r="H40" s="421">
        <v>0</v>
      </c>
      <c r="I40" s="418">
        <v>1.8499699999999999</v>
      </c>
      <c r="J40" s="419">
        <v>0.349970047246</v>
      </c>
      <c r="K40" s="422">
        <v>0.92498502913400005</v>
      </c>
    </row>
    <row r="41" spans="1:11" ht="14.4" customHeight="1" thickBot="1" x14ac:dyDescent="0.35">
      <c r="A41" s="439" t="s">
        <v>316</v>
      </c>
      <c r="B41" s="423">
        <v>21.868244685320999</v>
      </c>
      <c r="C41" s="423">
        <v>15.210089999999999</v>
      </c>
      <c r="D41" s="424">
        <v>-6.6581546853209996</v>
      </c>
      <c r="E41" s="430">
        <v>0.69553319065399999</v>
      </c>
      <c r="F41" s="423">
        <v>17.999999433043001</v>
      </c>
      <c r="G41" s="424">
        <v>13.499999574782001</v>
      </c>
      <c r="H41" s="426">
        <v>6.4820799999999998</v>
      </c>
      <c r="I41" s="423">
        <v>20.236730000000001</v>
      </c>
      <c r="J41" s="424">
        <v>6.7367304252169999</v>
      </c>
      <c r="K41" s="431">
        <v>1.124262813189</v>
      </c>
    </row>
    <row r="42" spans="1:11" ht="14.4" customHeight="1" thickBot="1" x14ac:dyDescent="0.35">
      <c r="A42" s="440" t="s">
        <v>317</v>
      </c>
      <c r="B42" s="418">
        <v>8.8698950268579999</v>
      </c>
      <c r="C42" s="418">
        <v>7.5001100000000003</v>
      </c>
      <c r="D42" s="419">
        <v>-1.3697850268580001</v>
      </c>
      <c r="E42" s="420">
        <v>0.84556919527100005</v>
      </c>
      <c r="F42" s="418">
        <v>8.9999997165209997</v>
      </c>
      <c r="G42" s="419">
        <v>6.7499997873910003</v>
      </c>
      <c r="H42" s="421">
        <v>5.1504200000000004</v>
      </c>
      <c r="I42" s="418">
        <v>17.36307</v>
      </c>
      <c r="J42" s="419">
        <v>10.613070212607999</v>
      </c>
      <c r="K42" s="422">
        <v>1.929230060766</v>
      </c>
    </row>
    <row r="43" spans="1:11" ht="14.4" customHeight="1" thickBot="1" x14ac:dyDescent="0.35">
      <c r="A43" s="440" t="s">
        <v>318</v>
      </c>
      <c r="B43" s="418">
        <v>0</v>
      </c>
      <c r="C43" s="418">
        <v>0</v>
      </c>
      <c r="D43" s="419">
        <v>0</v>
      </c>
      <c r="E43" s="420">
        <v>1</v>
      </c>
      <c r="F43" s="418">
        <v>0</v>
      </c>
      <c r="G43" s="419">
        <v>0</v>
      </c>
      <c r="H43" s="421">
        <v>0.64685999999999999</v>
      </c>
      <c r="I43" s="418">
        <v>0.64685999999999999</v>
      </c>
      <c r="J43" s="419">
        <v>0.64685999999999999</v>
      </c>
      <c r="K43" s="429" t="s">
        <v>295</v>
      </c>
    </row>
    <row r="44" spans="1:11" ht="14.4" customHeight="1" thickBot="1" x14ac:dyDescent="0.35">
      <c r="A44" s="440" t="s">
        <v>319</v>
      </c>
      <c r="B44" s="418">
        <v>0</v>
      </c>
      <c r="C44" s="418">
        <v>0</v>
      </c>
      <c r="D44" s="419">
        <v>0</v>
      </c>
      <c r="E44" s="428" t="s">
        <v>278</v>
      </c>
      <c r="F44" s="418">
        <v>0</v>
      </c>
      <c r="G44" s="419">
        <v>0</v>
      </c>
      <c r="H44" s="421">
        <v>0</v>
      </c>
      <c r="I44" s="418">
        <v>0.11568000000000001</v>
      </c>
      <c r="J44" s="419">
        <v>0.11568000000000001</v>
      </c>
      <c r="K44" s="429" t="s">
        <v>295</v>
      </c>
    </row>
    <row r="45" spans="1:11" ht="14.4" customHeight="1" thickBot="1" x14ac:dyDescent="0.35">
      <c r="A45" s="440" t="s">
        <v>320</v>
      </c>
      <c r="B45" s="418">
        <v>0.99998058253599997</v>
      </c>
      <c r="C45" s="418">
        <v>0.72851999999999995</v>
      </c>
      <c r="D45" s="419">
        <v>-0.27146058253599997</v>
      </c>
      <c r="E45" s="420">
        <v>0.72853414628500002</v>
      </c>
      <c r="F45" s="418">
        <v>0.99999996850200001</v>
      </c>
      <c r="G45" s="419">
        <v>0.74999997637600002</v>
      </c>
      <c r="H45" s="421">
        <v>0.38419999999999999</v>
      </c>
      <c r="I45" s="418">
        <v>0.76839999999999997</v>
      </c>
      <c r="J45" s="419">
        <v>1.8400023623E-2</v>
      </c>
      <c r="K45" s="422">
        <v>0.76840002420200004</v>
      </c>
    </row>
    <row r="46" spans="1:11" ht="14.4" customHeight="1" thickBot="1" x14ac:dyDescent="0.35">
      <c r="A46" s="440" t="s">
        <v>321</v>
      </c>
      <c r="B46" s="418">
        <v>11.998369075926</v>
      </c>
      <c r="C46" s="418">
        <v>6.9814600000000002</v>
      </c>
      <c r="D46" s="419">
        <v>-5.0169090759259998</v>
      </c>
      <c r="E46" s="420">
        <v>0.58186741513100004</v>
      </c>
      <c r="F46" s="418">
        <v>7.9999997480190004</v>
      </c>
      <c r="G46" s="419">
        <v>5.9999998110139998</v>
      </c>
      <c r="H46" s="421">
        <v>0.30059999999999998</v>
      </c>
      <c r="I46" s="418">
        <v>1.3427199999999999</v>
      </c>
      <c r="J46" s="419">
        <v>-4.6572798110139999</v>
      </c>
      <c r="K46" s="422">
        <v>0.16784000528599999</v>
      </c>
    </row>
    <row r="47" spans="1:11" ht="14.4" customHeight="1" thickBot="1" x14ac:dyDescent="0.35">
      <c r="A47" s="439" t="s">
        <v>322</v>
      </c>
      <c r="B47" s="423">
        <v>0</v>
      </c>
      <c r="C47" s="423">
        <v>11.58882</v>
      </c>
      <c r="D47" s="424">
        <v>11.58882</v>
      </c>
      <c r="E47" s="425" t="s">
        <v>295</v>
      </c>
      <c r="F47" s="423">
        <v>0</v>
      </c>
      <c r="G47" s="424">
        <v>0</v>
      </c>
      <c r="H47" s="426">
        <v>0</v>
      </c>
      <c r="I47" s="423">
        <v>0</v>
      </c>
      <c r="J47" s="424">
        <v>0</v>
      </c>
      <c r="K47" s="431">
        <v>0</v>
      </c>
    </row>
    <row r="48" spans="1:11" ht="14.4" customHeight="1" thickBot="1" x14ac:dyDescent="0.35">
      <c r="A48" s="440" t="s">
        <v>323</v>
      </c>
      <c r="B48" s="418">
        <v>0</v>
      </c>
      <c r="C48" s="418">
        <v>11.58882</v>
      </c>
      <c r="D48" s="419">
        <v>11.58882</v>
      </c>
      <c r="E48" s="428" t="s">
        <v>295</v>
      </c>
      <c r="F48" s="418">
        <v>0</v>
      </c>
      <c r="G48" s="419">
        <v>0</v>
      </c>
      <c r="H48" s="421">
        <v>0</v>
      </c>
      <c r="I48" s="418">
        <v>0</v>
      </c>
      <c r="J48" s="419">
        <v>0</v>
      </c>
      <c r="K48" s="422">
        <v>0</v>
      </c>
    </row>
    <row r="49" spans="1:11" ht="14.4" customHeight="1" thickBot="1" x14ac:dyDescent="0.35">
      <c r="A49" s="438" t="s">
        <v>42</v>
      </c>
      <c r="B49" s="418">
        <v>255.98500559919199</v>
      </c>
      <c r="C49" s="418">
        <v>213.74</v>
      </c>
      <c r="D49" s="419">
        <v>-42.245005599191998</v>
      </c>
      <c r="E49" s="420">
        <v>0.83497078080599996</v>
      </c>
      <c r="F49" s="418">
        <v>178.61167656012799</v>
      </c>
      <c r="G49" s="419">
        <v>133.95875742009599</v>
      </c>
      <c r="H49" s="421">
        <v>10.382999999999999</v>
      </c>
      <c r="I49" s="418">
        <v>120.364</v>
      </c>
      <c r="J49" s="419">
        <v>-13.594757420096</v>
      </c>
      <c r="K49" s="422">
        <v>0.67388651356999996</v>
      </c>
    </row>
    <row r="50" spans="1:11" ht="14.4" customHeight="1" thickBot="1" x14ac:dyDescent="0.35">
      <c r="A50" s="439" t="s">
        <v>324</v>
      </c>
      <c r="B50" s="423">
        <v>255.98500559919199</v>
      </c>
      <c r="C50" s="423">
        <v>213.74</v>
      </c>
      <c r="D50" s="424">
        <v>-42.245005599191998</v>
      </c>
      <c r="E50" s="430">
        <v>0.83497078080599996</v>
      </c>
      <c r="F50" s="423">
        <v>178.61167656012799</v>
      </c>
      <c r="G50" s="424">
        <v>133.95875742009599</v>
      </c>
      <c r="H50" s="426">
        <v>10.382999999999999</v>
      </c>
      <c r="I50" s="423">
        <v>120.364</v>
      </c>
      <c r="J50" s="424">
        <v>-13.594757420096</v>
      </c>
      <c r="K50" s="431">
        <v>0.67388651356999996</v>
      </c>
    </row>
    <row r="51" spans="1:11" ht="14.4" customHeight="1" thickBot="1" x14ac:dyDescent="0.35">
      <c r="A51" s="440" t="s">
        <v>325</v>
      </c>
      <c r="B51" s="418">
        <v>73.803256557899999</v>
      </c>
      <c r="C51" s="418">
        <v>58.587000000000003</v>
      </c>
      <c r="D51" s="419">
        <v>-15.2162565579</v>
      </c>
      <c r="E51" s="420">
        <v>0.793826759582</v>
      </c>
      <c r="F51" s="418">
        <v>56.611680402832</v>
      </c>
      <c r="G51" s="419">
        <v>42.458760302123999</v>
      </c>
      <c r="H51" s="421">
        <v>5.0010000000000003</v>
      </c>
      <c r="I51" s="418">
        <v>46.014000000000003</v>
      </c>
      <c r="J51" s="419">
        <v>3.5552396978749998</v>
      </c>
      <c r="K51" s="422">
        <v>0.812800462246</v>
      </c>
    </row>
    <row r="52" spans="1:11" ht="14.4" customHeight="1" thickBot="1" x14ac:dyDescent="0.35">
      <c r="A52" s="440" t="s">
        <v>326</v>
      </c>
      <c r="B52" s="418">
        <v>78.006303281255001</v>
      </c>
      <c r="C52" s="418">
        <v>66.41</v>
      </c>
      <c r="D52" s="419">
        <v>-11.596303281255</v>
      </c>
      <c r="E52" s="420">
        <v>0.85134145840099995</v>
      </c>
      <c r="F52" s="418">
        <v>27.999999118066999</v>
      </c>
      <c r="G52" s="419">
        <v>20.999999338550001</v>
      </c>
      <c r="H52" s="421">
        <v>2.25</v>
      </c>
      <c r="I52" s="418">
        <v>19.190000000000001</v>
      </c>
      <c r="J52" s="419">
        <v>-1.8099993385499999</v>
      </c>
      <c r="K52" s="422">
        <v>0.68535716444399997</v>
      </c>
    </row>
    <row r="53" spans="1:11" ht="14.4" customHeight="1" thickBot="1" x14ac:dyDescent="0.35">
      <c r="A53" s="440" t="s">
        <v>327</v>
      </c>
      <c r="B53" s="418">
        <v>104.175445760036</v>
      </c>
      <c r="C53" s="418">
        <v>88.742999999999995</v>
      </c>
      <c r="D53" s="419">
        <v>-15.432445760036</v>
      </c>
      <c r="E53" s="420">
        <v>0.85186100575299994</v>
      </c>
      <c r="F53" s="418">
        <v>93.999997039228006</v>
      </c>
      <c r="G53" s="419">
        <v>70.499997779420994</v>
      </c>
      <c r="H53" s="421">
        <v>3.1320000000000001</v>
      </c>
      <c r="I53" s="418">
        <v>55.16</v>
      </c>
      <c r="J53" s="419">
        <v>-15.339997779420999</v>
      </c>
      <c r="K53" s="422">
        <v>0.58680852912100001</v>
      </c>
    </row>
    <row r="54" spans="1:11" ht="14.4" customHeight="1" thickBot="1" x14ac:dyDescent="0.35">
      <c r="A54" s="441" t="s">
        <v>328</v>
      </c>
      <c r="B54" s="423">
        <v>2082.4881862134298</v>
      </c>
      <c r="C54" s="423">
        <v>2180.4342999999999</v>
      </c>
      <c r="D54" s="424">
        <v>97.946113786574003</v>
      </c>
      <c r="E54" s="430">
        <v>1.0470332146100001</v>
      </c>
      <c r="F54" s="423">
        <v>2084.7233807326702</v>
      </c>
      <c r="G54" s="424">
        <v>1563.5425355494999</v>
      </c>
      <c r="H54" s="426">
        <v>86.549639999999997</v>
      </c>
      <c r="I54" s="423">
        <v>947.41780000000006</v>
      </c>
      <c r="J54" s="424">
        <v>-616.12473554950304</v>
      </c>
      <c r="K54" s="431">
        <v>0.45445731973600001</v>
      </c>
    </row>
    <row r="55" spans="1:11" ht="14.4" customHeight="1" thickBot="1" x14ac:dyDescent="0.35">
      <c r="A55" s="438" t="s">
        <v>45</v>
      </c>
      <c r="B55" s="418">
        <v>679.88707680600999</v>
      </c>
      <c r="C55" s="418">
        <v>921.14341999999999</v>
      </c>
      <c r="D55" s="419">
        <v>241.25634319399001</v>
      </c>
      <c r="E55" s="420">
        <v>1.354847667244</v>
      </c>
      <c r="F55" s="418">
        <v>907.19417182578798</v>
      </c>
      <c r="G55" s="419">
        <v>680.39562886934095</v>
      </c>
      <c r="H55" s="421">
        <v>2.7964099999999998</v>
      </c>
      <c r="I55" s="418">
        <v>60.156199999999998</v>
      </c>
      <c r="J55" s="419">
        <v>-620.23942886934105</v>
      </c>
      <c r="K55" s="422">
        <v>6.6310170267999999E-2</v>
      </c>
    </row>
    <row r="56" spans="1:11" ht="14.4" customHeight="1" thickBot="1" x14ac:dyDescent="0.35">
      <c r="A56" s="442" t="s">
        <v>329</v>
      </c>
      <c r="B56" s="418">
        <v>679.88707680600999</v>
      </c>
      <c r="C56" s="418">
        <v>921.14341999999999</v>
      </c>
      <c r="D56" s="419">
        <v>241.25634319399001</v>
      </c>
      <c r="E56" s="420">
        <v>1.354847667244</v>
      </c>
      <c r="F56" s="418">
        <v>907.19417182578798</v>
      </c>
      <c r="G56" s="419">
        <v>680.39562886934095</v>
      </c>
      <c r="H56" s="421">
        <v>2.7964099999999998</v>
      </c>
      <c r="I56" s="418">
        <v>60.156199999999998</v>
      </c>
      <c r="J56" s="419">
        <v>-620.23942886934105</v>
      </c>
      <c r="K56" s="422">
        <v>6.6310170267999999E-2</v>
      </c>
    </row>
    <row r="57" spans="1:11" ht="14.4" customHeight="1" thickBot="1" x14ac:dyDescent="0.35">
      <c r="A57" s="440" t="s">
        <v>330</v>
      </c>
      <c r="B57" s="418">
        <v>586.00353261079397</v>
      </c>
      <c r="C57" s="418">
        <v>809.90670999999998</v>
      </c>
      <c r="D57" s="419">
        <v>223.90317738920601</v>
      </c>
      <c r="E57" s="420">
        <v>1.382085030087</v>
      </c>
      <c r="F57" s="418">
        <v>807.61617027596901</v>
      </c>
      <c r="G57" s="419">
        <v>605.71212770697696</v>
      </c>
      <c r="H57" s="421">
        <v>0</v>
      </c>
      <c r="I57" s="418">
        <v>25.053999999999998</v>
      </c>
      <c r="J57" s="419">
        <v>-580.65812770697698</v>
      </c>
      <c r="K57" s="422">
        <v>3.1022162410000002E-2</v>
      </c>
    </row>
    <row r="58" spans="1:11" ht="14.4" customHeight="1" thickBot="1" x14ac:dyDescent="0.35">
      <c r="A58" s="440" t="s">
        <v>331</v>
      </c>
      <c r="B58" s="418">
        <v>0</v>
      </c>
      <c r="C58" s="418">
        <v>4.9249999999999998</v>
      </c>
      <c r="D58" s="419">
        <v>4.9249999999999998</v>
      </c>
      <c r="E58" s="428" t="s">
        <v>295</v>
      </c>
      <c r="F58" s="418">
        <v>6.3033006090789998</v>
      </c>
      <c r="G58" s="419">
        <v>4.7274754568089996</v>
      </c>
      <c r="H58" s="421">
        <v>0</v>
      </c>
      <c r="I58" s="418">
        <v>0</v>
      </c>
      <c r="J58" s="419">
        <v>-4.7274754568089996</v>
      </c>
      <c r="K58" s="422">
        <v>0</v>
      </c>
    </row>
    <row r="59" spans="1:11" ht="14.4" customHeight="1" thickBot="1" x14ac:dyDescent="0.35">
      <c r="A59" s="440" t="s">
        <v>332</v>
      </c>
      <c r="B59" s="418">
        <v>0</v>
      </c>
      <c r="C59" s="418">
        <v>4.2446000000000002</v>
      </c>
      <c r="D59" s="419">
        <v>4.2446000000000002</v>
      </c>
      <c r="E59" s="428" t="s">
        <v>295</v>
      </c>
      <c r="F59" s="418">
        <v>4.0010879048519996</v>
      </c>
      <c r="G59" s="419">
        <v>3.0008159286390002</v>
      </c>
      <c r="H59" s="421">
        <v>0</v>
      </c>
      <c r="I59" s="418">
        <v>15.36735</v>
      </c>
      <c r="J59" s="419">
        <v>12.36653407136</v>
      </c>
      <c r="K59" s="422">
        <v>3.8407928956930002</v>
      </c>
    </row>
    <row r="60" spans="1:11" ht="14.4" customHeight="1" thickBot="1" x14ac:dyDescent="0.35">
      <c r="A60" s="440" t="s">
        <v>333</v>
      </c>
      <c r="B60" s="418">
        <v>54.999907143310999</v>
      </c>
      <c r="C60" s="418">
        <v>47.810650000000003</v>
      </c>
      <c r="D60" s="419">
        <v>-7.189257143311</v>
      </c>
      <c r="E60" s="420">
        <v>0.86928601307300002</v>
      </c>
      <c r="F60" s="418">
        <v>35.999998866086997</v>
      </c>
      <c r="G60" s="419">
        <v>26.999999149564999</v>
      </c>
      <c r="H60" s="421">
        <v>0</v>
      </c>
      <c r="I60" s="418">
        <v>0</v>
      </c>
      <c r="J60" s="419">
        <v>-26.999999149564999</v>
      </c>
      <c r="K60" s="422">
        <v>0</v>
      </c>
    </row>
    <row r="61" spans="1:11" ht="14.4" customHeight="1" thickBot="1" x14ac:dyDescent="0.35">
      <c r="A61" s="440" t="s">
        <v>334</v>
      </c>
      <c r="B61" s="418">
        <v>38.883637051904003</v>
      </c>
      <c r="C61" s="418">
        <v>54.256459999999997</v>
      </c>
      <c r="D61" s="419">
        <v>15.372822948094999</v>
      </c>
      <c r="E61" s="420">
        <v>1.395354553062</v>
      </c>
      <c r="F61" s="418">
        <v>53.273614169799004</v>
      </c>
      <c r="G61" s="419">
        <v>39.955210627348997</v>
      </c>
      <c r="H61" s="421">
        <v>2.7964099999999998</v>
      </c>
      <c r="I61" s="418">
        <v>19.734850000000002</v>
      </c>
      <c r="J61" s="419">
        <v>-20.220360627348999</v>
      </c>
      <c r="K61" s="422">
        <v>0.37044323550300001</v>
      </c>
    </row>
    <row r="62" spans="1:11" ht="14.4" customHeight="1" thickBot="1" x14ac:dyDescent="0.35">
      <c r="A62" s="443" t="s">
        <v>46</v>
      </c>
      <c r="B62" s="423">
        <v>0</v>
      </c>
      <c r="C62" s="423">
        <v>201.32900000000001</v>
      </c>
      <c r="D62" s="424">
        <v>201.32900000000001</v>
      </c>
      <c r="E62" s="425" t="s">
        <v>278</v>
      </c>
      <c r="F62" s="423">
        <v>0</v>
      </c>
      <c r="G62" s="424">
        <v>0</v>
      </c>
      <c r="H62" s="426">
        <v>4.2590000000000003</v>
      </c>
      <c r="I62" s="423">
        <v>178.93124</v>
      </c>
      <c r="J62" s="424">
        <v>178.93124</v>
      </c>
      <c r="K62" s="427" t="s">
        <v>278</v>
      </c>
    </row>
    <row r="63" spans="1:11" ht="14.4" customHeight="1" thickBot="1" x14ac:dyDescent="0.35">
      <c r="A63" s="439" t="s">
        <v>335</v>
      </c>
      <c r="B63" s="423">
        <v>0</v>
      </c>
      <c r="C63" s="423">
        <v>65.248999999999995</v>
      </c>
      <c r="D63" s="424">
        <v>65.248999999999995</v>
      </c>
      <c r="E63" s="425" t="s">
        <v>278</v>
      </c>
      <c r="F63" s="423">
        <v>0</v>
      </c>
      <c r="G63" s="424">
        <v>0</v>
      </c>
      <c r="H63" s="426">
        <v>4.2590000000000003</v>
      </c>
      <c r="I63" s="423">
        <v>23.957000000000001</v>
      </c>
      <c r="J63" s="424">
        <v>23.957000000000001</v>
      </c>
      <c r="K63" s="427" t="s">
        <v>278</v>
      </c>
    </row>
    <row r="64" spans="1:11" ht="14.4" customHeight="1" thickBot="1" x14ac:dyDescent="0.35">
      <c r="A64" s="440" t="s">
        <v>336</v>
      </c>
      <c r="B64" s="418">
        <v>0</v>
      </c>
      <c r="C64" s="418">
        <v>64.448999999999998</v>
      </c>
      <c r="D64" s="419">
        <v>64.448999999999998</v>
      </c>
      <c r="E64" s="428" t="s">
        <v>278</v>
      </c>
      <c r="F64" s="418">
        <v>0</v>
      </c>
      <c r="G64" s="419">
        <v>0</v>
      </c>
      <c r="H64" s="421">
        <v>4.2590000000000003</v>
      </c>
      <c r="I64" s="418">
        <v>23.957000000000001</v>
      </c>
      <c r="J64" s="419">
        <v>23.957000000000001</v>
      </c>
      <c r="K64" s="429" t="s">
        <v>278</v>
      </c>
    </row>
    <row r="65" spans="1:11" ht="14.4" customHeight="1" thickBot="1" x14ac:dyDescent="0.35">
      <c r="A65" s="440" t="s">
        <v>337</v>
      </c>
      <c r="B65" s="418">
        <v>0</v>
      </c>
      <c r="C65" s="418">
        <v>0.8</v>
      </c>
      <c r="D65" s="419">
        <v>0.8</v>
      </c>
      <c r="E65" s="428" t="s">
        <v>278</v>
      </c>
      <c r="F65" s="418">
        <v>0</v>
      </c>
      <c r="G65" s="419">
        <v>0</v>
      </c>
      <c r="H65" s="421">
        <v>0</v>
      </c>
      <c r="I65" s="418">
        <v>0</v>
      </c>
      <c r="J65" s="419">
        <v>0</v>
      </c>
      <c r="K65" s="429" t="s">
        <v>278</v>
      </c>
    </row>
    <row r="66" spans="1:11" ht="14.4" customHeight="1" thickBot="1" x14ac:dyDescent="0.35">
      <c r="A66" s="439" t="s">
        <v>338</v>
      </c>
      <c r="B66" s="423">
        <v>0</v>
      </c>
      <c r="C66" s="423">
        <v>136.08000000000001</v>
      </c>
      <c r="D66" s="424">
        <v>136.08000000000001</v>
      </c>
      <c r="E66" s="425" t="s">
        <v>278</v>
      </c>
      <c r="F66" s="423">
        <v>0</v>
      </c>
      <c r="G66" s="424">
        <v>0</v>
      </c>
      <c r="H66" s="426">
        <v>0</v>
      </c>
      <c r="I66" s="423">
        <v>154.97424000000001</v>
      </c>
      <c r="J66" s="424">
        <v>154.97424000000001</v>
      </c>
      <c r="K66" s="427" t="s">
        <v>278</v>
      </c>
    </row>
    <row r="67" spans="1:11" ht="14.4" customHeight="1" thickBot="1" x14ac:dyDescent="0.35">
      <c r="A67" s="440" t="s">
        <v>339</v>
      </c>
      <c r="B67" s="418">
        <v>0</v>
      </c>
      <c r="C67" s="418">
        <v>136.08000000000001</v>
      </c>
      <c r="D67" s="419">
        <v>136.08000000000001</v>
      </c>
      <c r="E67" s="428" t="s">
        <v>278</v>
      </c>
      <c r="F67" s="418">
        <v>0</v>
      </c>
      <c r="G67" s="419">
        <v>0</v>
      </c>
      <c r="H67" s="421">
        <v>0</v>
      </c>
      <c r="I67" s="418">
        <v>139.38200000000001</v>
      </c>
      <c r="J67" s="419">
        <v>139.38200000000001</v>
      </c>
      <c r="K67" s="429" t="s">
        <v>278</v>
      </c>
    </row>
    <row r="68" spans="1:11" ht="14.4" customHeight="1" thickBot="1" x14ac:dyDescent="0.35">
      <c r="A68" s="440" t="s">
        <v>340</v>
      </c>
      <c r="B68" s="418">
        <v>0</v>
      </c>
      <c r="C68" s="418">
        <v>0</v>
      </c>
      <c r="D68" s="419">
        <v>0</v>
      </c>
      <c r="E68" s="420">
        <v>1</v>
      </c>
      <c r="F68" s="418">
        <v>0</v>
      </c>
      <c r="G68" s="419">
        <v>0</v>
      </c>
      <c r="H68" s="421">
        <v>0</v>
      </c>
      <c r="I68" s="418">
        <v>15.59224</v>
      </c>
      <c r="J68" s="419">
        <v>15.59224</v>
      </c>
      <c r="K68" s="429" t="s">
        <v>295</v>
      </c>
    </row>
    <row r="69" spans="1:11" ht="14.4" customHeight="1" thickBot="1" x14ac:dyDescent="0.35">
      <c r="A69" s="438" t="s">
        <v>47</v>
      </c>
      <c r="B69" s="418">
        <v>1402.6011094074199</v>
      </c>
      <c r="C69" s="418">
        <v>1057.9618800000001</v>
      </c>
      <c r="D69" s="419">
        <v>-344.63922940741497</v>
      </c>
      <c r="E69" s="420">
        <v>0.754285643226</v>
      </c>
      <c r="F69" s="418">
        <v>1177.5292089068801</v>
      </c>
      <c r="G69" s="419">
        <v>883.14690668016203</v>
      </c>
      <c r="H69" s="421">
        <v>79.494230000000002</v>
      </c>
      <c r="I69" s="418">
        <v>708.33036000000004</v>
      </c>
      <c r="J69" s="419">
        <v>-174.81654668016199</v>
      </c>
      <c r="K69" s="422">
        <v>0.60153952415099998</v>
      </c>
    </row>
    <row r="70" spans="1:11" ht="14.4" customHeight="1" thickBot="1" x14ac:dyDescent="0.35">
      <c r="A70" s="439" t="s">
        <v>341</v>
      </c>
      <c r="B70" s="423">
        <v>22.183714264195</v>
      </c>
      <c r="C70" s="423">
        <v>0.20599999999999999</v>
      </c>
      <c r="D70" s="424">
        <v>-21.977714264195001</v>
      </c>
      <c r="E70" s="430">
        <v>9.2860914780000005E-3</v>
      </c>
      <c r="F70" s="423">
        <v>0.20973774570699999</v>
      </c>
      <c r="G70" s="424">
        <v>0.15730330928</v>
      </c>
      <c r="H70" s="426">
        <v>0</v>
      </c>
      <c r="I70" s="423">
        <v>0</v>
      </c>
      <c r="J70" s="424">
        <v>-0.15730330928</v>
      </c>
      <c r="K70" s="431">
        <v>0</v>
      </c>
    </row>
    <row r="71" spans="1:11" ht="14.4" customHeight="1" thickBot="1" x14ac:dyDescent="0.35">
      <c r="A71" s="440" t="s">
        <v>342</v>
      </c>
      <c r="B71" s="418">
        <v>22.183714264195</v>
      </c>
      <c r="C71" s="418">
        <v>0.20599999999999999</v>
      </c>
      <c r="D71" s="419">
        <v>-21.977714264195001</v>
      </c>
      <c r="E71" s="420">
        <v>9.2860914780000005E-3</v>
      </c>
      <c r="F71" s="418">
        <v>0.20973774570699999</v>
      </c>
      <c r="G71" s="419">
        <v>0.15730330928</v>
      </c>
      <c r="H71" s="421">
        <v>0</v>
      </c>
      <c r="I71" s="418">
        <v>0</v>
      </c>
      <c r="J71" s="419">
        <v>-0.15730330928</v>
      </c>
      <c r="K71" s="422">
        <v>0</v>
      </c>
    </row>
    <row r="72" spans="1:11" ht="14.4" customHeight="1" thickBot="1" x14ac:dyDescent="0.35">
      <c r="A72" s="439" t="s">
        <v>343</v>
      </c>
      <c r="B72" s="423">
        <v>80.446835715874002</v>
      </c>
      <c r="C72" s="423">
        <v>56.006900000000002</v>
      </c>
      <c r="D72" s="424">
        <v>-24.439935715874</v>
      </c>
      <c r="E72" s="430">
        <v>0.69619767516700004</v>
      </c>
      <c r="F72" s="423">
        <v>56.540991433949003</v>
      </c>
      <c r="G72" s="424">
        <v>42.405743575461997</v>
      </c>
      <c r="H72" s="426">
        <v>3.0125099999999998</v>
      </c>
      <c r="I72" s="423">
        <v>21.849779999999999</v>
      </c>
      <c r="J72" s="424">
        <v>-20.555963575461998</v>
      </c>
      <c r="K72" s="431">
        <v>0.38644140199600002</v>
      </c>
    </row>
    <row r="73" spans="1:11" ht="14.4" customHeight="1" thickBot="1" x14ac:dyDescent="0.35">
      <c r="A73" s="440" t="s">
        <v>344</v>
      </c>
      <c r="B73" s="418">
        <v>58.251086377274</v>
      </c>
      <c r="C73" s="418">
        <v>38.164499999999997</v>
      </c>
      <c r="D73" s="419">
        <v>-20.086586377273999</v>
      </c>
      <c r="E73" s="420">
        <v>0.65517233022599997</v>
      </c>
      <c r="F73" s="418">
        <v>37.165861453504</v>
      </c>
      <c r="G73" s="419">
        <v>27.874396090127998</v>
      </c>
      <c r="H73" s="421">
        <v>2.2164000000000001</v>
      </c>
      <c r="I73" s="418">
        <v>16.6172</v>
      </c>
      <c r="J73" s="419">
        <v>-11.257196090128</v>
      </c>
      <c r="K73" s="422">
        <v>0.447109238159</v>
      </c>
    </row>
    <row r="74" spans="1:11" ht="14.4" customHeight="1" thickBot="1" x14ac:dyDescent="0.35">
      <c r="A74" s="440" t="s">
        <v>345</v>
      </c>
      <c r="B74" s="418">
        <v>22.195749338599999</v>
      </c>
      <c r="C74" s="418">
        <v>17.842400000000001</v>
      </c>
      <c r="D74" s="419">
        <v>-4.3533493386000002</v>
      </c>
      <c r="E74" s="420">
        <v>0.80386562885500001</v>
      </c>
      <c r="F74" s="418">
        <v>19.375129980444999</v>
      </c>
      <c r="G74" s="419">
        <v>14.531347485334001</v>
      </c>
      <c r="H74" s="421">
        <v>0.79610999999999998</v>
      </c>
      <c r="I74" s="418">
        <v>5.2325799999999996</v>
      </c>
      <c r="J74" s="419">
        <v>-9.2987674853340003</v>
      </c>
      <c r="K74" s="422">
        <v>0.27006683337199999</v>
      </c>
    </row>
    <row r="75" spans="1:11" ht="14.4" customHeight="1" thickBot="1" x14ac:dyDescent="0.35">
      <c r="A75" s="439" t="s">
        <v>346</v>
      </c>
      <c r="B75" s="423">
        <v>29.441547892029</v>
      </c>
      <c r="C75" s="423">
        <v>37.290289999999999</v>
      </c>
      <c r="D75" s="424">
        <v>7.8487421079709998</v>
      </c>
      <c r="E75" s="430">
        <v>1.2665872778409999</v>
      </c>
      <c r="F75" s="423">
        <v>22.000411616270998</v>
      </c>
      <c r="G75" s="424">
        <v>16.500308712203001</v>
      </c>
      <c r="H75" s="426">
        <v>0</v>
      </c>
      <c r="I75" s="423">
        <v>28.886849999999999</v>
      </c>
      <c r="J75" s="424">
        <v>12.386541287796</v>
      </c>
      <c r="K75" s="431">
        <v>1.3130140700920001</v>
      </c>
    </row>
    <row r="76" spans="1:11" ht="14.4" customHeight="1" thickBot="1" x14ac:dyDescent="0.35">
      <c r="A76" s="440" t="s">
        <v>347</v>
      </c>
      <c r="B76" s="418">
        <v>4.678425385862</v>
      </c>
      <c r="C76" s="418">
        <v>4.32</v>
      </c>
      <c r="D76" s="419">
        <v>-0.35842538586200001</v>
      </c>
      <c r="E76" s="420">
        <v>0.92338760238700002</v>
      </c>
      <c r="F76" s="418">
        <v>3.0004122147249999</v>
      </c>
      <c r="G76" s="419">
        <v>2.250309161044</v>
      </c>
      <c r="H76" s="421">
        <v>0</v>
      </c>
      <c r="I76" s="418">
        <v>2.0249999999999999</v>
      </c>
      <c r="J76" s="419">
        <v>-0.22530916104400001</v>
      </c>
      <c r="K76" s="422">
        <v>0.67490726442899995</v>
      </c>
    </row>
    <row r="77" spans="1:11" ht="14.4" customHeight="1" thickBot="1" x14ac:dyDescent="0.35">
      <c r="A77" s="440" t="s">
        <v>348</v>
      </c>
      <c r="B77" s="418">
        <v>24.763122506165999</v>
      </c>
      <c r="C77" s="418">
        <v>32.970289999999999</v>
      </c>
      <c r="D77" s="419">
        <v>8.2071674938329995</v>
      </c>
      <c r="E77" s="420">
        <v>1.3314270036739999</v>
      </c>
      <c r="F77" s="418">
        <v>18.999999401545001</v>
      </c>
      <c r="G77" s="419">
        <v>14.249999551159</v>
      </c>
      <c r="H77" s="421">
        <v>0</v>
      </c>
      <c r="I77" s="418">
        <v>26.86185</v>
      </c>
      <c r="J77" s="419">
        <v>12.61185044884</v>
      </c>
      <c r="K77" s="422">
        <v>1.4137816234780001</v>
      </c>
    </row>
    <row r="78" spans="1:11" ht="14.4" customHeight="1" thickBot="1" x14ac:dyDescent="0.35">
      <c r="A78" s="439" t="s">
        <v>349</v>
      </c>
      <c r="B78" s="423">
        <v>353.36730038098898</v>
      </c>
      <c r="C78" s="423">
        <v>319.05781999999999</v>
      </c>
      <c r="D78" s="424">
        <v>-34.309480380989001</v>
      </c>
      <c r="E78" s="430">
        <v>0.90290703088799995</v>
      </c>
      <c r="F78" s="423">
        <v>339.53962240085599</v>
      </c>
      <c r="G78" s="424">
        <v>254.65471680064201</v>
      </c>
      <c r="H78" s="426">
        <v>24.585889999999999</v>
      </c>
      <c r="I78" s="423">
        <v>195.93037000000001</v>
      </c>
      <c r="J78" s="424">
        <v>-58.724346800642003</v>
      </c>
      <c r="K78" s="431">
        <v>0.57704714582200001</v>
      </c>
    </row>
    <row r="79" spans="1:11" ht="14.4" customHeight="1" thickBot="1" x14ac:dyDescent="0.35">
      <c r="A79" s="440" t="s">
        <v>350</v>
      </c>
      <c r="B79" s="418">
        <v>320.08345529921701</v>
      </c>
      <c r="C79" s="418">
        <v>280.51175000000001</v>
      </c>
      <c r="D79" s="419">
        <v>-39.571705299217001</v>
      </c>
      <c r="E79" s="420">
        <v>0.87637066320000001</v>
      </c>
      <c r="F79" s="418">
        <v>300.521922908634</v>
      </c>
      <c r="G79" s="419">
        <v>225.39144218147601</v>
      </c>
      <c r="H79" s="421">
        <v>18.597670000000001</v>
      </c>
      <c r="I79" s="418">
        <v>167.37903</v>
      </c>
      <c r="J79" s="419">
        <v>-58.012412181475</v>
      </c>
      <c r="K79" s="422">
        <v>0.55696113075499998</v>
      </c>
    </row>
    <row r="80" spans="1:11" ht="14.4" customHeight="1" thickBot="1" x14ac:dyDescent="0.35">
      <c r="A80" s="440" t="s">
        <v>351</v>
      </c>
      <c r="B80" s="418">
        <v>0.31176629998099997</v>
      </c>
      <c r="C80" s="418">
        <v>1.637</v>
      </c>
      <c r="D80" s="419">
        <v>1.3252337000179999</v>
      </c>
      <c r="E80" s="420">
        <v>5.2507278692300003</v>
      </c>
      <c r="F80" s="418">
        <v>1.6778072749749999</v>
      </c>
      <c r="G80" s="419">
        <v>1.258355456231</v>
      </c>
      <c r="H80" s="421">
        <v>0.182</v>
      </c>
      <c r="I80" s="418">
        <v>0.36399999999999999</v>
      </c>
      <c r="J80" s="419">
        <v>-0.89435545623099999</v>
      </c>
      <c r="K80" s="422">
        <v>0.216949828165</v>
      </c>
    </row>
    <row r="81" spans="1:11" ht="14.4" customHeight="1" thickBot="1" x14ac:dyDescent="0.35">
      <c r="A81" s="440" t="s">
        <v>352</v>
      </c>
      <c r="B81" s="418">
        <v>32.972078781790003</v>
      </c>
      <c r="C81" s="418">
        <v>36.90907</v>
      </c>
      <c r="D81" s="419">
        <v>3.9369912182090001</v>
      </c>
      <c r="E81" s="420">
        <v>1.1194037914399999</v>
      </c>
      <c r="F81" s="418">
        <v>37.339892217246003</v>
      </c>
      <c r="G81" s="419">
        <v>28.004919162935</v>
      </c>
      <c r="H81" s="421">
        <v>6.8062199999999997</v>
      </c>
      <c r="I81" s="418">
        <v>28.187339999999999</v>
      </c>
      <c r="J81" s="419">
        <v>0.182420837064</v>
      </c>
      <c r="K81" s="422">
        <v>0.75488541412999999</v>
      </c>
    </row>
    <row r="82" spans="1:11" ht="14.4" customHeight="1" thickBot="1" x14ac:dyDescent="0.35">
      <c r="A82" s="439" t="s">
        <v>353</v>
      </c>
      <c r="B82" s="423">
        <v>717.16171115433099</v>
      </c>
      <c r="C82" s="423">
        <v>607.89778000000001</v>
      </c>
      <c r="D82" s="424">
        <v>-109.263931154331</v>
      </c>
      <c r="E82" s="430">
        <v>0.84764394214700001</v>
      </c>
      <c r="F82" s="423">
        <v>569.238451694638</v>
      </c>
      <c r="G82" s="424">
        <v>426.92883877097898</v>
      </c>
      <c r="H82" s="426">
        <v>51.895829999999997</v>
      </c>
      <c r="I82" s="423">
        <v>348.01204000000001</v>
      </c>
      <c r="J82" s="424">
        <v>-78.916798770978005</v>
      </c>
      <c r="K82" s="431">
        <v>0.61136425159600005</v>
      </c>
    </row>
    <row r="83" spans="1:11" ht="14.4" customHeight="1" thickBot="1" x14ac:dyDescent="0.35">
      <c r="A83" s="440" t="s">
        <v>354</v>
      </c>
      <c r="B83" s="418">
        <v>0</v>
      </c>
      <c r="C83" s="418">
        <v>0</v>
      </c>
      <c r="D83" s="419">
        <v>0</v>
      </c>
      <c r="E83" s="420">
        <v>1</v>
      </c>
      <c r="F83" s="418">
        <v>0</v>
      </c>
      <c r="G83" s="419">
        <v>0</v>
      </c>
      <c r="H83" s="421">
        <v>0</v>
      </c>
      <c r="I83" s="418">
        <v>19.54</v>
      </c>
      <c r="J83" s="419">
        <v>19.54</v>
      </c>
      <c r="K83" s="429" t="s">
        <v>295</v>
      </c>
    </row>
    <row r="84" spans="1:11" ht="14.4" customHeight="1" thickBot="1" x14ac:dyDescent="0.35">
      <c r="A84" s="440" t="s">
        <v>355</v>
      </c>
      <c r="B84" s="418">
        <v>527.64078254500305</v>
      </c>
      <c r="C84" s="418">
        <v>389.12099000000001</v>
      </c>
      <c r="D84" s="419">
        <v>-138.51979254500301</v>
      </c>
      <c r="E84" s="420">
        <v>0.737473301671</v>
      </c>
      <c r="F84" s="418">
        <v>325.21709860875001</v>
      </c>
      <c r="G84" s="419">
        <v>243.91282395656199</v>
      </c>
      <c r="H84" s="421">
        <v>6.9984500000000001</v>
      </c>
      <c r="I84" s="418">
        <v>177.42439999999999</v>
      </c>
      <c r="J84" s="419">
        <v>-66.488423956562002</v>
      </c>
      <c r="K84" s="422">
        <v>0.54555680116100003</v>
      </c>
    </row>
    <row r="85" spans="1:11" ht="14.4" customHeight="1" thickBot="1" x14ac:dyDescent="0.35">
      <c r="A85" s="440" t="s">
        <v>356</v>
      </c>
      <c r="B85" s="418">
        <v>29.010568085477001</v>
      </c>
      <c r="C85" s="418">
        <v>40.023000000000003</v>
      </c>
      <c r="D85" s="419">
        <v>11.012431914522001</v>
      </c>
      <c r="E85" s="420">
        <v>1.379600698685</v>
      </c>
      <c r="F85" s="418">
        <v>31.999998992077</v>
      </c>
      <c r="G85" s="419">
        <v>23.999999244057999</v>
      </c>
      <c r="H85" s="421">
        <v>1.0887</v>
      </c>
      <c r="I85" s="418">
        <v>13.101599999999999</v>
      </c>
      <c r="J85" s="419">
        <v>-10.898399244058</v>
      </c>
      <c r="K85" s="422">
        <v>0.409425012895</v>
      </c>
    </row>
    <row r="86" spans="1:11" ht="14.4" customHeight="1" thickBot="1" x14ac:dyDescent="0.35">
      <c r="A86" s="440" t="s">
        <v>357</v>
      </c>
      <c r="B86" s="418">
        <v>158.837481986006</v>
      </c>
      <c r="C86" s="418">
        <v>178.18993</v>
      </c>
      <c r="D86" s="419">
        <v>19.352448013993001</v>
      </c>
      <c r="E86" s="420">
        <v>1.121838043338</v>
      </c>
      <c r="F86" s="418">
        <v>210.09022643611701</v>
      </c>
      <c r="G86" s="419">
        <v>157.567669827088</v>
      </c>
      <c r="H86" s="421">
        <v>43.808680000000003</v>
      </c>
      <c r="I86" s="418">
        <v>136.03182000000001</v>
      </c>
      <c r="J86" s="419">
        <v>-21.535849827086999</v>
      </c>
      <c r="K86" s="422">
        <v>0.64749237652500002</v>
      </c>
    </row>
    <row r="87" spans="1:11" ht="14.4" customHeight="1" thickBot="1" x14ac:dyDescent="0.35">
      <c r="A87" s="440" t="s">
        <v>358</v>
      </c>
      <c r="B87" s="418">
        <v>1.6728785378440001</v>
      </c>
      <c r="C87" s="418">
        <v>0.56386000000000003</v>
      </c>
      <c r="D87" s="419">
        <v>-1.1090185378440001</v>
      </c>
      <c r="E87" s="420">
        <v>0.33705973700000003</v>
      </c>
      <c r="F87" s="418">
        <v>1.9311276576930001</v>
      </c>
      <c r="G87" s="419">
        <v>1.44834574327</v>
      </c>
      <c r="H87" s="421">
        <v>0</v>
      </c>
      <c r="I87" s="418">
        <v>1.91422</v>
      </c>
      <c r="J87" s="419">
        <v>0.46587425672900001</v>
      </c>
      <c r="K87" s="422">
        <v>0.99124467115000003</v>
      </c>
    </row>
    <row r="88" spans="1:11" ht="14.4" customHeight="1" thickBot="1" x14ac:dyDescent="0.35">
      <c r="A88" s="439" t="s">
        <v>359</v>
      </c>
      <c r="B88" s="423">
        <v>199.99999999999699</v>
      </c>
      <c r="C88" s="423">
        <v>37.50309</v>
      </c>
      <c r="D88" s="424">
        <v>-162.49690999999601</v>
      </c>
      <c r="E88" s="430">
        <v>0.18751545</v>
      </c>
      <c r="F88" s="423">
        <v>189.99999401546</v>
      </c>
      <c r="G88" s="424">
        <v>142.49999551159499</v>
      </c>
      <c r="H88" s="426">
        <v>0</v>
      </c>
      <c r="I88" s="423">
        <v>113.65132</v>
      </c>
      <c r="J88" s="424">
        <v>-28.848675511595001</v>
      </c>
      <c r="K88" s="431">
        <v>0.59816486094599997</v>
      </c>
    </row>
    <row r="89" spans="1:11" ht="14.4" customHeight="1" thickBot="1" x14ac:dyDescent="0.35">
      <c r="A89" s="440" t="s">
        <v>360</v>
      </c>
      <c r="B89" s="418">
        <v>0</v>
      </c>
      <c r="C89" s="418">
        <v>0</v>
      </c>
      <c r="D89" s="419">
        <v>0</v>
      </c>
      <c r="E89" s="428" t="s">
        <v>278</v>
      </c>
      <c r="F89" s="418">
        <v>0</v>
      </c>
      <c r="G89" s="419">
        <v>0</v>
      </c>
      <c r="H89" s="421">
        <v>0</v>
      </c>
      <c r="I89" s="418">
        <v>37.50318</v>
      </c>
      <c r="J89" s="419">
        <v>37.50318</v>
      </c>
      <c r="K89" s="429" t="s">
        <v>295</v>
      </c>
    </row>
    <row r="90" spans="1:11" ht="14.4" customHeight="1" thickBot="1" x14ac:dyDescent="0.35">
      <c r="A90" s="440" t="s">
        <v>361</v>
      </c>
      <c r="B90" s="418">
        <v>149.99999999999699</v>
      </c>
      <c r="C90" s="418">
        <v>37.50309</v>
      </c>
      <c r="D90" s="419">
        <v>-112.496909999997</v>
      </c>
      <c r="E90" s="420">
        <v>0.25002059999999998</v>
      </c>
      <c r="F90" s="418">
        <v>99.999996850241999</v>
      </c>
      <c r="G90" s="419">
        <v>74.999997637681005</v>
      </c>
      <c r="H90" s="421">
        <v>0</v>
      </c>
      <c r="I90" s="418">
        <v>16.401140000000002</v>
      </c>
      <c r="J90" s="419">
        <v>-58.598857637681</v>
      </c>
      <c r="K90" s="422">
        <v>0.16401140516500001</v>
      </c>
    </row>
    <row r="91" spans="1:11" ht="14.4" customHeight="1" thickBot="1" x14ac:dyDescent="0.35">
      <c r="A91" s="440" t="s">
        <v>362</v>
      </c>
      <c r="B91" s="418">
        <v>49.999999999998998</v>
      </c>
      <c r="C91" s="418">
        <v>0</v>
      </c>
      <c r="D91" s="419">
        <v>-49.999999999998998</v>
      </c>
      <c r="E91" s="420">
        <v>0</v>
      </c>
      <c r="F91" s="418">
        <v>89.999997165218005</v>
      </c>
      <c r="G91" s="419">
        <v>67.499997873913003</v>
      </c>
      <c r="H91" s="421">
        <v>0</v>
      </c>
      <c r="I91" s="418">
        <v>59.747</v>
      </c>
      <c r="J91" s="419">
        <v>-7.7529978739130003</v>
      </c>
      <c r="K91" s="422">
        <v>0.66385557646500004</v>
      </c>
    </row>
    <row r="92" spans="1:11" ht="14.4" customHeight="1" thickBot="1" x14ac:dyDescent="0.35">
      <c r="A92" s="437" t="s">
        <v>48</v>
      </c>
      <c r="B92" s="418">
        <v>15104.0746745999</v>
      </c>
      <c r="C92" s="418">
        <v>14736.4894</v>
      </c>
      <c r="D92" s="419">
        <v>-367.58527459994201</v>
      </c>
      <c r="E92" s="420">
        <v>0.97566317152600002</v>
      </c>
      <c r="F92" s="418">
        <v>14899.9995306861</v>
      </c>
      <c r="G92" s="419">
        <v>11174.9996480146</v>
      </c>
      <c r="H92" s="421">
        <v>1179.3729000000001</v>
      </c>
      <c r="I92" s="418">
        <v>10329.89105</v>
      </c>
      <c r="J92" s="419">
        <v>-845.10859801458503</v>
      </c>
      <c r="K92" s="422">
        <v>0.69328130036000002</v>
      </c>
    </row>
    <row r="93" spans="1:11" ht="14.4" customHeight="1" thickBot="1" x14ac:dyDescent="0.35">
      <c r="A93" s="443" t="s">
        <v>363</v>
      </c>
      <c r="B93" s="423">
        <v>11196.9999999998</v>
      </c>
      <c r="C93" s="423">
        <v>10938.906999999999</v>
      </c>
      <c r="D93" s="424">
        <v>-258.09299999979299</v>
      </c>
      <c r="E93" s="430">
        <v>0.976949807984</v>
      </c>
      <c r="F93" s="423">
        <v>11048.9996519833</v>
      </c>
      <c r="G93" s="424">
        <v>8286.7497389874607</v>
      </c>
      <c r="H93" s="426">
        <v>875.89200000000005</v>
      </c>
      <c r="I93" s="423">
        <v>7660.799</v>
      </c>
      <c r="J93" s="424">
        <v>-625.95073898746102</v>
      </c>
      <c r="K93" s="431">
        <v>0.69334774561400003</v>
      </c>
    </row>
    <row r="94" spans="1:11" ht="14.4" customHeight="1" thickBot="1" x14ac:dyDescent="0.35">
      <c r="A94" s="439" t="s">
        <v>364</v>
      </c>
      <c r="B94" s="423">
        <v>11160.9999999998</v>
      </c>
      <c r="C94" s="423">
        <v>10912.656000000001</v>
      </c>
      <c r="D94" s="424">
        <v>-248.34399999979399</v>
      </c>
      <c r="E94" s="430">
        <v>0.97774894722600003</v>
      </c>
      <c r="F94" s="423">
        <v>10999.9996535267</v>
      </c>
      <c r="G94" s="424">
        <v>8249.999740145</v>
      </c>
      <c r="H94" s="426">
        <v>867.09199999999998</v>
      </c>
      <c r="I94" s="423">
        <v>7610.8959999999997</v>
      </c>
      <c r="J94" s="424">
        <v>-639.10374014499405</v>
      </c>
      <c r="K94" s="431">
        <v>0.69189965815599996</v>
      </c>
    </row>
    <row r="95" spans="1:11" ht="14.4" customHeight="1" thickBot="1" x14ac:dyDescent="0.35">
      <c r="A95" s="440" t="s">
        <v>365</v>
      </c>
      <c r="B95" s="418">
        <v>11160.9999999998</v>
      </c>
      <c r="C95" s="418">
        <v>10912.656000000001</v>
      </c>
      <c r="D95" s="419">
        <v>-248.34399999979399</v>
      </c>
      <c r="E95" s="420">
        <v>0.97774894722600003</v>
      </c>
      <c r="F95" s="418">
        <v>10999.9996535267</v>
      </c>
      <c r="G95" s="419">
        <v>8249.999740145</v>
      </c>
      <c r="H95" s="421">
        <v>867.09199999999998</v>
      </c>
      <c r="I95" s="418">
        <v>7610.8959999999997</v>
      </c>
      <c r="J95" s="419">
        <v>-639.10374014499405</v>
      </c>
      <c r="K95" s="422">
        <v>0.69189965815599996</v>
      </c>
    </row>
    <row r="96" spans="1:11" ht="14.4" customHeight="1" thickBot="1" x14ac:dyDescent="0.35">
      <c r="A96" s="439" t="s">
        <v>366</v>
      </c>
      <c r="B96" s="423">
        <v>0</v>
      </c>
      <c r="C96" s="423">
        <v>12.4</v>
      </c>
      <c r="D96" s="424">
        <v>12.4</v>
      </c>
      <c r="E96" s="425" t="s">
        <v>278</v>
      </c>
      <c r="F96" s="423">
        <v>14.999999527536</v>
      </c>
      <c r="G96" s="424">
        <v>11.249999645652</v>
      </c>
      <c r="H96" s="426">
        <v>8.8000000000000007</v>
      </c>
      <c r="I96" s="423">
        <v>40</v>
      </c>
      <c r="J96" s="424">
        <v>28.750000354347002</v>
      </c>
      <c r="K96" s="431">
        <v>2.6666667506600001</v>
      </c>
    </row>
    <row r="97" spans="1:11" ht="14.4" customHeight="1" thickBot="1" x14ac:dyDescent="0.35">
      <c r="A97" s="440" t="s">
        <v>367</v>
      </c>
      <c r="B97" s="418">
        <v>0</v>
      </c>
      <c r="C97" s="418">
        <v>12.4</v>
      </c>
      <c r="D97" s="419">
        <v>12.4</v>
      </c>
      <c r="E97" s="428" t="s">
        <v>278</v>
      </c>
      <c r="F97" s="418">
        <v>14.999999527536</v>
      </c>
      <c r="G97" s="419">
        <v>11.249999645652</v>
      </c>
      <c r="H97" s="421">
        <v>8.8000000000000007</v>
      </c>
      <c r="I97" s="418">
        <v>40</v>
      </c>
      <c r="J97" s="419">
        <v>28.750000354347002</v>
      </c>
      <c r="K97" s="422">
        <v>2.6666667506600001</v>
      </c>
    </row>
    <row r="98" spans="1:11" ht="14.4" customHeight="1" thickBot="1" x14ac:dyDescent="0.35">
      <c r="A98" s="439" t="s">
        <v>368</v>
      </c>
      <c r="B98" s="423">
        <v>35.999999999998998</v>
      </c>
      <c r="C98" s="423">
        <v>13.851000000000001</v>
      </c>
      <c r="D98" s="424">
        <v>-22.148999999998999</v>
      </c>
      <c r="E98" s="430">
        <v>0.38474999999999998</v>
      </c>
      <c r="F98" s="423">
        <v>33.999998929081997</v>
      </c>
      <c r="G98" s="424">
        <v>25.499999196811</v>
      </c>
      <c r="H98" s="426">
        <v>0</v>
      </c>
      <c r="I98" s="423">
        <v>9.9030000000000005</v>
      </c>
      <c r="J98" s="424">
        <v>-15.596999196811</v>
      </c>
      <c r="K98" s="431">
        <v>0.29126471505599999</v>
      </c>
    </row>
    <row r="99" spans="1:11" ht="14.4" customHeight="1" thickBot="1" x14ac:dyDescent="0.35">
      <c r="A99" s="440" t="s">
        <v>369</v>
      </c>
      <c r="B99" s="418">
        <v>35.999999999998998</v>
      </c>
      <c r="C99" s="418">
        <v>13.851000000000001</v>
      </c>
      <c r="D99" s="419">
        <v>-22.148999999998999</v>
      </c>
      <c r="E99" s="420">
        <v>0.38474999999999998</v>
      </c>
      <c r="F99" s="418">
        <v>33.999998929081997</v>
      </c>
      <c r="G99" s="419">
        <v>25.499999196811</v>
      </c>
      <c r="H99" s="421">
        <v>0</v>
      </c>
      <c r="I99" s="418">
        <v>9.9030000000000005</v>
      </c>
      <c r="J99" s="419">
        <v>-15.596999196811</v>
      </c>
      <c r="K99" s="422">
        <v>0.29126471505599999</v>
      </c>
    </row>
    <row r="100" spans="1:11" ht="14.4" customHeight="1" thickBot="1" x14ac:dyDescent="0.35">
      <c r="A100" s="438" t="s">
        <v>370</v>
      </c>
      <c r="B100" s="418">
        <v>3795.07467460015</v>
      </c>
      <c r="C100" s="418">
        <v>3688.2677800000001</v>
      </c>
      <c r="D100" s="419">
        <v>-106.80689460015</v>
      </c>
      <c r="E100" s="420">
        <v>0.971856444534</v>
      </c>
      <c r="F100" s="418">
        <v>3740.9998821675699</v>
      </c>
      <c r="G100" s="419">
        <v>2805.7499116256799</v>
      </c>
      <c r="H100" s="421">
        <v>294.81049000000002</v>
      </c>
      <c r="I100" s="418">
        <v>2592.8826899999999</v>
      </c>
      <c r="J100" s="419">
        <v>-212.867221625675</v>
      </c>
      <c r="K100" s="422">
        <v>0.693098843001</v>
      </c>
    </row>
    <row r="101" spans="1:11" ht="14.4" customHeight="1" thickBot="1" x14ac:dyDescent="0.35">
      <c r="A101" s="439" t="s">
        <v>371</v>
      </c>
      <c r="B101" s="423">
        <v>1004.07467460021</v>
      </c>
      <c r="C101" s="423">
        <v>982.43313000000001</v>
      </c>
      <c r="D101" s="424">
        <v>-21.641544600206</v>
      </c>
      <c r="E101" s="430">
        <v>0.97844627979599996</v>
      </c>
      <c r="F101" s="423">
        <v>990.99996878590196</v>
      </c>
      <c r="G101" s="424">
        <v>743.24997658942596</v>
      </c>
      <c r="H101" s="426">
        <v>78.037490000000005</v>
      </c>
      <c r="I101" s="423">
        <v>686.3587</v>
      </c>
      <c r="J101" s="424">
        <v>-56.891276589425999</v>
      </c>
      <c r="K101" s="431">
        <v>0.69259205006900004</v>
      </c>
    </row>
    <row r="102" spans="1:11" ht="14.4" customHeight="1" thickBot="1" x14ac:dyDescent="0.35">
      <c r="A102" s="440" t="s">
        <v>372</v>
      </c>
      <c r="B102" s="418">
        <v>1004.07467460021</v>
      </c>
      <c r="C102" s="418">
        <v>982.43313000000001</v>
      </c>
      <c r="D102" s="419">
        <v>-21.641544600206</v>
      </c>
      <c r="E102" s="420">
        <v>0.97844627979599996</v>
      </c>
      <c r="F102" s="418">
        <v>990.99996878590196</v>
      </c>
      <c r="G102" s="419">
        <v>743.24997658942596</v>
      </c>
      <c r="H102" s="421">
        <v>78.037490000000005</v>
      </c>
      <c r="I102" s="418">
        <v>686.3587</v>
      </c>
      <c r="J102" s="419">
        <v>-56.891276589425999</v>
      </c>
      <c r="K102" s="422">
        <v>0.69259205006900004</v>
      </c>
    </row>
    <row r="103" spans="1:11" ht="14.4" customHeight="1" thickBot="1" x14ac:dyDescent="0.35">
      <c r="A103" s="439" t="s">
        <v>373</v>
      </c>
      <c r="B103" s="423">
        <v>2790.99999999994</v>
      </c>
      <c r="C103" s="423">
        <v>2705.8346499999998</v>
      </c>
      <c r="D103" s="424">
        <v>-85.165349999941995</v>
      </c>
      <c r="E103" s="430">
        <v>0.96948572196299998</v>
      </c>
      <c r="F103" s="423">
        <v>2749.99991338167</v>
      </c>
      <c r="G103" s="424">
        <v>2062.49993503625</v>
      </c>
      <c r="H103" s="426">
        <v>216.773</v>
      </c>
      <c r="I103" s="423">
        <v>1906.5239899999999</v>
      </c>
      <c r="J103" s="424">
        <v>-155.97594503624899</v>
      </c>
      <c r="K103" s="431">
        <v>0.69328147274499996</v>
      </c>
    </row>
    <row r="104" spans="1:11" ht="14.4" customHeight="1" thickBot="1" x14ac:dyDescent="0.35">
      <c r="A104" s="440" t="s">
        <v>374</v>
      </c>
      <c r="B104" s="418">
        <v>2790.99999999994</v>
      </c>
      <c r="C104" s="418">
        <v>2705.8346499999998</v>
      </c>
      <c r="D104" s="419">
        <v>-85.165349999941995</v>
      </c>
      <c r="E104" s="420">
        <v>0.96948572196299998</v>
      </c>
      <c r="F104" s="418">
        <v>2749.99991338167</v>
      </c>
      <c r="G104" s="419">
        <v>2062.49993503625</v>
      </c>
      <c r="H104" s="421">
        <v>216.773</v>
      </c>
      <c r="I104" s="418">
        <v>1906.5239899999999</v>
      </c>
      <c r="J104" s="419">
        <v>-155.97594503624899</v>
      </c>
      <c r="K104" s="422">
        <v>0.69328147274499996</v>
      </c>
    </row>
    <row r="105" spans="1:11" ht="14.4" customHeight="1" thickBot="1" x14ac:dyDescent="0.35">
      <c r="A105" s="438" t="s">
        <v>375</v>
      </c>
      <c r="B105" s="418">
        <v>111.999999999998</v>
      </c>
      <c r="C105" s="418">
        <v>109.31462000000001</v>
      </c>
      <c r="D105" s="419">
        <v>-2.6853799999970001</v>
      </c>
      <c r="E105" s="420">
        <v>0.97602339285700002</v>
      </c>
      <c r="F105" s="418">
        <v>109.999996535267</v>
      </c>
      <c r="G105" s="419">
        <v>82.499997401448994</v>
      </c>
      <c r="H105" s="421">
        <v>8.6704100000000004</v>
      </c>
      <c r="I105" s="418">
        <v>76.209360000000004</v>
      </c>
      <c r="J105" s="419">
        <v>-6.2906374014489996</v>
      </c>
      <c r="K105" s="422">
        <v>0.69281238545799995</v>
      </c>
    </row>
    <row r="106" spans="1:11" ht="14.4" customHeight="1" thickBot="1" x14ac:dyDescent="0.35">
      <c r="A106" s="439" t="s">
        <v>376</v>
      </c>
      <c r="B106" s="423">
        <v>111.999999999998</v>
      </c>
      <c r="C106" s="423">
        <v>109.31462000000001</v>
      </c>
      <c r="D106" s="424">
        <v>-2.6853799999970001</v>
      </c>
      <c r="E106" s="430">
        <v>0.97602339285700002</v>
      </c>
      <c r="F106" s="423">
        <v>109.999996535267</v>
      </c>
      <c r="G106" s="424">
        <v>82.499997401448994</v>
      </c>
      <c r="H106" s="426">
        <v>8.6704100000000004</v>
      </c>
      <c r="I106" s="423">
        <v>76.209360000000004</v>
      </c>
      <c r="J106" s="424">
        <v>-6.2906374014489996</v>
      </c>
      <c r="K106" s="431">
        <v>0.69281238545799995</v>
      </c>
    </row>
    <row r="107" spans="1:11" ht="14.4" customHeight="1" thickBot="1" x14ac:dyDescent="0.35">
      <c r="A107" s="440" t="s">
        <v>377</v>
      </c>
      <c r="B107" s="418">
        <v>111.999999999998</v>
      </c>
      <c r="C107" s="418">
        <v>109.31462000000001</v>
      </c>
      <c r="D107" s="419">
        <v>-2.6853799999970001</v>
      </c>
      <c r="E107" s="420">
        <v>0.97602339285700002</v>
      </c>
      <c r="F107" s="418">
        <v>109.999996535267</v>
      </c>
      <c r="G107" s="419">
        <v>82.499997401448994</v>
      </c>
      <c r="H107" s="421">
        <v>8.6704100000000004</v>
      </c>
      <c r="I107" s="418">
        <v>76.209360000000004</v>
      </c>
      <c r="J107" s="419">
        <v>-6.2906374014489996</v>
      </c>
      <c r="K107" s="422">
        <v>0.69281238545799995</v>
      </c>
    </row>
    <row r="108" spans="1:11" ht="14.4" customHeight="1" thickBot="1" x14ac:dyDescent="0.35">
      <c r="A108" s="437" t="s">
        <v>378</v>
      </c>
      <c r="B108" s="418">
        <v>0</v>
      </c>
      <c r="C108" s="418">
        <v>182.87844000000001</v>
      </c>
      <c r="D108" s="419">
        <v>182.87844000000001</v>
      </c>
      <c r="E108" s="428" t="s">
        <v>278</v>
      </c>
      <c r="F108" s="418">
        <v>0</v>
      </c>
      <c r="G108" s="419">
        <v>0</v>
      </c>
      <c r="H108" s="421">
        <v>10.36675</v>
      </c>
      <c r="I108" s="418">
        <v>59.476379999999999</v>
      </c>
      <c r="J108" s="419">
        <v>59.476379999999999</v>
      </c>
      <c r="K108" s="429" t="s">
        <v>278</v>
      </c>
    </row>
    <row r="109" spans="1:11" ht="14.4" customHeight="1" thickBot="1" x14ac:dyDescent="0.35">
      <c r="A109" s="438" t="s">
        <v>379</v>
      </c>
      <c r="B109" s="418">
        <v>0</v>
      </c>
      <c r="C109" s="418">
        <v>182.87844000000001</v>
      </c>
      <c r="D109" s="419">
        <v>182.87844000000001</v>
      </c>
      <c r="E109" s="428" t="s">
        <v>278</v>
      </c>
      <c r="F109" s="418">
        <v>0</v>
      </c>
      <c r="G109" s="419">
        <v>0</v>
      </c>
      <c r="H109" s="421">
        <v>10.36675</v>
      </c>
      <c r="I109" s="418">
        <v>59.476379999999999</v>
      </c>
      <c r="J109" s="419">
        <v>59.476379999999999</v>
      </c>
      <c r="K109" s="429" t="s">
        <v>278</v>
      </c>
    </row>
    <row r="110" spans="1:11" ht="14.4" customHeight="1" thickBot="1" x14ac:dyDescent="0.35">
      <c r="A110" s="439" t="s">
        <v>380</v>
      </c>
      <c r="B110" s="423">
        <v>0</v>
      </c>
      <c r="C110" s="423">
        <v>111.54331999999999</v>
      </c>
      <c r="D110" s="424">
        <v>111.54331999999999</v>
      </c>
      <c r="E110" s="425" t="s">
        <v>278</v>
      </c>
      <c r="F110" s="423">
        <v>0</v>
      </c>
      <c r="G110" s="424">
        <v>0</v>
      </c>
      <c r="H110" s="426">
        <v>3.51675</v>
      </c>
      <c r="I110" s="423">
        <v>14.38838</v>
      </c>
      <c r="J110" s="424">
        <v>14.38838</v>
      </c>
      <c r="K110" s="427" t="s">
        <v>278</v>
      </c>
    </row>
    <row r="111" spans="1:11" ht="14.4" customHeight="1" thickBot="1" x14ac:dyDescent="0.35">
      <c r="A111" s="440" t="s">
        <v>381</v>
      </c>
      <c r="B111" s="418">
        <v>0</v>
      </c>
      <c r="C111" s="418">
        <v>3.2342499999999998</v>
      </c>
      <c r="D111" s="419">
        <v>3.2342499999999998</v>
      </c>
      <c r="E111" s="428" t="s">
        <v>278</v>
      </c>
      <c r="F111" s="418">
        <v>0</v>
      </c>
      <c r="G111" s="419">
        <v>0</v>
      </c>
      <c r="H111" s="421">
        <v>0.21675</v>
      </c>
      <c r="I111" s="418">
        <v>0.47175</v>
      </c>
      <c r="J111" s="419">
        <v>0.47175</v>
      </c>
      <c r="K111" s="429" t="s">
        <v>278</v>
      </c>
    </row>
    <row r="112" spans="1:11" ht="14.4" customHeight="1" thickBot="1" x14ac:dyDescent="0.35">
      <c r="A112" s="440" t="s">
        <v>382</v>
      </c>
      <c r="B112" s="418">
        <v>0</v>
      </c>
      <c r="C112" s="418">
        <v>8.2349999999999994</v>
      </c>
      <c r="D112" s="419">
        <v>8.2349999999999994</v>
      </c>
      <c r="E112" s="428" t="s">
        <v>278</v>
      </c>
      <c r="F112" s="418">
        <v>0</v>
      </c>
      <c r="G112" s="419">
        <v>0</v>
      </c>
      <c r="H112" s="421">
        <v>0</v>
      </c>
      <c r="I112" s="418">
        <v>4.1666299999999996</v>
      </c>
      <c r="J112" s="419">
        <v>4.1666299999999996</v>
      </c>
      <c r="K112" s="429" t="s">
        <v>278</v>
      </c>
    </row>
    <row r="113" spans="1:11" ht="14.4" customHeight="1" thickBot="1" x14ac:dyDescent="0.35">
      <c r="A113" s="440" t="s">
        <v>383</v>
      </c>
      <c r="B113" s="418">
        <v>0</v>
      </c>
      <c r="C113" s="418">
        <v>94.032979999999995</v>
      </c>
      <c r="D113" s="419">
        <v>94.032979999999995</v>
      </c>
      <c r="E113" s="428" t="s">
        <v>278</v>
      </c>
      <c r="F113" s="418">
        <v>0</v>
      </c>
      <c r="G113" s="419">
        <v>0</v>
      </c>
      <c r="H113" s="421">
        <v>3.3</v>
      </c>
      <c r="I113" s="418">
        <v>9.75</v>
      </c>
      <c r="J113" s="419">
        <v>9.75</v>
      </c>
      <c r="K113" s="429" t="s">
        <v>278</v>
      </c>
    </row>
    <row r="114" spans="1:11" ht="14.4" customHeight="1" thickBot="1" x14ac:dyDescent="0.35">
      <c r="A114" s="440" t="s">
        <v>384</v>
      </c>
      <c r="B114" s="418">
        <v>0</v>
      </c>
      <c r="C114" s="418">
        <v>0.60499999999999998</v>
      </c>
      <c r="D114" s="419">
        <v>0.60499999999999998</v>
      </c>
      <c r="E114" s="428" t="s">
        <v>295</v>
      </c>
      <c r="F114" s="418">
        <v>0</v>
      </c>
      <c r="G114" s="419">
        <v>0</v>
      </c>
      <c r="H114" s="421">
        <v>0</v>
      </c>
      <c r="I114" s="418">
        <v>0</v>
      </c>
      <c r="J114" s="419">
        <v>0</v>
      </c>
      <c r="K114" s="429" t="s">
        <v>278</v>
      </c>
    </row>
    <row r="115" spans="1:11" ht="14.4" customHeight="1" thickBot="1" x14ac:dyDescent="0.35">
      <c r="A115" s="440" t="s">
        <v>385</v>
      </c>
      <c r="B115" s="418">
        <v>0</v>
      </c>
      <c r="C115" s="418">
        <v>5.4360900000000001</v>
      </c>
      <c r="D115" s="419">
        <v>5.4360900000000001</v>
      </c>
      <c r="E115" s="428" t="s">
        <v>295</v>
      </c>
      <c r="F115" s="418">
        <v>0</v>
      </c>
      <c r="G115" s="419">
        <v>0</v>
      </c>
      <c r="H115" s="421">
        <v>0</v>
      </c>
      <c r="I115" s="418">
        <v>0</v>
      </c>
      <c r="J115" s="419">
        <v>0</v>
      </c>
      <c r="K115" s="429" t="s">
        <v>278</v>
      </c>
    </row>
    <row r="116" spans="1:11" ht="14.4" customHeight="1" thickBot="1" x14ac:dyDescent="0.35">
      <c r="A116" s="439" t="s">
        <v>386</v>
      </c>
      <c r="B116" s="423">
        <v>0</v>
      </c>
      <c r="C116" s="423">
        <v>2.3001200000000002</v>
      </c>
      <c r="D116" s="424">
        <v>2.3001200000000002</v>
      </c>
      <c r="E116" s="425" t="s">
        <v>295</v>
      </c>
      <c r="F116" s="423">
        <v>0</v>
      </c>
      <c r="G116" s="424">
        <v>0</v>
      </c>
      <c r="H116" s="426">
        <v>0</v>
      </c>
      <c r="I116" s="423">
        <v>0</v>
      </c>
      <c r="J116" s="424">
        <v>0</v>
      </c>
      <c r="K116" s="427" t="s">
        <v>278</v>
      </c>
    </row>
    <row r="117" spans="1:11" ht="14.4" customHeight="1" thickBot="1" x14ac:dyDescent="0.35">
      <c r="A117" s="440" t="s">
        <v>387</v>
      </c>
      <c r="B117" s="418">
        <v>0</v>
      </c>
      <c r="C117" s="418">
        <v>2.3001200000000002</v>
      </c>
      <c r="D117" s="419">
        <v>2.3001200000000002</v>
      </c>
      <c r="E117" s="428" t="s">
        <v>295</v>
      </c>
      <c r="F117" s="418">
        <v>0</v>
      </c>
      <c r="G117" s="419">
        <v>0</v>
      </c>
      <c r="H117" s="421">
        <v>0</v>
      </c>
      <c r="I117" s="418">
        <v>0</v>
      </c>
      <c r="J117" s="419">
        <v>0</v>
      </c>
      <c r="K117" s="429" t="s">
        <v>278</v>
      </c>
    </row>
    <row r="118" spans="1:11" ht="14.4" customHeight="1" thickBot="1" x14ac:dyDescent="0.35">
      <c r="A118" s="442" t="s">
        <v>388</v>
      </c>
      <c r="B118" s="418">
        <v>0</v>
      </c>
      <c r="C118" s="418">
        <v>13.6</v>
      </c>
      <c r="D118" s="419">
        <v>13.6</v>
      </c>
      <c r="E118" s="428" t="s">
        <v>278</v>
      </c>
      <c r="F118" s="418">
        <v>0</v>
      </c>
      <c r="G118" s="419">
        <v>0</v>
      </c>
      <c r="H118" s="421">
        <v>2.0499999999999998</v>
      </c>
      <c r="I118" s="418">
        <v>6.45</v>
      </c>
      <c r="J118" s="419">
        <v>6.45</v>
      </c>
      <c r="K118" s="429" t="s">
        <v>278</v>
      </c>
    </row>
    <row r="119" spans="1:11" ht="14.4" customHeight="1" thickBot="1" x14ac:dyDescent="0.35">
      <c r="A119" s="440" t="s">
        <v>389</v>
      </c>
      <c r="B119" s="418">
        <v>0</v>
      </c>
      <c r="C119" s="418">
        <v>13.6</v>
      </c>
      <c r="D119" s="419">
        <v>13.6</v>
      </c>
      <c r="E119" s="428" t="s">
        <v>278</v>
      </c>
      <c r="F119" s="418">
        <v>0</v>
      </c>
      <c r="G119" s="419">
        <v>0</v>
      </c>
      <c r="H119" s="421">
        <v>2.0499999999999998</v>
      </c>
      <c r="I119" s="418">
        <v>6.45</v>
      </c>
      <c r="J119" s="419">
        <v>6.45</v>
      </c>
      <c r="K119" s="429" t="s">
        <v>278</v>
      </c>
    </row>
    <row r="120" spans="1:11" ht="14.4" customHeight="1" thickBot="1" x14ac:dyDescent="0.35">
      <c r="A120" s="442" t="s">
        <v>390</v>
      </c>
      <c r="B120" s="418">
        <v>0</v>
      </c>
      <c r="C120" s="418">
        <v>16.981999999999999</v>
      </c>
      <c r="D120" s="419">
        <v>16.981999999999999</v>
      </c>
      <c r="E120" s="428" t="s">
        <v>278</v>
      </c>
      <c r="F120" s="418">
        <v>0</v>
      </c>
      <c r="G120" s="419">
        <v>0</v>
      </c>
      <c r="H120" s="421">
        <v>4.8</v>
      </c>
      <c r="I120" s="418">
        <v>5.5</v>
      </c>
      <c r="J120" s="419">
        <v>5.5</v>
      </c>
      <c r="K120" s="429" t="s">
        <v>278</v>
      </c>
    </row>
    <row r="121" spans="1:11" ht="14.4" customHeight="1" thickBot="1" x14ac:dyDescent="0.35">
      <c r="A121" s="440" t="s">
        <v>391</v>
      </c>
      <c r="B121" s="418">
        <v>0</v>
      </c>
      <c r="C121" s="418">
        <v>16.981999999999999</v>
      </c>
      <c r="D121" s="419">
        <v>16.981999999999999</v>
      </c>
      <c r="E121" s="428" t="s">
        <v>278</v>
      </c>
      <c r="F121" s="418">
        <v>0</v>
      </c>
      <c r="G121" s="419">
        <v>0</v>
      </c>
      <c r="H121" s="421">
        <v>4.8</v>
      </c>
      <c r="I121" s="418">
        <v>5.5</v>
      </c>
      <c r="J121" s="419">
        <v>5.5</v>
      </c>
      <c r="K121" s="429" t="s">
        <v>278</v>
      </c>
    </row>
    <row r="122" spans="1:11" ht="14.4" customHeight="1" thickBot="1" x14ac:dyDescent="0.35">
      <c r="A122" s="442" t="s">
        <v>392</v>
      </c>
      <c r="B122" s="418">
        <v>0</v>
      </c>
      <c r="C122" s="418">
        <v>38.453000000000003</v>
      </c>
      <c r="D122" s="419">
        <v>38.453000000000003</v>
      </c>
      <c r="E122" s="428" t="s">
        <v>295</v>
      </c>
      <c r="F122" s="418">
        <v>0</v>
      </c>
      <c r="G122" s="419">
        <v>0</v>
      </c>
      <c r="H122" s="421">
        <v>0</v>
      </c>
      <c r="I122" s="418">
        <v>33.137999999999998</v>
      </c>
      <c r="J122" s="419">
        <v>33.137999999999998</v>
      </c>
      <c r="K122" s="429" t="s">
        <v>278</v>
      </c>
    </row>
    <row r="123" spans="1:11" ht="14.4" customHeight="1" thickBot="1" x14ac:dyDescent="0.35">
      <c r="A123" s="440" t="s">
        <v>393</v>
      </c>
      <c r="B123" s="418">
        <v>0</v>
      </c>
      <c r="C123" s="418">
        <v>38.453000000000003</v>
      </c>
      <c r="D123" s="419">
        <v>38.453000000000003</v>
      </c>
      <c r="E123" s="428" t="s">
        <v>295</v>
      </c>
      <c r="F123" s="418">
        <v>0</v>
      </c>
      <c r="G123" s="419">
        <v>0</v>
      </c>
      <c r="H123" s="421">
        <v>0</v>
      </c>
      <c r="I123" s="418">
        <v>33.137999999999998</v>
      </c>
      <c r="J123" s="419">
        <v>33.137999999999998</v>
      </c>
      <c r="K123" s="429" t="s">
        <v>278</v>
      </c>
    </row>
    <row r="124" spans="1:11" ht="14.4" customHeight="1" thickBot="1" x14ac:dyDescent="0.35">
      <c r="A124" s="437" t="s">
        <v>394</v>
      </c>
      <c r="B124" s="418">
        <v>2871.9811064957298</v>
      </c>
      <c r="C124" s="418">
        <v>2496.9569299999998</v>
      </c>
      <c r="D124" s="419">
        <v>-375.02417649573198</v>
      </c>
      <c r="E124" s="420">
        <v>0.86941969233399996</v>
      </c>
      <c r="F124" s="418">
        <v>2050.9998984448798</v>
      </c>
      <c r="G124" s="419">
        <v>1538.24992383366</v>
      </c>
      <c r="H124" s="421">
        <v>174.51400000000001</v>
      </c>
      <c r="I124" s="418">
        <v>1572.239</v>
      </c>
      <c r="J124" s="419">
        <v>33.989076166338002</v>
      </c>
      <c r="K124" s="422">
        <v>0.76657195409500001</v>
      </c>
    </row>
    <row r="125" spans="1:11" ht="14.4" customHeight="1" thickBot="1" x14ac:dyDescent="0.35">
      <c r="A125" s="438" t="s">
        <v>395</v>
      </c>
      <c r="B125" s="418">
        <v>2821.9811064957298</v>
      </c>
      <c r="C125" s="418">
        <v>2440.8539999999998</v>
      </c>
      <c r="D125" s="419">
        <v>-381.12710649573302</v>
      </c>
      <c r="E125" s="420">
        <v>0.86494342374599997</v>
      </c>
      <c r="F125" s="418">
        <v>2050.9998984448798</v>
      </c>
      <c r="G125" s="419">
        <v>1538.24992383366</v>
      </c>
      <c r="H125" s="421">
        <v>174.51400000000001</v>
      </c>
      <c r="I125" s="418">
        <v>1554.0889999999999</v>
      </c>
      <c r="J125" s="419">
        <v>15.839076166338</v>
      </c>
      <c r="K125" s="422">
        <v>0.75772261187199996</v>
      </c>
    </row>
    <row r="126" spans="1:11" ht="14.4" customHeight="1" thickBot="1" x14ac:dyDescent="0.35">
      <c r="A126" s="439" t="s">
        <v>396</v>
      </c>
      <c r="B126" s="423">
        <v>2821.9811064957298</v>
      </c>
      <c r="C126" s="423">
        <v>2440.8539999999998</v>
      </c>
      <c r="D126" s="424">
        <v>-381.12710649573302</v>
      </c>
      <c r="E126" s="430">
        <v>0.86494342374599997</v>
      </c>
      <c r="F126" s="423">
        <v>2050.9998984448798</v>
      </c>
      <c r="G126" s="424">
        <v>1538.24992383366</v>
      </c>
      <c r="H126" s="426">
        <v>174.51400000000001</v>
      </c>
      <c r="I126" s="423">
        <v>1554.0889999999999</v>
      </c>
      <c r="J126" s="424">
        <v>15.839076166338</v>
      </c>
      <c r="K126" s="431">
        <v>0.75772261187199996</v>
      </c>
    </row>
    <row r="127" spans="1:11" ht="14.4" customHeight="1" thickBot="1" x14ac:dyDescent="0.35">
      <c r="A127" s="440" t="s">
        <v>397</v>
      </c>
      <c r="B127" s="418">
        <v>41.999999999998998</v>
      </c>
      <c r="C127" s="418">
        <v>42.335999999999999</v>
      </c>
      <c r="D127" s="419">
        <v>0.33600000000000002</v>
      </c>
      <c r="E127" s="420">
        <v>1.008</v>
      </c>
      <c r="F127" s="418">
        <v>41.999998677100002</v>
      </c>
      <c r="G127" s="419">
        <v>31.499999007825</v>
      </c>
      <c r="H127" s="421">
        <v>3.528</v>
      </c>
      <c r="I127" s="418">
        <v>31.751999999999999</v>
      </c>
      <c r="J127" s="419">
        <v>0.25200099217400002</v>
      </c>
      <c r="K127" s="422">
        <v>0.75600002381200004</v>
      </c>
    </row>
    <row r="128" spans="1:11" ht="14.4" customHeight="1" thickBot="1" x14ac:dyDescent="0.35">
      <c r="A128" s="440" t="s">
        <v>398</v>
      </c>
      <c r="B128" s="418">
        <v>473.98116808502499</v>
      </c>
      <c r="C128" s="418">
        <v>452.29300000000001</v>
      </c>
      <c r="D128" s="419">
        <v>-21.688168085024</v>
      </c>
      <c r="E128" s="420">
        <v>0.95424255319499995</v>
      </c>
      <c r="F128" s="418">
        <v>420.999986739512</v>
      </c>
      <c r="G128" s="419">
        <v>315.749990054634</v>
      </c>
      <c r="H128" s="421">
        <v>35.131999999999998</v>
      </c>
      <c r="I128" s="418">
        <v>316.18799999999999</v>
      </c>
      <c r="J128" s="419">
        <v>0.43800994536499999</v>
      </c>
      <c r="K128" s="422">
        <v>0.75104040370299996</v>
      </c>
    </row>
    <row r="129" spans="1:11" ht="14.4" customHeight="1" thickBot="1" x14ac:dyDescent="0.35">
      <c r="A129" s="440" t="s">
        <v>399</v>
      </c>
      <c r="B129" s="418">
        <v>2300.99999999996</v>
      </c>
      <c r="C129" s="418">
        <v>1941.19</v>
      </c>
      <c r="D129" s="419">
        <v>-359.80999999995799</v>
      </c>
      <c r="E129" s="420">
        <v>0.84362885701799994</v>
      </c>
      <c r="F129" s="418">
        <v>1583.99995010781</v>
      </c>
      <c r="G129" s="419">
        <v>1187.99996258086</v>
      </c>
      <c r="H129" s="421">
        <v>135.46299999999999</v>
      </c>
      <c r="I129" s="418">
        <v>1202.6300000000001</v>
      </c>
      <c r="J129" s="419">
        <v>14.630037419142999</v>
      </c>
      <c r="K129" s="422">
        <v>0.75923613502499998</v>
      </c>
    </row>
    <row r="130" spans="1:11" ht="14.4" customHeight="1" thickBot="1" x14ac:dyDescent="0.35">
      <c r="A130" s="440" t="s">
        <v>400</v>
      </c>
      <c r="B130" s="418">
        <v>4.9999384107499996</v>
      </c>
      <c r="C130" s="418">
        <v>5.0350000000000001</v>
      </c>
      <c r="D130" s="419">
        <v>3.5061589248999998E-2</v>
      </c>
      <c r="E130" s="420">
        <v>1.0070124042269999</v>
      </c>
      <c r="F130" s="418">
        <v>3.9999629204609999</v>
      </c>
      <c r="G130" s="419">
        <v>2.9999721903449998</v>
      </c>
      <c r="H130" s="421">
        <v>0.39100000000000001</v>
      </c>
      <c r="I130" s="418">
        <v>3.5190000000000001</v>
      </c>
      <c r="J130" s="419">
        <v>0.51902780965399997</v>
      </c>
      <c r="K130" s="422">
        <v>0.87975815525599999</v>
      </c>
    </row>
    <row r="131" spans="1:11" ht="14.4" customHeight="1" thickBot="1" x14ac:dyDescent="0.35">
      <c r="A131" s="438" t="s">
        <v>401</v>
      </c>
      <c r="B131" s="418">
        <v>50</v>
      </c>
      <c r="C131" s="418">
        <v>56.102930000000001</v>
      </c>
      <c r="D131" s="419">
        <v>6.1029299999999997</v>
      </c>
      <c r="E131" s="420">
        <v>1.1220585999999999</v>
      </c>
      <c r="F131" s="418">
        <v>0</v>
      </c>
      <c r="G131" s="419">
        <v>0</v>
      </c>
      <c r="H131" s="421">
        <v>0</v>
      </c>
      <c r="I131" s="418">
        <v>18.149999999999999</v>
      </c>
      <c r="J131" s="419">
        <v>18.149999999999999</v>
      </c>
      <c r="K131" s="429" t="s">
        <v>278</v>
      </c>
    </row>
    <row r="132" spans="1:11" ht="14.4" customHeight="1" thickBot="1" x14ac:dyDescent="0.35">
      <c r="A132" s="439" t="s">
        <v>402</v>
      </c>
      <c r="B132" s="423">
        <v>50</v>
      </c>
      <c r="C132" s="423">
        <v>50.21293</v>
      </c>
      <c r="D132" s="424">
        <v>0.21293000000000001</v>
      </c>
      <c r="E132" s="430">
        <v>1.0042586</v>
      </c>
      <c r="F132" s="423">
        <v>0</v>
      </c>
      <c r="G132" s="424">
        <v>0</v>
      </c>
      <c r="H132" s="426">
        <v>0</v>
      </c>
      <c r="I132" s="423">
        <v>0</v>
      </c>
      <c r="J132" s="424">
        <v>0</v>
      </c>
      <c r="K132" s="427" t="s">
        <v>278</v>
      </c>
    </row>
    <row r="133" spans="1:11" ht="14.4" customHeight="1" thickBot="1" x14ac:dyDescent="0.35">
      <c r="A133" s="440" t="s">
        <v>403</v>
      </c>
      <c r="B133" s="418">
        <v>50</v>
      </c>
      <c r="C133" s="418">
        <v>50.21293</v>
      </c>
      <c r="D133" s="419">
        <v>0.21293000000000001</v>
      </c>
      <c r="E133" s="420">
        <v>1.0042586</v>
      </c>
      <c r="F133" s="418">
        <v>0</v>
      </c>
      <c r="G133" s="419">
        <v>0</v>
      </c>
      <c r="H133" s="421">
        <v>0</v>
      </c>
      <c r="I133" s="418">
        <v>0</v>
      </c>
      <c r="J133" s="419">
        <v>0</v>
      </c>
      <c r="K133" s="429" t="s">
        <v>278</v>
      </c>
    </row>
    <row r="134" spans="1:11" ht="14.4" customHeight="1" thickBot="1" x14ac:dyDescent="0.35">
      <c r="A134" s="439" t="s">
        <v>404</v>
      </c>
      <c r="B134" s="423">
        <v>0</v>
      </c>
      <c r="C134" s="423">
        <v>5.89</v>
      </c>
      <c r="D134" s="424">
        <v>5.89</v>
      </c>
      <c r="E134" s="425" t="s">
        <v>278</v>
      </c>
      <c r="F134" s="423">
        <v>0</v>
      </c>
      <c r="G134" s="424">
        <v>0</v>
      </c>
      <c r="H134" s="426">
        <v>0</v>
      </c>
      <c r="I134" s="423">
        <v>18.149999999999999</v>
      </c>
      <c r="J134" s="424">
        <v>18.149999999999999</v>
      </c>
      <c r="K134" s="427" t="s">
        <v>278</v>
      </c>
    </row>
    <row r="135" spans="1:11" ht="14.4" customHeight="1" thickBot="1" x14ac:dyDescent="0.35">
      <c r="A135" s="440" t="s">
        <v>405</v>
      </c>
      <c r="B135" s="418">
        <v>0</v>
      </c>
      <c r="C135" s="418">
        <v>0</v>
      </c>
      <c r="D135" s="419">
        <v>0</v>
      </c>
      <c r="E135" s="420">
        <v>1</v>
      </c>
      <c r="F135" s="418">
        <v>0</v>
      </c>
      <c r="G135" s="419">
        <v>0</v>
      </c>
      <c r="H135" s="421">
        <v>0</v>
      </c>
      <c r="I135" s="418">
        <v>18.149999999999999</v>
      </c>
      <c r="J135" s="419">
        <v>18.149999999999999</v>
      </c>
      <c r="K135" s="429" t="s">
        <v>295</v>
      </c>
    </row>
    <row r="136" spans="1:11" ht="14.4" customHeight="1" thickBot="1" x14ac:dyDescent="0.35">
      <c r="A136" s="440" t="s">
        <v>406</v>
      </c>
      <c r="B136" s="418">
        <v>0</v>
      </c>
      <c r="C136" s="418">
        <v>5.89</v>
      </c>
      <c r="D136" s="419">
        <v>5.89</v>
      </c>
      <c r="E136" s="428" t="s">
        <v>278</v>
      </c>
      <c r="F136" s="418">
        <v>0</v>
      </c>
      <c r="G136" s="419">
        <v>0</v>
      </c>
      <c r="H136" s="421">
        <v>0</v>
      </c>
      <c r="I136" s="418">
        <v>0</v>
      </c>
      <c r="J136" s="419">
        <v>0</v>
      </c>
      <c r="K136" s="429" t="s">
        <v>278</v>
      </c>
    </row>
    <row r="137" spans="1:11" ht="14.4" customHeight="1" thickBot="1" x14ac:dyDescent="0.35">
      <c r="A137" s="437" t="s">
        <v>407</v>
      </c>
      <c r="B137" s="418">
        <v>0</v>
      </c>
      <c r="C137" s="418">
        <v>1.43598</v>
      </c>
      <c r="D137" s="419">
        <v>1.43598</v>
      </c>
      <c r="E137" s="428" t="s">
        <v>278</v>
      </c>
      <c r="F137" s="418">
        <v>0</v>
      </c>
      <c r="G137" s="419">
        <v>0</v>
      </c>
      <c r="H137" s="421">
        <v>0</v>
      </c>
      <c r="I137" s="418">
        <v>0.77685000000000004</v>
      </c>
      <c r="J137" s="419">
        <v>0.77685000000000004</v>
      </c>
      <c r="K137" s="429" t="s">
        <v>278</v>
      </c>
    </row>
    <row r="138" spans="1:11" ht="14.4" customHeight="1" thickBot="1" x14ac:dyDescent="0.35">
      <c r="A138" s="438" t="s">
        <v>408</v>
      </c>
      <c r="B138" s="418">
        <v>0</v>
      </c>
      <c r="C138" s="418">
        <v>1.43598</v>
      </c>
      <c r="D138" s="419">
        <v>1.43598</v>
      </c>
      <c r="E138" s="428" t="s">
        <v>278</v>
      </c>
      <c r="F138" s="418">
        <v>0</v>
      </c>
      <c r="G138" s="419">
        <v>0</v>
      </c>
      <c r="H138" s="421">
        <v>0</v>
      </c>
      <c r="I138" s="418">
        <v>0.77685000000000004</v>
      </c>
      <c r="J138" s="419">
        <v>0.77685000000000004</v>
      </c>
      <c r="K138" s="429" t="s">
        <v>278</v>
      </c>
    </row>
    <row r="139" spans="1:11" ht="14.4" customHeight="1" thickBot="1" x14ac:dyDescent="0.35">
      <c r="A139" s="439" t="s">
        <v>409</v>
      </c>
      <c r="B139" s="423">
        <v>0</v>
      </c>
      <c r="C139" s="423">
        <v>1.43598</v>
      </c>
      <c r="D139" s="424">
        <v>1.43598</v>
      </c>
      <c r="E139" s="425" t="s">
        <v>278</v>
      </c>
      <c r="F139" s="423">
        <v>0</v>
      </c>
      <c r="G139" s="424">
        <v>0</v>
      </c>
      <c r="H139" s="426">
        <v>0</v>
      </c>
      <c r="I139" s="423">
        <v>0.77685000000000004</v>
      </c>
      <c r="J139" s="424">
        <v>0.77685000000000004</v>
      </c>
      <c r="K139" s="427" t="s">
        <v>278</v>
      </c>
    </row>
    <row r="140" spans="1:11" ht="14.4" customHeight="1" thickBot="1" x14ac:dyDescent="0.35">
      <c r="A140" s="440" t="s">
        <v>410</v>
      </c>
      <c r="B140" s="418">
        <v>0</v>
      </c>
      <c r="C140" s="418">
        <v>1.43598</v>
      </c>
      <c r="D140" s="419">
        <v>1.43598</v>
      </c>
      <c r="E140" s="428" t="s">
        <v>278</v>
      </c>
      <c r="F140" s="418">
        <v>0</v>
      </c>
      <c r="G140" s="419">
        <v>0</v>
      </c>
      <c r="H140" s="421">
        <v>0</v>
      </c>
      <c r="I140" s="418">
        <v>0.77685000000000004</v>
      </c>
      <c r="J140" s="419">
        <v>0.77685000000000004</v>
      </c>
      <c r="K140" s="429" t="s">
        <v>278</v>
      </c>
    </row>
    <row r="141" spans="1:11" ht="14.4" customHeight="1" thickBot="1" x14ac:dyDescent="0.35">
      <c r="A141" s="436" t="s">
        <v>411</v>
      </c>
      <c r="B141" s="418">
        <v>52299.513625355699</v>
      </c>
      <c r="C141" s="418">
        <v>60730.06609</v>
      </c>
      <c r="D141" s="419">
        <v>8430.5524646443191</v>
      </c>
      <c r="E141" s="420">
        <v>1.161197530918</v>
      </c>
      <c r="F141" s="418">
        <v>59224.982298911498</v>
      </c>
      <c r="G141" s="419">
        <v>44418.736724183596</v>
      </c>
      <c r="H141" s="421">
        <v>6033.2527300000002</v>
      </c>
      <c r="I141" s="418">
        <v>54824.663500000002</v>
      </c>
      <c r="J141" s="419">
        <v>10405.926775816401</v>
      </c>
      <c r="K141" s="422">
        <v>0.92570164433799995</v>
      </c>
    </row>
    <row r="142" spans="1:11" ht="14.4" customHeight="1" thickBot="1" x14ac:dyDescent="0.35">
      <c r="A142" s="437" t="s">
        <v>412</v>
      </c>
      <c r="B142" s="418">
        <v>52281.843154549199</v>
      </c>
      <c r="C142" s="418">
        <v>60666.476089999996</v>
      </c>
      <c r="D142" s="419">
        <v>8384.6329354507398</v>
      </c>
      <c r="E142" s="420">
        <v>1.160373705851</v>
      </c>
      <c r="F142" s="418">
        <v>59201.982298911498</v>
      </c>
      <c r="G142" s="419">
        <v>44401.486724183596</v>
      </c>
      <c r="H142" s="421">
        <v>6033.2447300000003</v>
      </c>
      <c r="I142" s="418">
        <v>54824.643499999998</v>
      </c>
      <c r="J142" s="419">
        <v>10423.1567758164</v>
      </c>
      <c r="K142" s="422">
        <v>0.92606094206699996</v>
      </c>
    </row>
    <row r="143" spans="1:11" ht="14.4" customHeight="1" thickBot="1" x14ac:dyDescent="0.35">
      <c r="A143" s="438" t="s">
        <v>413</v>
      </c>
      <c r="B143" s="418">
        <v>52281.843154549199</v>
      </c>
      <c r="C143" s="418">
        <v>60666.476089999996</v>
      </c>
      <c r="D143" s="419">
        <v>8384.6329354507398</v>
      </c>
      <c r="E143" s="420">
        <v>1.160373705851</v>
      </c>
      <c r="F143" s="418">
        <v>59201.982298911498</v>
      </c>
      <c r="G143" s="419">
        <v>44401.486724183596</v>
      </c>
      <c r="H143" s="421">
        <v>6033.2447300000003</v>
      </c>
      <c r="I143" s="418">
        <v>54824.643499999998</v>
      </c>
      <c r="J143" s="419">
        <v>10423.1567758164</v>
      </c>
      <c r="K143" s="422">
        <v>0.92606094206699996</v>
      </c>
    </row>
    <row r="144" spans="1:11" ht="14.4" customHeight="1" thickBot="1" x14ac:dyDescent="0.35">
      <c r="A144" s="439" t="s">
        <v>414</v>
      </c>
      <c r="B144" s="423">
        <v>523.84315454924194</v>
      </c>
      <c r="C144" s="423">
        <v>370.05417999999997</v>
      </c>
      <c r="D144" s="424">
        <v>-153.788974549242</v>
      </c>
      <c r="E144" s="430">
        <v>0.70642171571000001</v>
      </c>
      <c r="F144" s="423">
        <v>347.62220521387701</v>
      </c>
      <c r="G144" s="424">
        <v>260.71665391040699</v>
      </c>
      <c r="H144" s="426">
        <v>0</v>
      </c>
      <c r="I144" s="423">
        <v>37.214559999999999</v>
      </c>
      <c r="J144" s="424">
        <v>-223.50209391040701</v>
      </c>
      <c r="K144" s="431">
        <v>0.107054611131</v>
      </c>
    </row>
    <row r="145" spans="1:11" ht="14.4" customHeight="1" thickBot="1" x14ac:dyDescent="0.35">
      <c r="A145" s="440" t="s">
        <v>415</v>
      </c>
      <c r="B145" s="418">
        <v>286.764656544758</v>
      </c>
      <c r="C145" s="418">
        <v>177.20684</v>
      </c>
      <c r="D145" s="419">
        <v>-109.557816544758</v>
      </c>
      <c r="E145" s="420">
        <v>0.61795216375299999</v>
      </c>
      <c r="F145" s="418">
        <v>165.40040387859099</v>
      </c>
      <c r="G145" s="419">
        <v>124.050302908944</v>
      </c>
      <c r="H145" s="421">
        <v>0</v>
      </c>
      <c r="I145" s="418">
        <v>15.486000000000001</v>
      </c>
      <c r="J145" s="419">
        <v>-108.564302908944</v>
      </c>
      <c r="K145" s="422">
        <v>9.3627340906000001E-2</v>
      </c>
    </row>
    <row r="146" spans="1:11" ht="14.4" customHeight="1" thickBot="1" x14ac:dyDescent="0.35">
      <c r="A146" s="440" t="s">
        <v>416</v>
      </c>
      <c r="B146" s="418">
        <v>4.8157673596199997</v>
      </c>
      <c r="C146" s="418">
        <v>0</v>
      </c>
      <c r="D146" s="419">
        <v>-4.8157673596199997</v>
      </c>
      <c r="E146" s="420">
        <v>0</v>
      </c>
      <c r="F146" s="418">
        <v>0</v>
      </c>
      <c r="G146" s="419">
        <v>0</v>
      </c>
      <c r="H146" s="421">
        <v>0</v>
      </c>
      <c r="I146" s="418">
        <v>0.72799999999999998</v>
      </c>
      <c r="J146" s="419">
        <v>0.72799999999999998</v>
      </c>
      <c r="K146" s="429" t="s">
        <v>295</v>
      </c>
    </row>
    <row r="147" spans="1:11" ht="14.4" customHeight="1" thickBot="1" x14ac:dyDescent="0.35">
      <c r="A147" s="440" t="s">
        <v>417</v>
      </c>
      <c r="B147" s="418">
        <v>232.26273064486401</v>
      </c>
      <c r="C147" s="418">
        <v>192.84734</v>
      </c>
      <c r="D147" s="419">
        <v>-39.415390644863002</v>
      </c>
      <c r="E147" s="420">
        <v>0.83029825518900002</v>
      </c>
      <c r="F147" s="418">
        <v>182.22180133528499</v>
      </c>
      <c r="G147" s="419">
        <v>136.66635100146399</v>
      </c>
      <c r="H147" s="421">
        <v>0</v>
      </c>
      <c r="I147" s="418">
        <v>21.00056</v>
      </c>
      <c r="J147" s="419">
        <v>-115.665791001464</v>
      </c>
      <c r="K147" s="422">
        <v>0.115247241801</v>
      </c>
    </row>
    <row r="148" spans="1:11" ht="14.4" customHeight="1" thickBot="1" x14ac:dyDescent="0.35">
      <c r="A148" s="439" t="s">
        <v>418</v>
      </c>
      <c r="B148" s="423">
        <v>0</v>
      </c>
      <c r="C148" s="423">
        <v>6.6675000000000004</v>
      </c>
      <c r="D148" s="424">
        <v>6.6675000000000004</v>
      </c>
      <c r="E148" s="425" t="s">
        <v>278</v>
      </c>
      <c r="F148" s="423">
        <v>5.1116973209059999</v>
      </c>
      <c r="G148" s="424">
        <v>3.8337729906789999</v>
      </c>
      <c r="H148" s="426">
        <v>0</v>
      </c>
      <c r="I148" s="423">
        <v>207.99544</v>
      </c>
      <c r="J148" s="424">
        <v>204.16166700932001</v>
      </c>
      <c r="K148" s="431">
        <v>40.690093122164001</v>
      </c>
    </row>
    <row r="149" spans="1:11" ht="14.4" customHeight="1" thickBot="1" x14ac:dyDescent="0.35">
      <c r="A149" s="440" t="s">
        <v>419</v>
      </c>
      <c r="B149" s="418">
        <v>0</v>
      </c>
      <c r="C149" s="418">
        <v>6.6675000000000004</v>
      </c>
      <c r="D149" s="419">
        <v>6.6675000000000004</v>
      </c>
      <c r="E149" s="428" t="s">
        <v>278</v>
      </c>
      <c r="F149" s="418">
        <v>5.1116973209059999</v>
      </c>
      <c r="G149" s="419">
        <v>3.8337729906789999</v>
      </c>
      <c r="H149" s="421">
        <v>0</v>
      </c>
      <c r="I149" s="418">
        <v>70.037840000000003</v>
      </c>
      <c r="J149" s="419">
        <v>66.204067009319999</v>
      </c>
      <c r="K149" s="422">
        <v>13.701484184822</v>
      </c>
    </row>
    <row r="150" spans="1:11" ht="14.4" customHeight="1" thickBot="1" x14ac:dyDescent="0.35">
      <c r="A150" s="440" t="s">
        <v>420</v>
      </c>
      <c r="B150" s="418">
        <v>0</v>
      </c>
      <c r="C150" s="418">
        <v>0</v>
      </c>
      <c r="D150" s="419">
        <v>0</v>
      </c>
      <c r="E150" s="428" t="s">
        <v>278</v>
      </c>
      <c r="F150" s="418">
        <v>0</v>
      </c>
      <c r="G150" s="419">
        <v>0</v>
      </c>
      <c r="H150" s="421">
        <v>0</v>
      </c>
      <c r="I150" s="418">
        <v>137.95760000000001</v>
      </c>
      <c r="J150" s="419">
        <v>137.95760000000001</v>
      </c>
      <c r="K150" s="429" t="s">
        <v>295</v>
      </c>
    </row>
    <row r="151" spans="1:11" ht="14.4" customHeight="1" thickBot="1" x14ac:dyDescent="0.35">
      <c r="A151" s="439" t="s">
        <v>421</v>
      </c>
      <c r="B151" s="423">
        <v>0</v>
      </c>
      <c r="C151" s="423">
        <v>77.154660000000007</v>
      </c>
      <c r="D151" s="424">
        <v>77.154660000000007</v>
      </c>
      <c r="E151" s="425" t="s">
        <v>278</v>
      </c>
      <c r="F151" s="423">
        <v>112.248396361396</v>
      </c>
      <c r="G151" s="424">
        <v>84.186297271046996</v>
      </c>
      <c r="H151" s="426">
        <v>0</v>
      </c>
      <c r="I151" s="423">
        <v>0</v>
      </c>
      <c r="J151" s="424">
        <v>-84.186297271046996</v>
      </c>
      <c r="K151" s="431">
        <v>0</v>
      </c>
    </row>
    <row r="152" spans="1:11" ht="14.4" customHeight="1" thickBot="1" x14ac:dyDescent="0.35">
      <c r="A152" s="440" t="s">
        <v>422</v>
      </c>
      <c r="B152" s="418">
        <v>0</v>
      </c>
      <c r="C152" s="418">
        <v>4.25549</v>
      </c>
      <c r="D152" s="419">
        <v>4.25549</v>
      </c>
      <c r="E152" s="428" t="s">
        <v>278</v>
      </c>
      <c r="F152" s="418">
        <v>4.2483963613669999</v>
      </c>
      <c r="G152" s="419">
        <v>3.1862972710249999</v>
      </c>
      <c r="H152" s="421">
        <v>0</v>
      </c>
      <c r="I152" s="418">
        <v>0</v>
      </c>
      <c r="J152" s="419">
        <v>-3.1862972710249999</v>
      </c>
      <c r="K152" s="422">
        <v>0</v>
      </c>
    </row>
    <row r="153" spans="1:11" ht="14.4" customHeight="1" thickBot="1" x14ac:dyDescent="0.35">
      <c r="A153" s="440" t="s">
        <v>423</v>
      </c>
      <c r="B153" s="418">
        <v>0</v>
      </c>
      <c r="C153" s="418">
        <v>72.899169999999998</v>
      </c>
      <c r="D153" s="419">
        <v>72.899169999999998</v>
      </c>
      <c r="E153" s="428" t="s">
        <v>278</v>
      </c>
      <c r="F153" s="418">
        <v>108.000000000028</v>
      </c>
      <c r="G153" s="419">
        <v>81.000000000021004</v>
      </c>
      <c r="H153" s="421">
        <v>0</v>
      </c>
      <c r="I153" s="418">
        <v>0</v>
      </c>
      <c r="J153" s="419">
        <v>-81.000000000021004</v>
      </c>
      <c r="K153" s="422">
        <v>0</v>
      </c>
    </row>
    <row r="154" spans="1:11" ht="14.4" customHeight="1" thickBot="1" x14ac:dyDescent="0.35">
      <c r="A154" s="439" t="s">
        <v>424</v>
      </c>
      <c r="B154" s="423">
        <v>51758</v>
      </c>
      <c r="C154" s="423">
        <v>56698.47395</v>
      </c>
      <c r="D154" s="424">
        <v>4940.4739499999996</v>
      </c>
      <c r="E154" s="430">
        <v>1.0954533395799999</v>
      </c>
      <c r="F154" s="423">
        <v>58737.000000015301</v>
      </c>
      <c r="G154" s="424">
        <v>44052.750000011503</v>
      </c>
      <c r="H154" s="426">
        <v>6288.57258</v>
      </c>
      <c r="I154" s="423">
        <v>51784.197560000001</v>
      </c>
      <c r="J154" s="424">
        <v>7731.44755998849</v>
      </c>
      <c r="K154" s="431">
        <v>0.88162823365099996</v>
      </c>
    </row>
    <row r="155" spans="1:11" ht="14.4" customHeight="1" thickBot="1" x14ac:dyDescent="0.35">
      <c r="A155" s="440" t="s">
        <v>425</v>
      </c>
      <c r="B155" s="418">
        <v>18476</v>
      </c>
      <c r="C155" s="418">
        <v>20686.803810000001</v>
      </c>
      <c r="D155" s="419">
        <v>2210.8038099999899</v>
      </c>
      <c r="E155" s="420">
        <v>1.119658140831</v>
      </c>
      <c r="F155" s="418">
        <v>23672.000000006199</v>
      </c>
      <c r="G155" s="419">
        <v>17754.000000004598</v>
      </c>
      <c r="H155" s="421">
        <v>1779.09807</v>
      </c>
      <c r="I155" s="418">
        <v>18401.09446</v>
      </c>
      <c r="J155" s="419">
        <v>647.09445999536194</v>
      </c>
      <c r="K155" s="422">
        <v>0.77733585924199999</v>
      </c>
    </row>
    <row r="156" spans="1:11" ht="14.4" customHeight="1" thickBot="1" x14ac:dyDescent="0.35">
      <c r="A156" s="440" t="s">
        <v>426</v>
      </c>
      <c r="B156" s="418">
        <v>33282</v>
      </c>
      <c r="C156" s="418">
        <v>36011.670140000002</v>
      </c>
      <c r="D156" s="419">
        <v>2729.6701400000002</v>
      </c>
      <c r="E156" s="420">
        <v>1.08201640947</v>
      </c>
      <c r="F156" s="418">
        <v>35065.000000009197</v>
      </c>
      <c r="G156" s="419">
        <v>26298.750000006901</v>
      </c>
      <c r="H156" s="421">
        <v>4509.47451</v>
      </c>
      <c r="I156" s="418">
        <v>33383.1031</v>
      </c>
      <c r="J156" s="419">
        <v>7084.3530999931299</v>
      </c>
      <c r="K156" s="422">
        <v>0.95203488093499999</v>
      </c>
    </row>
    <row r="157" spans="1:11" ht="14.4" customHeight="1" thickBot="1" x14ac:dyDescent="0.35">
      <c r="A157" s="439" t="s">
        <v>427</v>
      </c>
      <c r="B157" s="423">
        <v>0</v>
      </c>
      <c r="C157" s="423">
        <v>3514.1257999999998</v>
      </c>
      <c r="D157" s="424">
        <v>3514.1257999999998</v>
      </c>
      <c r="E157" s="425" t="s">
        <v>278</v>
      </c>
      <c r="F157" s="423">
        <v>0</v>
      </c>
      <c r="G157" s="424">
        <v>0</v>
      </c>
      <c r="H157" s="426">
        <v>-255.32785000000001</v>
      </c>
      <c r="I157" s="423">
        <v>2795.23594</v>
      </c>
      <c r="J157" s="424">
        <v>2795.23594</v>
      </c>
      <c r="K157" s="427" t="s">
        <v>278</v>
      </c>
    </row>
    <row r="158" spans="1:11" ht="14.4" customHeight="1" thickBot="1" x14ac:dyDescent="0.35">
      <c r="A158" s="440" t="s">
        <v>428</v>
      </c>
      <c r="B158" s="418">
        <v>0</v>
      </c>
      <c r="C158" s="418">
        <v>130.19875999999999</v>
      </c>
      <c r="D158" s="419">
        <v>130.19875999999999</v>
      </c>
      <c r="E158" s="428" t="s">
        <v>278</v>
      </c>
      <c r="F158" s="418">
        <v>0</v>
      </c>
      <c r="G158" s="419">
        <v>0</v>
      </c>
      <c r="H158" s="421">
        <v>0</v>
      </c>
      <c r="I158" s="418">
        <v>521.49698999999998</v>
      </c>
      <c r="J158" s="419">
        <v>521.49698999999998</v>
      </c>
      <c r="K158" s="429" t="s">
        <v>278</v>
      </c>
    </row>
    <row r="159" spans="1:11" ht="14.4" customHeight="1" thickBot="1" x14ac:dyDescent="0.35">
      <c r="A159" s="440" t="s">
        <v>429</v>
      </c>
      <c r="B159" s="418">
        <v>0</v>
      </c>
      <c r="C159" s="418">
        <v>3383.92704</v>
      </c>
      <c r="D159" s="419">
        <v>3383.92704</v>
      </c>
      <c r="E159" s="428" t="s">
        <v>278</v>
      </c>
      <c r="F159" s="418">
        <v>0</v>
      </c>
      <c r="G159" s="419">
        <v>0</v>
      </c>
      <c r="H159" s="421">
        <v>-255.32785000000001</v>
      </c>
      <c r="I159" s="418">
        <v>2273.7389499999999</v>
      </c>
      <c r="J159" s="419">
        <v>2273.7389499999999</v>
      </c>
      <c r="K159" s="429" t="s">
        <v>278</v>
      </c>
    </row>
    <row r="160" spans="1:11" ht="14.4" customHeight="1" thickBot="1" x14ac:dyDescent="0.35">
      <c r="A160" s="437" t="s">
        <v>430</v>
      </c>
      <c r="B160" s="418">
        <v>17.670470806421999</v>
      </c>
      <c r="C160" s="418">
        <v>63.566580000000002</v>
      </c>
      <c r="D160" s="419">
        <v>45.896109193576997</v>
      </c>
      <c r="E160" s="420">
        <v>3.5973336928230002</v>
      </c>
      <c r="F160" s="418">
        <v>23</v>
      </c>
      <c r="G160" s="419">
        <v>17.25</v>
      </c>
      <c r="H160" s="421">
        <v>8.0000000000000002E-3</v>
      </c>
      <c r="I160" s="418">
        <v>0.02</v>
      </c>
      <c r="J160" s="419">
        <v>-17.23</v>
      </c>
      <c r="K160" s="422">
        <v>8.6956521699999999E-4</v>
      </c>
    </row>
    <row r="161" spans="1:11" ht="14.4" customHeight="1" thickBot="1" x14ac:dyDescent="0.35">
      <c r="A161" s="438" t="s">
        <v>431</v>
      </c>
      <c r="B161" s="418">
        <v>0</v>
      </c>
      <c r="C161" s="418">
        <v>11.58882</v>
      </c>
      <c r="D161" s="419">
        <v>11.58882</v>
      </c>
      <c r="E161" s="428" t="s">
        <v>278</v>
      </c>
      <c r="F161" s="418">
        <v>0</v>
      </c>
      <c r="G161" s="419">
        <v>0</v>
      </c>
      <c r="H161" s="421">
        <v>0</v>
      </c>
      <c r="I161" s="418">
        <v>0</v>
      </c>
      <c r="J161" s="419">
        <v>0</v>
      </c>
      <c r="K161" s="422">
        <v>0</v>
      </c>
    </row>
    <row r="162" spans="1:11" ht="14.4" customHeight="1" thickBot="1" x14ac:dyDescent="0.35">
      <c r="A162" s="439" t="s">
        <v>432</v>
      </c>
      <c r="B162" s="423">
        <v>0</v>
      </c>
      <c r="C162" s="423">
        <v>11.58882</v>
      </c>
      <c r="D162" s="424">
        <v>11.58882</v>
      </c>
      <c r="E162" s="425" t="s">
        <v>295</v>
      </c>
      <c r="F162" s="423">
        <v>0</v>
      </c>
      <c r="G162" s="424">
        <v>0</v>
      </c>
      <c r="H162" s="426">
        <v>0</v>
      </c>
      <c r="I162" s="423">
        <v>0</v>
      </c>
      <c r="J162" s="424">
        <v>0</v>
      </c>
      <c r="K162" s="431">
        <v>0</v>
      </c>
    </row>
    <row r="163" spans="1:11" ht="14.4" customHeight="1" thickBot="1" x14ac:dyDescent="0.35">
      <c r="A163" s="440" t="s">
        <v>433</v>
      </c>
      <c r="B163" s="418">
        <v>0</v>
      </c>
      <c r="C163" s="418">
        <v>11.58882</v>
      </c>
      <c r="D163" s="419">
        <v>11.58882</v>
      </c>
      <c r="E163" s="428" t="s">
        <v>295</v>
      </c>
      <c r="F163" s="418">
        <v>0</v>
      </c>
      <c r="G163" s="419">
        <v>0</v>
      </c>
      <c r="H163" s="421">
        <v>0</v>
      </c>
      <c r="I163" s="418">
        <v>0</v>
      </c>
      <c r="J163" s="419">
        <v>0</v>
      </c>
      <c r="K163" s="422">
        <v>0</v>
      </c>
    </row>
    <row r="164" spans="1:11" ht="14.4" customHeight="1" thickBot="1" x14ac:dyDescent="0.35">
      <c r="A164" s="443" t="s">
        <v>434</v>
      </c>
      <c r="B164" s="423">
        <v>17.670470806421999</v>
      </c>
      <c r="C164" s="423">
        <v>51.977760000000004</v>
      </c>
      <c r="D164" s="424">
        <v>34.307289193576999</v>
      </c>
      <c r="E164" s="430">
        <v>2.9415039683659998</v>
      </c>
      <c r="F164" s="423">
        <v>23</v>
      </c>
      <c r="G164" s="424">
        <v>17.25</v>
      </c>
      <c r="H164" s="426">
        <v>8.0000000000000002E-3</v>
      </c>
      <c r="I164" s="423">
        <v>0.02</v>
      </c>
      <c r="J164" s="424">
        <v>-17.23</v>
      </c>
      <c r="K164" s="431">
        <v>8.6956521699999999E-4</v>
      </c>
    </row>
    <row r="165" spans="1:11" ht="14.4" customHeight="1" thickBot="1" x14ac:dyDescent="0.35">
      <c r="A165" s="439" t="s">
        <v>435</v>
      </c>
      <c r="B165" s="423">
        <v>0</v>
      </c>
      <c r="C165" s="423">
        <v>1.2600000000000001E-3</v>
      </c>
      <c r="D165" s="424">
        <v>1.2600000000000001E-3</v>
      </c>
      <c r="E165" s="425" t="s">
        <v>278</v>
      </c>
      <c r="F165" s="423">
        <v>0</v>
      </c>
      <c r="G165" s="424">
        <v>0</v>
      </c>
      <c r="H165" s="426">
        <v>0</v>
      </c>
      <c r="I165" s="423">
        <v>0</v>
      </c>
      <c r="J165" s="424">
        <v>0</v>
      </c>
      <c r="K165" s="427" t="s">
        <v>278</v>
      </c>
    </row>
    <row r="166" spans="1:11" ht="14.4" customHeight="1" thickBot="1" x14ac:dyDescent="0.35">
      <c r="A166" s="440" t="s">
        <v>436</v>
      </c>
      <c r="B166" s="418">
        <v>0</v>
      </c>
      <c r="C166" s="418">
        <v>1.2600000000000001E-3</v>
      </c>
      <c r="D166" s="419">
        <v>1.2600000000000001E-3</v>
      </c>
      <c r="E166" s="428" t="s">
        <v>278</v>
      </c>
      <c r="F166" s="418">
        <v>0</v>
      </c>
      <c r="G166" s="419">
        <v>0</v>
      </c>
      <c r="H166" s="421">
        <v>0</v>
      </c>
      <c r="I166" s="418">
        <v>0</v>
      </c>
      <c r="J166" s="419">
        <v>0</v>
      </c>
      <c r="K166" s="429" t="s">
        <v>278</v>
      </c>
    </row>
    <row r="167" spans="1:11" ht="14.4" customHeight="1" thickBot="1" x14ac:dyDescent="0.35">
      <c r="A167" s="439" t="s">
        <v>437</v>
      </c>
      <c r="B167" s="423">
        <v>17.670470806421999</v>
      </c>
      <c r="C167" s="423">
        <v>46.086500000000001</v>
      </c>
      <c r="D167" s="424">
        <v>28.416029193577</v>
      </c>
      <c r="E167" s="430">
        <v>2.6081082108600002</v>
      </c>
      <c r="F167" s="423">
        <v>23</v>
      </c>
      <c r="G167" s="424">
        <v>17.25</v>
      </c>
      <c r="H167" s="426">
        <v>8.0000000000000002E-3</v>
      </c>
      <c r="I167" s="423">
        <v>0.02</v>
      </c>
      <c r="J167" s="424">
        <v>-17.23</v>
      </c>
      <c r="K167" s="431">
        <v>8.6956521699999999E-4</v>
      </c>
    </row>
    <row r="168" spans="1:11" ht="14.4" customHeight="1" thickBot="1" x14ac:dyDescent="0.35">
      <c r="A168" s="440" t="s">
        <v>438</v>
      </c>
      <c r="B168" s="418">
        <v>0</v>
      </c>
      <c r="C168" s="418">
        <v>0.191</v>
      </c>
      <c r="D168" s="419">
        <v>0.191</v>
      </c>
      <c r="E168" s="428" t="s">
        <v>278</v>
      </c>
      <c r="F168" s="418">
        <v>0</v>
      </c>
      <c r="G168" s="419">
        <v>0</v>
      </c>
      <c r="H168" s="421">
        <v>8.0000000000000002E-3</v>
      </c>
      <c r="I168" s="418">
        <v>0.02</v>
      </c>
      <c r="J168" s="419">
        <v>0.02</v>
      </c>
      <c r="K168" s="429" t="s">
        <v>278</v>
      </c>
    </row>
    <row r="169" spans="1:11" ht="14.4" customHeight="1" thickBot="1" x14ac:dyDescent="0.35">
      <c r="A169" s="440" t="s">
        <v>439</v>
      </c>
      <c r="B169" s="418">
        <v>11.714379983222999</v>
      </c>
      <c r="C169" s="418">
        <v>0</v>
      </c>
      <c r="D169" s="419">
        <v>-11.714379983222999</v>
      </c>
      <c r="E169" s="420">
        <v>0</v>
      </c>
      <c r="F169" s="418">
        <v>0</v>
      </c>
      <c r="G169" s="419">
        <v>0</v>
      </c>
      <c r="H169" s="421">
        <v>0</v>
      </c>
      <c r="I169" s="418">
        <v>0</v>
      </c>
      <c r="J169" s="419">
        <v>0</v>
      </c>
      <c r="K169" s="422">
        <v>0</v>
      </c>
    </row>
    <row r="170" spans="1:11" ht="14.4" customHeight="1" thickBot="1" x14ac:dyDescent="0.35">
      <c r="A170" s="440" t="s">
        <v>440</v>
      </c>
      <c r="B170" s="418">
        <v>5.9560908231990002</v>
      </c>
      <c r="C170" s="418">
        <v>26.81812</v>
      </c>
      <c r="D170" s="419">
        <v>20.8620291768</v>
      </c>
      <c r="E170" s="420">
        <v>4.5026378535970002</v>
      </c>
      <c r="F170" s="418">
        <v>23</v>
      </c>
      <c r="G170" s="419">
        <v>17.25</v>
      </c>
      <c r="H170" s="421">
        <v>0</v>
      </c>
      <c r="I170" s="418">
        <v>0</v>
      </c>
      <c r="J170" s="419">
        <v>-17.25</v>
      </c>
      <c r="K170" s="422">
        <v>0</v>
      </c>
    </row>
    <row r="171" spans="1:11" ht="14.4" customHeight="1" thickBot="1" x14ac:dyDescent="0.35">
      <c r="A171" s="440" t="s">
        <v>441</v>
      </c>
      <c r="B171" s="418">
        <v>0</v>
      </c>
      <c r="C171" s="418">
        <v>19.077380000000002</v>
      </c>
      <c r="D171" s="419">
        <v>19.077380000000002</v>
      </c>
      <c r="E171" s="428" t="s">
        <v>278</v>
      </c>
      <c r="F171" s="418">
        <v>0</v>
      </c>
      <c r="G171" s="419">
        <v>0</v>
      </c>
      <c r="H171" s="421">
        <v>0</v>
      </c>
      <c r="I171" s="418">
        <v>0</v>
      </c>
      <c r="J171" s="419">
        <v>0</v>
      </c>
      <c r="K171" s="429" t="s">
        <v>278</v>
      </c>
    </row>
    <row r="172" spans="1:11" ht="14.4" customHeight="1" thickBot="1" x14ac:dyDescent="0.35">
      <c r="A172" s="439" t="s">
        <v>442</v>
      </c>
      <c r="B172" s="423">
        <v>0</v>
      </c>
      <c r="C172" s="423">
        <v>5.89</v>
      </c>
      <c r="D172" s="424">
        <v>5.89</v>
      </c>
      <c r="E172" s="425" t="s">
        <v>278</v>
      </c>
      <c r="F172" s="423">
        <v>0</v>
      </c>
      <c r="G172" s="424">
        <v>0</v>
      </c>
      <c r="H172" s="426">
        <v>0</v>
      </c>
      <c r="I172" s="423">
        <v>0</v>
      </c>
      <c r="J172" s="424">
        <v>0</v>
      </c>
      <c r="K172" s="427" t="s">
        <v>278</v>
      </c>
    </row>
    <row r="173" spans="1:11" ht="14.4" customHeight="1" thickBot="1" x14ac:dyDescent="0.35">
      <c r="A173" s="440" t="s">
        <v>443</v>
      </c>
      <c r="B173" s="418">
        <v>0</v>
      </c>
      <c r="C173" s="418">
        <v>5.89</v>
      </c>
      <c r="D173" s="419">
        <v>5.89</v>
      </c>
      <c r="E173" s="428" t="s">
        <v>278</v>
      </c>
      <c r="F173" s="418">
        <v>0</v>
      </c>
      <c r="G173" s="419">
        <v>0</v>
      </c>
      <c r="H173" s="421">
        <v>0</v>
      </c>
      <c r="I173" s="418">
        <v>0</v>
      </c>
      <c r="J173" s="419">
        <v>0</v>
      </c>
      <c r="K173" s="429" t="s">
        <v>278</v>
      </c>
    </row>
    <row r="174" spans="1:11" ht="14.4" customHeight="1" thickBot="1" x14ac:dyDescent="0.35">
      <c r="A174" s="437" t="s">
        <v>444</v>
      </c>
      <c r="B174" s="418">
        <v>0</v>
      </c>
      <c r="C174" s="418">
        <v>2.342E-2</v>
      </c>
      <c r="D174" s="419">
        <v>2.342E-2</v>
      </c>
      <c r="E174" s="428" t="s">
        <v>295</v>
      </c>
      <c r="F174" s="418">
        <v>0</v>
      </c>
      <c r="G174" s="419">
        <v>0</v>
      </c>
      <c r="H174" s="421">
        <v>0</v>
      </c>
      <c r="I174" s="418">
        <v>0</v>
      </c>
      <c r="J174" s="419">
        <v>0</v>
      </c>
      <c r="K174" s="429" t="s">
        <v>278</v>
      </c>
    </row>
    <row r="175" spans="1:11" ht="14.4" customHeight="1" thickBot="1" x14ac:dyDescent="0.35">
      <c r="A175" s="443" t="s">
        <v>445</v>
      </c>
      <c r="B175" s="423">
        <v>0</v>
      </c>
      <c r="C175" s="423">
        <v>2.342E-2</v>
      </c>
      <c r="D175" s="424">
        <v>2.342E-2</v>
      </c>
      <c r="E175" s="425" t="s">
        <v>295</v>
      </c>
      <c r="F175" s="423">
        <v>0</v>
      </c>
      <c r="G175" s="424">
        <v>0</v>
      </c>
      <c r="H175" s="426">
        <v>0</v>
      </c>
      <c r="I175" s="423">
        <v>0</v>
      </c>
      <c r="J175" s="424">
        <v>0</v>
      </c>
      <c r="K175" s="427" t="s">
        <v>278</v>
      </c>
    </row>
    <row r="176" spans="1:11" ht="14.4" customHeight="1" thickBot="1" x14ac:dyDescent="0.35">
      <c r="A176" s="439" t="s">
        <v>446</v>
      </c>
      <c r="B176" s="423">
        <v>0</v>
      </c>
      <c r="C176" s="423">
        <v>2.342E-2</v>
      </c>
      <c r="D176" s="424">
        <v>2.342E-2</v>
      </c>
      <c r="E176" s="425" t="s">
        <v>295</v>
      </c>
      <c r="F176" s="423">
        <v>0</v>
      </c>
      <c r="G176" s="424">
        <v>0</v>
      </c>
      <c r="H176" s="426">
        <v>0</v>
      </c>
      <c r="I176" s="423">
        <v>0</v>
      </c>
      <c r="J176" s="424">
        <v>0</v>
      </c>
      <c r="K176" s="427" t="s">
        <v>278</v>
      </c>
    </row>
    <row r="177" spans="1:11" ht="14.4" customHeight="1" thickBot="1" x14ac:dyDescent="0.35">
      <c r="A177" s="440" t="s">
        <v>447</v>
      </c>
      <c r="B177" s="418">
        <v>0</v>
      </c>
      <c r="C177" s="418">
        <v>2.342E-2</v>
      </c>
      <c r="D177" s="419">
        <v>2.342E-2</v>
      </c>
      <c r="E177" s="428" t="s">
        <v>295</v>
      </c>
      <c r="F177" s="418">
        <v>0</v>
      </c>
      <c r="G177" s="419">
        <v>0</v>
      </c>
      <c r="H177" s="421">
        <v>0</v>
      </c>
      <c r="I177" s="418">
        <v>0</v>
      </c>
      <c r="J177" s="419">
        <v>0</v>
      </c>
      <c r="K177" s="429" t="s">
        <v>278</v>
      </c>
    </row>
    <row r="178" spans="1:11" ht="14.4" customHeight="1" thickBot="1" x14ac:dyDescent="0.35">
      <c r="A178" s="436" t="s">
        <v>448</v>
      </c>
      <c r="B178" s="418">
        <v>2267.0007088176899</v>
      </c>
      <c r="C178" s="418">
        <v>2187.9432099999999</v>
      </c>
      <c r="D178" s="419">
        <v>-79.057498817690998</v>
      </c>
      <c r="E178" s="420">
        <v>0.96512683100999996</v>
      </c>
      <c r="F178" s="418">
        <v>2585.1075248492298</v>
      </c>
      <c r="G178" s="419">
        <v>1938.8306436369301</v>
      </c>
      <c r="H178" s="421">
        <v>202.55850000000001</v>
      </c>
      <c r="I178" s="418">
        <v>1692.28755</v>
      </c>
      <c r="J178" s="419">
        <v>-246.543093636924</v>
      </c>
      <c r="K178" s="422">
        <v>0.65462946269400002</v>
      </c>
    </row>
    <row r="179" spans="1:11" ht="14.4" customHeight="1" thickBot="1" x14ac:dyDescent="0.35">
      <c r="A179" s="441" t="s">
        <v>449</v>
      </c>
      <c r="B179" s="423">
        <v>2267.0007088176899</v>
      </c>
      <c r="C179" s="423">
        <v>2187.9432099999999</v>
      </c>
      <c r="D179" s="424">
        <v>-79.057498817690998</v>
      </c>
      <c r="E179" s="430">
        <v>0.96512683100999996</v>
      </c>
      <c r="F179" s="423">
        <v>2585.1075248492298</v>
      </c>
      <c r="G179" s="424">
        <v>1938.8306436369301</v>
      </c>
      <c r="H179" s="426">
        <v>202.55850000000001</v>
      </c>
      <c r="I179" s="423">
        <v>1692.28755</v>
      </c>
      <c r="J179" s="424">
        <v>-246.543093636924</v>
      </c>
      <c r="K179" s="431">
        <v>0.65462946269400002</v>
      </c>
    </row>
    <row r="180" spans="1:11" ht="14.4" customHeight="1" thickBot="1" x14ac:dyDescent="0.35">
      <c r="A180" s="443" t="s">
        <v>54</v>
      </c>
      <c r="B180" s="423">
        <v>2267.0007088176899</v>
      </c>
      <c r="C180" s="423">
        <v>2187.9432099999999</v>
      </c>
      <c r="D180" s="424">
        <v>-79.057498817690998</v>
      </c>
      <c r="E180" s="430">
        <v>0.96512683100999996</v>
      </c>
      <c r="F180" s="423">
        <v>2585.1075248492298</v>
      </c>
      <c r="G180" s="424">
        <v>1938.8306436369301</v>
      </c>
      <c r="H180" s="426">
        <v>202.55850000000001</v>
      </c>
      <c r="I180" s="423">
        <v>1692.28755</v>
      </c>
      <c r="J180" s="424">
        <v>-246.543093636924</v>
      </c>
      <c r="K180" s="431">
        <v>0.65462946269400002</v>
      </c>
    </row>
    <row r="181" spans="1:11" ht="14.4" customHeight="1" thickBot="1" x14ac:dyDescent="0.35">
      <c r="A181" s="439" t="s">
        <v>450</v>
      </c>
      <c r="B181" s="423">
        <v>18</v>
      </c>
      <c r="C181" s="423">
        <v>40.326000000000001</v>
      </c>
      <c r="D181" s="424">
        <v>22.326000000000001</v>
      </c>
      <c r="E181" s="430">
        <v>2.240333333333</v>
      </c>
      <c r="F181" s="423">
        <v>43.651651418348003</v>
      </c>
      <c r="G181" s="424">
        <v>32.738738563760997</v>
      </c>
      <c r="H181" s="426">
        <v>3.3959999999999999</v>
      </c>
      <c r="I181" s="423">
        <v>30.33325</v>
      </c>
      <c r="J181" s="424">
        <v>-2.4054885637610002</v>
      </c>
      <c r="K181" s="431">
        <v>0.69489352669100002</v>
      </c>
    </row>
    <row r="182" spans="1:11" ht="14.4" customHeight="1" thickBot="1" x14ac:dyDescent="0.35">
      <c r="A182" s="440" t="s">
        <v>451</v>
      </c>
      <c r="B182" s="418">
        <v>18</v>
      </c>
      <c r="C182" s="418">
        <v>40.326000000000001</v>
      </c>
      <c r="D182" s="419">
        <v>22.326000000000001</v>
      </c>
      <c r="E182" s="420">
        <v>2.240333333333</v>
      </c>
      <c r="F182" s="418">
        <v>43.651651418348003</v>
      </c>
      <c r="G182" s="419">
        <v>32.738738563760997</v>
      </c>
      <c r="H182" s="421">
        <v>3.3959999999999999</v>
      </c>
      <c r="I182" s="418">
        <v>30.33325</v>
      </c>
      <c r="J182" s="419">
        <v>-2.4054885637610002</v>
      </c>
      <c r="K182" s="422">
        <v>0.69489352669100002</v>
      </c>
    </row>
    <row r="183" spans="1:11" ht="14.4" customHeight="1" thickBot="1" x14ac:dyDescent="0.35">
      <c r="A183" s="439" t="s">
        <v>452</v>
      </c>
      <c r="B183" s="423">
        <v>5.0007088176919998</v>
      </c>
      <c r="C183" s="423">
        <v>4.8557800000000002</v>
      </c>
      <c r="D183" s="424">
        <v>-0.144928817692</v>
      </c>
      <c r="E183" s="430">
        <v>0.97101834500299999</v>
      </c>
      <c r="F183" s="423">
        <v>5.3044056967920001</v>
      </c>
      <c r="G183" s="424">
        <v>3.9783042725939999</v>
      </c>
      <c r="H183" s="426">
        <v>0.39101999999999998</v>
      </c>
      <c r="I183" s="423">
        <v>3.8089</v>
      </c>
      <c r="J183" s="424">
        <v>-0.16940427259400001</v>
      </c>
      <c r="K183" s="431">
        <v>0.71806347736599996</v>
      </c>
    </row>
    <row r="184" spans="1:11" ht="14.4" customHeight="1" thickBot="1" x14ac:dyDescent="0.35">
      <c r="A184" s="440" t="s">
        <v>453</v>
      </c>
      <c r="B184" s="418">
        <v>5.0007088176919998</v>
      </c>
      <c r="C184" s="418">
        <v>4.8557800000000002</v>
      </c>
      <c r="D184" s="419">
        <v>-0.144928817692</v>
      </c>
      <c r="E184" s="420">
        <v>0.97101834500299999</v>
      </c>
      <c r="F184" s="418">
        <v>0</v>
      </c>
      <c r="G184" s="419">
        <v>0</v>
      </c>
      <c r="H184" s="421">
        <v>0</v>
      </c>
      <c r="I184" s="418">
        <v>7.9936057773011302E-15</v>
      </c>
      <c r="J184" s="419">
        <v>7.9936057773011302E-15</v>
      </c>
      <c r="K184" s="429" t="s">
        <v>278</v>
      </c>
    </row>
    <row r="185" spans="1:11" ht="14.4" customHeight="1" thickBot="1" x14ac:dyDescent="0.35">
      <c r="A185" s="440" t="s">
        <v>454</v>
      </c>
      <c r="B185" s="418">
        <v>0</v>
      </c>
      <c r="C185" s="418">
        <v>0</v>
      </c>
      <c r="D185" s="419">
        <v>0</v>
      </c>
      <c r="E185" s="420">
        <v>1</v>
      </c>
      <c r="F185" s="418">
        <v>0</v>
      </c>
      <c r="G185" s="419">
        <v>0</v>
      </c>
      <c r="H185" s="421">
        <v>0</v>
      </c>
      <c r="I185" s="418">
        <v>0.58960000000000001</v>
      </c>
      <c r="J185" s="419">
        <v>0.58960000000000001</v>
      </c>
      <c r="K185" s="429" t="s">
        <v>278</v>
      </c>
    </row>
    <row r="186" spans="1:11" ht="14.4" customHeight="1" thickBot="1" x14ac:dyDescent="0.35">
      <c r="A186" s="440" t="s">
        <v>455</v>
      </c>
      <c r="B186" s="418">
        <v>0</v>
      </c>
      <c r="C186" s="418">
        <v>0</v>
      </c>
      <c r="D186" s="419">
        <v>0</v>
      </c>
      <c r="E186" s="420">
        <v>1</v>
      </c>
      <c r="F186" s="418">
        <v>5.3044056967920001</v>
      </c>
      <c r="G186" s="419">
        <v>3.9783042725939999</v>
      </c>
      <c r="H186" s="421">
        <v>0.39101999999999998</v>
      </c>
      <c r="I186" s="418">
        <v>3.2193000000000001</v>
      </c>
      <c r="J186" s="419">
        <v>-0.75900427259400005</v>
      </c>
      <c r="K186" s="422">
        <v>0.60691059168899997</v>
      </c>
    </row>
    <row r="187" spans="1:11" ht="14.4" customHeight="1" thickBot="1" x14ac:dyDescent="0.35">
      <c r="A187" s="439" t="s">
        <v>456</v>
      </c>
      <c r="B187" s="423">
        <v>46</v>
      </c>
      <c r="C187" s="423">
        <v>30.487279999999998</v>
      </c>
      <c r="D187" s="424">
        <v>-15.51272</v>
      </c>
      <c r="E187" s="430">
        <v>0.66276695652100004</v>
      </c>
      <c r="F187" s="423">
        <v>30.036696195190999</v>
      </c>
      <c r="G187" s="424">
        <v>22.527522146393</v>
      </c>
      <c r="H187" s="426">
        <v>2.8954</v>
      </c>
      <c r="I187" s="423">
        <v>20.850439999999999</v>
      </c>
      <c r="J187" s="424">
        <v>-1.6770821463929999</v>
      </c>
      <c r="K187" s="431">
        <v>0.69416555883800002</v>
      </c>
    </row>
    <row r="188" spans="1:11" ht="14.4" customHeight="1" thickBot="1" x14ac:dyDescent="0.35">
      <c r="A188" s="440" t="s">
        <v>457</v>
      </c>
      <c r="B188" s="418">
        <v>46</v>
      </c>
      <c r="C188" s="418">
        <v>30.487279999999998</v>
      </c>
      <c r="D188" s="419">
        <v>-15.51272</v>
      </c>
      <c r="E188" s="420">
        <v>0.66276695652100004</v>
      </c>
      <c r="F188" s="418">
        <v>30.036696195190999</v>
      </c>
      <c r="G188" s="419">
        <v>22.527522146393</v>
      </c>
      <c r="H188" s="421">
        <v>2.8954</v>
      </c>
      <c r="I188" s="418">
        <v>20.850439999999999</v>
      </c>
      <c r="J188" s="419">
        <v>-1.6770821463929999</v>
      </c>
      <c r="K188" s="422">
        <v>0.69416555883800002</v>
      </c>
    </row>
    <row r="189" spans="1:11" ht="14.4" customHeight="1" thickBot="1" x14ac:dyDescent="0.35">
      <c r="A189" s="439" t="s">
        <v>458</v>
      </c>
      <c r="B189" s="423">
        <v>490</v>
      </c>
      <c r="C189" s="423">
        <v>430.84690000000001</v>
      </c>
      <c r="D189" s="424">
        <v>-59.153099999999</v>
      </c>
      <c r="E189" s="430">
        <v>0.87927938775500003</v>
      </c>
      <c r="F189" s="423">
        <v>876</v>
      </c>
      <c r="G189" s="424">
        <v>657</v>
      </c>
      <c r="H189" s="426">
        <v>65.048839999999998</v>
      </c>
      <c r="I189" s="423">
        <v>556.71644000000094</v>
      </c>
      <c r="J189" s="424">
        <v>-100.283559999999</v>
      </c>
      <c r="K189" s="431">
        <v>0.63552105022799998</v>
      </c>
    </row>
    <row r="190" spans="1:11" ht="14.4" customHeight="1" thickBot="1" x14ac:dyDescent="0.35">
      <c r="A190" s="440" t="s">
        <v>459</v>
      </c>
      <c r="B190" s="418">
        <v>484</v>
      </c>
      <c r="C190" s="418">
        <v>424.17054999999999</v>
      </c>
      <c r="D190" s="419">
        <v>-59.829450000000001</v>
      </c>
      <c r="E190" s="420">
        <v>0.87638543388400003</v>
      </c>
      <c r="F190" s="418">
        <v>876</v>
      </c>
      <c r="G190" s="419">
        <v>657</v>
      </c>
      <c r="H190" s="421">
        <v>65.048839999999998</v>
      </c>
      <c r="I190" s="418">
        <v>556.71644000000094</v>
      </c>
      <c r="J190" s="419">
        <v>-100.283559999999</v>
      </c>
      <c r="K190" s="422">
        <v>0.63552105022799998</v>
      </c>
    </row>
    <row r="191" spans="1:11" ht="14.4" customHeight="1" thickBot="1" x14ac:dyDescent="0.35">
      <c r="A191" s="440" t="s">
        <v>460</v>
      </c>
      <c r="B191" s="418">
        <v>6</v>
      </c>
      <c r="C191" s="418">
        <v>6.6763500000000002</v>
      </c>
      <c r="D191" s="419">
        <v>0.67635000000000001</v>
      </c>
      <c r="E191" s="420">
        <v>1.112725</v>
      </c>
      <c r="F191" s="418">
        <v>0</v>
      </c>
      <c r="G191" s="419">
        <v>0</v>
      </c>
      <c r="H191" s="421">
        <v>0</v>
      </c>
      <c r="I191" s="418">
        <v>0</v>
      </c>
      <c r="J191" s="419">
        <v>0</v>
      </c>
      <c r="K191" s="429" t="s">
        <v>278</v>
      </c>
    </row>
    <row r="192" spans="1:11" ht="14.4" customHeight="1" thickBot="1" x14ac:dyDescent="0.35">
      <c r="A192" s="439" t="s">
        <v>461</v>
      </c>
      <c r="B192" s="423">
        <v>1708</v>
      </c>
      <c r="C192" s="423">
        <v>1681.42725</v>
      </c>
      <c r="D192" s="424">
        <v>-26.572749999999001</v>
      </c>
      <c r="E192" s="430">
        <v>0.98444218384000004</v>
      </c>
      <c r="F192" s="423">
        <v>1630.1147715389</v>
      </c>
      <c r="G192" s="424">
        <v>1222.58607865418</v>
      </c>
      <c r="H192" s="426">
        <v>130.82723999999999</v>
      </c>
      <c r="I192" s="423">
        <v>1080.57852</v>
      </c>
      <c r="J192" s="424">
        <v>-142.007558654175</v>
      </c>
      <c r="K192" s="431">
        <v>0.66288493231599999</v>
      </c>
    </row>
    <row r="193" spans="1:11" ht="14.4" customHeight="1" thickBot="1" x14ac:dyDescent="0.35">
      <c r="A193" s="440" t="s">
        <v>462</v>
      </c>
      <c r="B193" s="418">
        <v>1708</v>
      </c>
      <c r="C193" s="418">
        <v>1681.42725</v>
      </c>
      <c r="D193" s="419">
        <v>-26.572749999999001</v>
      </c>
      <c r="E193" s="420">
        <v>0.98444218384000004</v>
      </c>
      <c r="F193" s="418">
        <v>1630.1147715389</v>
      </c>
      <c r="G193" s="419">
        <v>1222.58607865418</v>
      </c>
      <c r="H193" s="421">
        <v>130.82723999999999</v>
      </c>
      <c r="I193" s="418">
        <v>1080.57852</v>
      </c>
      <c r="J193" s="419">
        <v>-142.007558654175</v>
      </c>
      <c r="K193" s="422">
        <v>0.66288493231599999</v>
      </c>
    </row>
    <row r="194" spans="1:11" ht="14.4" customHeight="1" thickBot="1" x14ac:dyDescent="0.35">
      <c r="A194" s="444"/>
      <c r="B194" s="418">
        <v>25058.589737992701</v>
      </c>
      <c r="C194" s="418">
        <v>34057.584560000003</v>
      </c>
      <c r="D194" s="419">
        <v>8998.9948220072802</v>
      </c>
      <c r="E194" s="420">
        <v>1.3591181673070001</v>
      </c>
      <c r="F194" s="418">
        <v>32441.908648399101</v>
      </c>
      <c r="G194" s="419">
        <v>24331.431486299301</v>
      </c>
      <c r="H194" s="421">
        <v>3575.9110300000002</v>
      </c>
      <c r="I194" s="418">
        <v>37510.412360000002</v>
      </c>
      <c r="J194" s="419">
        <v>13178.980873700701</v>
      </c>
      <c r="K194" s="422">
        <v>1.1562332156999999</v>
      </c>
    </row>
    <row r="195" spans="1:11" ht="14.4" customHeight="1" thickBot="1" x14ac:dyDescent="0.35">
      <c r="A195" s="445" t="s">
        <v>66</v>
      </c>
      <c r="B195" s="432">
        <v>25058.589737992701</v>
      </c>
      <c r="C195" s="432">
        <v>34057.584560000003</v>
      </c>
      <c r="D195" s="433">
        <v>8998.9948220072692</v>
      </c>
      <c r="E195" s="434">
        <v>-0.78433346586700003</v>
      </c>
      <c r="F195" s="432">
        <v>32441.908648399101</v>
      </c>
      <c r="G195" s="433">
        <v>24331.431486299301</v>
      </c>
      <c r="H195" s="432">
        <v>3575.9110300000002</v>
      </c>
      <c r="I195" s="432">
        <v>37510.412360000002</v>
      </c>
      <c r="J195" s="433">
        <v>13178.980873700601</v>
      </c>
      <c r="K195" s="435">
        <v>1.1562332156999999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137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277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2013</v>
      </c>
      <c r="D3" s="293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239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6" t="s">
        <v>463</v>
      </c>
      <c r="B5" s="447" t="s">
        <v>464</v>
      </c>
      <c r="C5" s="448" t="s">
        <v>465</v>
      </c>
      <c r="D5" s="448" t="s">
        <v>465</v>
      </c>
      <c r="E5" s="448"/>
      <c r="F5" s="448" t="s">
        <v>465</v>
      </c>
      <c r="G5" s="448" t="s">
        <v>465</v>
      </c>
      <c r="H5" s="448" t="s">
        <v>465</v>
      </c>
      <c r="I5" s="449" t="s">
        <v>465</v>
      </c>
      <c r="J5" s="450" t="s">
        <v>69</v>
      </c>
    </row>
    <row r="6" spans="1:10" ht="14.4" customHeight="1" x14ac:dyDescent="0.3">
      <c r="A6" s="446" t="s">
        <v>463</v>
      </c>
      <c r="B6" s="447" t="s">
        <v>286</v>
      </c>
      <c r="C6" s="448">
        <v>69.249309999998985</v>
      </c>
      <c r="D6" s="448">
        <v>50.868140000000004</v>
      </c>
      <c r="E6" s="448"/>
      <c r="F6" s="448">
        <v>19.488990000000001</v>
      </c>
      <c r="G6" s="448">
        <v>44.478360433740001</v>
      </c>
      <c r="H6" s="448">
        <v>-24.98937043374</v>
      </c>
      <c r="I6" s="449">
        <v>0.43816790479570411</v>
      </c>
      <c r="J6" s="450" t="s">
        <v>1</v>
      </c>
    </row>
    <row r="7" spans="1:10" ht="14.4" customHeight="1" x14ac:dyDescent="0.3">
      <c r="A7" s="446" t="s">
        <v>463</v>
      </c>
      <c r="B7" s="447" t="s">
        <v>287</v>
      </c>
      <c r="C7" s="448">
        <v>0.22676999999999997</v>
      </c>
      <c r="D7" s="448">
        <v>0</v>
      </c>
      <c r="E7" s="448"/>
      <c r="F7" s="448" t="s">
        <v>465</v>
      </c>
      <c r="G7" s="448" t="s">
        <v>465</v>
      </c>
      <c r="H7" s="448" t="s">
        <v>465</v>
      </c>
      <c r="I7" s="449" t="s">
        <v>465</v>
      </c>
      <c r="J7" s="450" t="s">
        <v>1</v>
      </c>
    </row>
    <row r="8" spans="1:10" ht="14.4" customHeight="1" x14ac:dyDescent="0.3">
      <c r="A8" s="446" t="s">
        <v>463</v>
      </c>
      <c r="B8" s="447" t="s">
        <v>288</v>
      </c>
      <c r="C8" s="448">
        <v>4.2464599999999999</v>
      </c>
      <c r="D8" s="448">
        <v>1.7714399999999999</v>
      </c>
      <c r="E8" s="448"/>
      <c r="F8" s="448">
        <v>0</v>
      </c>
      <c r="G8" s="448">
        <v>1.2580391712682499</v>
      </c>
      <c r="H8" s="448">
        <v>-1.2580391712682499</v>
      </c>
      <c r="I8" s="449">
        <v>0</v>
      </c>
      <c r="J8" s="450" t="s">
        <v>1</v>
      </c>
    </row>
    <row r="9" spans="1:10" ht="14.4" customHeight="1" x14ac:dyDescent="0.3">
      <c r="A9" s="446" t="s">
        <v>463</v>
      </c>
      <c r="B9" s="447" t="s">
        <v>466</v>
      </c>
      <c r="C9" s="448">
        <v>73.722539999998986</v>
      </c>
      <c r="D9" s="448">
        <v>52.639580000000002</v>
      </c>
      <c r="E9" s="448"/>
      <c r="F9" s="448">
        <v>19.488990000000001</v>
      </c>
      <c r="G9" s="448">
        <v>45.736399605008252</v>
      </c>
      <c r="H9" s="448">
        <v>-26.247409605008251</v>
      </c>
      <c r="I9" s="449">
        <v>0.42611552654586099</v>
      </c>
      <c r="J9" s="450" t="s">
        <v>467</v>
      </c>
    </row>
    <row r="11" spans="1:10" ht="14.4" customHeight="1" x14ac:dyDescent="0.3">
      <c r="A11" s="446" t="s">
        <v>463</v>
      </c>
      <c r="B11" s="447" t="s">
        <v>464</v>
      </c>
      <c r="C11" s="448" t="s">
        <v>465</v>
      </c>
      <c r="D11" s="448" t="s">
        <v>465</v>
      </c>
      <c r="E11" s="448"/>
      <c r="F11" s="448" t="s">
        <v>465</v>
      </c>
      <c r="G11" s="448" t="s">
        <v>465</v>
      </c>
      <c r="H11" s="448" t="s">
        <v>465</v>
      </c>
      <c r="I11" s="449" t="s">
        <v>465</v>
      </c>
      <c r="J11" s="450" t="s">
        <v>69</v>
      </c>
    </row>
    <row r="12" spans="1:10" ht="14.4" customHeight="1" x14ac:dyDescent="0.3">
      <c r="A12" s="446" t="s">
        <v>468</v>
      </c>
      <c r="B12" s="447" t="s">
        <v>469</v>
      </c>
      <c r="C12" s="448" t="s">
        <v>465</v>
      </c>
      <c r="D12" s="448" t="s">
        <v>465</v>
      </c>
      <c r="E12" s="448"/>
      <c r="F12" s="448" t="s">
        <v>465</v>
      </c>
      <c r="G12" s="448" t="s">
        <v>465</v>
      </c>
      <c r="H12" s="448" t="s">
        <v>465</v>
      </c>
      <c r="I12" s="449" t="s">
        <v>465</v>
      </c>
      <c r="J12" s="450" t="s">
        <v>0</v>
      </c>
    </row>
    <row r="13" spans="1:10" ht="14.4" customHeight="1" x14ac:dyDescent="0.3">
      <c r="A13" s="446" t="s">
        <v>468</v>
      </c>
      <c r="B13" s="447" t="s">
        <v>286</v>
      </c>
      <c r="C13" s="448">
        <v>38.410199999998994</v>
      </c>
      <c r="D13" s="448">
        <v>25.03557</v>
      </c>
      <c r="E13" s="448"/>
      <c r="F13" s="448">
        <v>0.13088</v>
      </c>
      <c r="G13" s="448">
        <v>18.979823260208253</v>
      </c>
      <c r="H13" s="448">
        <v>-18.848943260208252</v>
      </c>
      <c r="I13" s="449">
        <v>6.8957438752548185E-3</v>
      </c>
      <c r="J13" s="450" t="s">
        <v>1</v>
      </c>
    </row>
    <row r="14" spans="1:10" ht="14.4" customHeight="1" x14ac:dyDescent="0.3">
      <c r="A14" s="446" t="s">
        <v>468</v>
      </c>
      <c r="B14" s="447" t="s">
        <v>287</v>
      </c>
      <c r="C14" s="448">
        <v>3.7690000000000001E-2</v>
      </c>
      <c r="D14" s="448">
        <v>0</v>
      </c>
      <c r="E14" s="448"/>
      <c r="F14" s="448" t="s">
        <v>465</v>
      </c>
      <c r="G14" s="448" t="s">
        <v>465</v>
      </c>
      <c r="H14" s="448" t="s">
        <v>465</v>
      </c>
      <c r="I14" s="449" t="s">
        <v>465</v>
      </c>
      <c r="J14" s="450" t="s">
        <v>1</v>
      </c>
    </row>
    <row r="15" spans="1:10" ht="14.4" customHeight="1" x14ac:dyDescent="0.3">
      <c r="A15" s="446" t="s">
        <v>468</v>
      </c>
      <c r="B15" s="447" t="s">
        <v>470</v>
      </c>
      <c r="C15" s="448">
        <v>38.447889999998992</v>
      </c>
      <c r="D15" s="448">
        <v>25.03557</v>
      </c>
      <c r="E15" s="448"/>
      <c r="F15" s="448">
        <v>0.13088</v>
      </c>
      <c r="G15" s="448">
        <v>18.979823260208253</v>
      </c>
      <c r="H15" s="448">
        <v>-18.848943260208252</v>
      </c>
      <c r="I15" s="449">
        <v>6.8957438752548185E-3</v>
      </c>
      <c r="J15" s="450" t="s">
        <v>471</v>
      </c>
    </row>
    <row r="16" spans="1:10" ht="14.4" customHeight="1" x14ac:dyDescent="0.3">
      <c r="A16" s="446" t="s">
        <v>465</v>
      </c>
      <c r="B16" s="447" t="s">
        <v>465</v>
      </c>
      <c r="C16" s="448" t="s">
        <v>465</v>
      </c>
      <c r="D16" s="448" t="s">
        <v>465</v>
      </c>
      <c r="E16" s="448"/>
      <c r="F16" s="448" t="s">
        <v>465</v>
      </c>
      <c r="G16" s="448" t="s">
        <v>465</v>
      </c>
      <c r="H16" s="448" t="s">
        <v>465</v>
      </c>
      <c r="I16" s="449" t="s">
        <v>465</v>
      </c>
      <c r="J16" s="450" t="s">
        <v>472</v>
      </c>
    </row>
    <row r="17" spans="1:10" ht="14.4" customHeight="1" x14ac:dyDescent="0.3">
      <c r="A17" s="446" t="s">
        <v>473</v>
      </c>
      <c r="B17" s="447" t="s">
        <v>474</v>
      </c>
      <c r="C17" s="448" t="s">
        <v>465</v>
      </c>
      <c r="D17" s="448" t="s">
        <v>465</v>
      </c>
      <c r="E17" s="448"/>
      <c r="F17" s="448" t="s">
        <v>465</v>
      </c>
      <c r="G17" s="448" t="s">
        <v>465</v>
      </c>
      <c r="H17" s="448" t="s">
        <v>465</v>
      </c>
      <c r="I17" s="449" t="s">
        <v>465</v>
      </c>
      <c r="J17" s="450" t="s">
        <v>0</v>
      </c>
    </row>
    <row r="18" spans="1:10" ht="14.4" customHeight="1" x14ac:dyDescent="0.3">
      <c r="A18" s="446" t="s">
        <v>473</v>
      </c>
      <c r="B18" s="447" t="s">
        <v>286</v>
      </c>
      <c r="C18" s="448">
        <v>30.839109999999998</v>
      </c>
      <c r="D18" s="448">
        <v>25.832570000000004</v>
      </c>
      <c r="E18" s="448"/>
      <c r="F18" s="448">
        <v>19.35811</v>
      </c>
      <c r="G18" s="448">
        <v>25.498537173531748</v>
      </c>
      <c r="H18" s="448">
        <v>-6.1404271735317479</v>
      </c>
      <c r="I18" s="449">
        <v>0.75918511984657311</v>
      </c>
      <c r="J18" s="450" t="s">
        <v>1</v>
      </c>
    </row>
    <row r="19" spans="1:10" ht="14.4" customHeight="1" x14ac:dyDescent="0.3">
      <c r="A19" s="446" t="s">
        <v>473</v>
      </c>
      <c r="B19" s="447" t="s">
        <v>287</v>
      </c>
      <c r="C19" s="448">
        <v>0.18907999999999997</v>
      </c>
      <c r="D19" s="448">
        <v>0</v>
      </c>
      <c r="E19" s="448"/>
      <c r="F19" s="448" t="s">
        <v>465</v>
      </c>
      <c r="G19" s="448" t="s">
        <v>465</v>
      </c>
      <c r="H19" s="448" t="s">
        <v>465</v>
      </c>
      <c r="I19" s="449" t="s">
        <v>465</v>
      </c>
      <c r="J19" s="450" t="s">
        <v>1</v>
      </c>
    </row>
    <row r="20" spans="1:10" ht="14.4" customHeight="1" x14ac:dyDescent="0.3">
      <c r="A20" s="446" t="s">
        <v>473</v>
      </c>
      <c r="B20" s="447" t="s">
        <v>288</v>
      </c>
      <c r="C20" s="448">
        <v>4.2464599999999999</v>
      </c>
      <c r="D20" s="448">
        <v>1.7714399999999999</v>
      </c>
      <c r="E20" s="448"/>
      <c r="F20" s="448">
        <v>0</v>
      </c>
      <c r="G20" s="448">
        <v>1.2580391712682499</v>
      </c>
      <c r="H20" s="448">
        <v>-1.2580391712682499</v>
      </c>
      <c r="I20" s="449">
        <v>0</v>
      </c>
      <c r="J20" s="450" t="s">
        <v>1</v>
      </c>
    </row>
    <row r="21" spans="1:10" ht="14.4" customHeight="1" x14ac:dyDescent="0.3">
      <c r="A21" s="446" t="s">
        <v>473</v>
      </c>
      <c r="B21" s="447" t="s">
        <v>475</v>
      </c>
      <c r="C21" s="448">
        <v>35.274650000000001</v>
      </c>
      <c r="D21" s="448">
        <v>27.604010000000002</v>
      </c>
      <c r="E21" s="448"/>
      <c r="F21" s="448">
        <v>19.35811</v>
      </c>
      <c r="G21" s="448">
        <v>26.756576344799999</v>
      </c>
      <c r="H21" s="448">
        <v>-7.3984663447999992</v>
      </c>
      <c r="I21" s="449">
        <v>0.72348979744421404</v>
      </c>
      <c r="J21" s="450" t="s">
        <v>471</v>
      </c>
    </row>
    <row r="22" spans="1:10" ht="14.4" customHeight="1" x14ac:dyDescent="0.3">
      <c r="A22" s="446" t="s">
        <v>465</v>
      </c>
      <c r="B22" s="447" t="s">
        <v>465</v>
      </c>
      <c r="C22" s="448" t="s">
        <v>465</v>
      </c>
      <c r="D22" s="448" t="s">
        <v>465</v>
      </c>
      <c r="E22" s="448"/>
      <c r="F22" s="448" t="s">
        <v>465</v>
      </c>
      <c r="G22" s="448" t="s">
        <v>465</v>
      </c>
      <c r="H22" s="448" t="s">
        <v>465</v>
      </c>
      <c r="I22" s="449" t="s">
        <v>465</v>
      </c>
      <c r="J22" s="450" t="s">
        <v>472</v>
      </c>
    </row>
    <row r="23" spans="1:10" ht="14.4" customHeight="1" x14ac:dyDescent="0.3">
      <c r="A23" s="446" t="s">
        <v>463</v>
      </c>
      <c r="B23" s="447" t="s">
        <v>466</v>
      </c>
      <c r="C23" s="448">
        <v>73.722539999998986</v>
      </c>
      <c r="D23" s="448">
        <v>52.639580000000002</v>
      </c>
      <c r="E23" s="448"/>
      <c r="F23" s="448">
        <v>19.488990000000001</v>
      </c>
      <c r="G23" s="448">
        <v>45.736399605008252</v>
      </c>
      <c r="H23" s="448">
        <v>-26.247409605008251</v>
      </c>
      <c r="I23" s="449">
        <v>0.42611552654586099</v>
      </c>
      <c r="J23" s="450" t="s">
        <v>467</v>
      </c>
    </row>
  </sheetData>
  <mergeCells count="3">
    <mergeCell ref="F3:I3"/>
    <mergeCell ref="C4:D4"/>
    <mergeCell ref="A1:I1"/>
  </mergeCells>
  <conditionalFormatting sqref="F10 F24:F65537">
    <cfRule type="cellIs" dxfId="52" priority="18" stopIfTrue="1" operator="greaterThan">
      <formula>1</formula>
    </cfRule>
  </conditionalFormatting>
  <conditionalFormatting sqref="H5:H9">
    <cfRule type="expression" dxfId="51" priority="14">
      <formula>$H5&gt;0</formula>
    </cfRule>
  </conditionalFormatting>
  <conditionalFormatting sqref="I5:I9">
    <cfRule type="expression" dxfId="50" priority="15">
      <formula>$I5&gt;1</formula>
    </cfRule>
  </conditionalFormatting>
  <conditionalFormatting sqref="B5:B9">
    <cfRule type="expression" dxfId="49" priority="11">
      <formula>OR($J5="NS",$J5="SumaNS",$J5="Účet")</formula>
    </cfRule>
  </conditionalFormatting>
  <conditionalFormatting sqref="B5:D9 F5:I9">
    <cfRule type="expression" dxfId="48" priority="17">
      <formula>AND($J5&lt;&gt;"",$J5&lt;&gt;"mezeraKL")</formula>
    </cfRule>
  </conditionalFormatting>
  <conditionalFormatting sqref="B5:D9 F5:I9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6" priority="13">
      <formula>OR($J5="SumaNS",$J5="NS")</formula>
    </cfRule>
  </conditionalFormatting>
  <conditionalFormatting sqref="A5:A9">
    <cfRule type="expression" dxfId="45" priority="9">
      <formula>AND($J5&lt;&gt;"mezeraKL",$J5&lt;&gt;"")</formula>
    </cfRule>
  </conditionalFormatting>
  <conditionalFormatting sqref="A5:A9">
    <cfRule type="expression" dxfId="44" priority="10">
      <formula>AND($J5&lt;&gt;"",$J5&lt;&gt;"mezeraKL")</formula>
    </cfRule>
  </conditionalFormatting>
  <conditionalFormatting sqref="H11:H23">
    <cfRule type="expression" dxfId="43" priority="5">
      <formula>$H11&gt;0</formula>
    </cfRule>
  </conditionalFormatting>
  <conditionalFormatting sqref="A11:A23">
    <cfRule type="expression" dxfId="42" priority="2">
      <formula>AND($J11&lt;&gt;"mezeraKL",$J11&lt;&gt;"")</formula>
    </cfRule>
  </conditionalFormatting>
  <conditionalFormatting sqref="I11:I23">
    <cfRule type="expression" dxfId="41" priority="6">
      <formula>$I11&gt;1</formula>
    </cfRule>
  </conditionalFormatting>
  <conditionalFormatting sqref="B11:B23">
    <cfRule type="expression" dxfId="40" priority="1">
      <formula>OR($J11="NS",$J11="SumaNS",$J11="Účet")</formula>
    </cfRule>
  </conditionalFormatting>
  <conditionalFormatting sqref="A11:D23 F11:I23">
    <cfRule type="expression" dxfId="39" priority="8">
      <formula>AND($J11&lt;&gt;"",$J11&lt;&gt;"mezeraKL")</formula>
    </cfRule>
  </conditionalFormatting>
  <conditionalFormatting sqref="B11:D23 F11:I23">
    <cfRule type="expression" dxfId="38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3 F11:I23">
    <cfRule type="expression" dxfId="37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1.109375" style="207" customWidth="1"/>
    <col min="15" max="16384" width="8.88671875" style="130"/>
  </cols>
  <sheetData>
    <row r="1" spans="1:14" ht="18.600000000000001" customHeight="1" thickBot="1" x14ac:dyDescent="0.4">
      <c r="A1" s="361" t="s">
        <v>161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4" t="s">
        <v>277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155.25213728366191</v>
      </c>
      <c r="M3" s="98">
        <f>SUBTOTAL(9,M5:M1048576)</f>
        <v>31</v>
      </c>
      <c r="N3" s="99">
        <f>SUBTOTAL(9,N5:N1048576)</f>
        <v>4812.8162557935193</v>
      </c>
    </row>
    <row r="4" spans="1:14" s="208" customFormat="1" ht="14.4" customHeight="1" thickBot="1" x14ac:dyDescent="0.35">
      <c r="A4" s="451" t="s">
        <v>4</v>
      </c>
      <c r="B4" s="452" t="s">
        <v>5</v>
      </c>
      <c r="C4" s="452" t="s">
        <v>0</v>
      </c>
      <c r="D4" s="452" t="s">
        <v>6</v>
      </c>
      <c r="E4" s="452" t="s">
        <v>7</v>
      </c>
      <c r="F4" s="452" t="s">
        <v>1</v>
      </c>
      <c r="G4" s="452" t="s">
        <v>8</v>
      </c>
      <c r="H4" s="452" t="s">
        <v>9</v>
      </c>
      <c r="I4" s="452" t="s">
        <v>10</v>
      </c>
      <c r="J4" s="453" t="s">
        <v>11</v>
      </c>
      <c r="K4" s="453" t="s">
        <v>12</v>
      </c>
      <c r="L4" s="454" t="s">
        <v>142</v>
      </c>
      <c r="M4" s="454" t="s">
        <v>13</v>
      </c>
      <c r="N4" s="455" t="s">
        <v>156</v>
      </c>
    </row>
    <row r="5" spans="1:14" ht="14.4" customHeight="1" x14ac:dyDescent="0.3">
      <c r="A5" s="456" t="s">
        <v>463</v>
      </c>
      <c r="B5" s="457" t="s">
        <v>499</v>
      </c>
      <c r="C5" s="458" t="s">
        <v>468</v>
      </c>
      <c r="D5" s="459" t="s">
        <v>500</v>
      </c>
      <c r="E5" s="458" t="s">
        <v>476</v>
      </c>
      <c r="F5" s="459" t="s">
        <v>502</v>
      </c>
      <c r="G5" s="458" t="s">
        <v>477</v>
      </c>
      <c r="H5" s="458" t="s">
        <v>478</v>
      </c>
      <c r="I5" s="458" t="s">
        <v>479</v>
      </c>
      <c r="J5" s="458" t="s">
        <v>480</v>
      </c>
      <c r="K5" s="458" t="s">
        <v>481</v>
      </c>
      <c r="L5" s="460">
        <v>35.99</v>
      </c>
      <c r="M5" s="460">
        <v>2</v>
      </c>
      <c r="N5" s="461">
        <v>71.98</v>
      </c>
    </row>
    <row r="6" spans="1:14" ht="14.4" customHeight="1" x14ac:dyDescent="0.3">
      <c r="A6" s="462" t="s">
        <v>463</v>
      </c>
      <c r="B6" s="463" t="s">
        <v>499</v>
      </c>
      <c r="C6" s="464" t="s">
        <v>468</v>
      </c>
      <c r="D6" s="465" t="s">
        <v>500</v>
      </c>
      <c r="E6" s="464" t="s">
        <v>476</v>
      </c>
      <c r="F6" s="465" t="s">
        <v>502</v>
      </c>
      <c r="G6" s="464" t="s">
        <v>477</v>
      </c>
      <c r="H6" s="464" t="s">
        <v>482</v>
      </c>
      <c r="I6" s="464" t="s">
        <v>483</v>
      </c>
      <c r="J6" s="464" t="s">
        <v>484</v>
      </c>
      <c r="K6" s="464" t="s">
        <v>485</v>
      </c>
      <c r="L6" s="466">
        <v>235.61999999999998</v>
      </c>
      <c r="M6" s="466">
        <v>0.25</v>
      </c>
      <c r="N6" s="467">
        <v>58.904999999999994</v>
      </c>
    </row>
    <row r="7" spans="1:14" ht="14.4" customHeight="1" x14ac:dyDescent="0.3">
      <c r="A7" s="462" t="s">
        <v>463</v>
      </c>
      <c r="B7" s="463" t="s">
        <v>499</v>
      </c>
      <c r="C7" s="464" t="s">
        <v>473</v>
      </c>
      <c r="D7" s="465" t="s">
        <v>501</v>
      </c>
      <c r="E7" s="464" t="s">
        <v>476</v>
      </c>
      <c r="F7" s="465" t="s">
        <v>502</v>
      </c>
      <c r="G7" s="464" t="s">
        <v>477</v>
      </c>
      <c r="H7" s="464" t="s">
        <v>486</v>
      </c>
      <c r="I7" s="464" t="s">
        <v>486</v>
      </c>
      <c r="J7" s="464" t="s">
        <v>487</v>
      </c>
      <c r="K7" s="464" t="s">
        <v>488</v>
      </c>
      <c r="L7" s="466">
        <v>171.60000000000002</v>
      </c>
      <c r="M7" s="466">
        <v>0.75</v>
      </c>
      <c r="N7" s="467">
        <v>128.70000000000002</v>
      </c>
    </row>
    <row r="8" spans="1:14" ht="14.4" customHeight="1" x14ac:dyDescent="0.3">
      <c r="A8" s="462" t="s">
        <v>463</v>
      </c>
      <c r="B8" s="463" t="s">
        <v>499</v>
      </c>
      <c r="C8" s="464" t="s">
        <v>473</v>
      </c>
      <c r="D8" s="465" t="s">
        <v>501</v>
      </c>
      <c r="E8" s="464" t="s">
        <v>476</v>
      </c>
      <c r="F8" s="465" t="s">
        <v>502</v>
      </c>
      <c r="G8" s="464" t="s">
        <v>477</v>
      </c>
      <c r="H8" s="464" t="s">
        <v>489</v>
      </c>
      <c r="I8" s="464" t="s">
        <v>164</v>
      </c>
      <c r="J8" s="464" t="s">
        <v>490</v>
      </c>
      <c r="K8" s="464"/>
      <c r="L8" s="466">
        <v>97.320108800380567</v>
      </c>
      <c r="M8" s="466">
        <v>2</v>
      </c>
      <c r="N8" s="467">
        <v>194.64021760076113</v>
      </c>
    </row>
    <row r="9" spans="1:14" ht="14.4" customHeight="1" x14ac:dyDescent="0.3">
      <c r="A9" s="462" t="s">
        <v>463</v>
      </c>
      <c r="B9" s="463" t="s">
        <v>499</v>
      </c>
      <c r="C9" s="464" t="s">
        <v>473</v>
      </c>
      <c r="D9" s="465" t="s">
        <v>501</v>
      </c>
      <c r="E9" s="464" t="s">
        <v>476</v>
      </c>
      <c r="F9" s="465" t="s">
        <v>502</v>
      </c>
      <c r="G9" s="464" t="s">
        <v>477</v>
      </c>
      <c r="H9" s="464" t="s">
        <v>491</v>
      </c>
      <c r="I9" s="464" t="s">
        <v>164</v>
      </c>
      <c r="J9" s="464" t="s">
        <v>492</v>
      </c>
      <c r="K9" s="464" t="s">
        <v>493</v>
      </c>
      <c r="L9" s="466">
        <v>83.375077233483808</v>
      </c>
      <c r="M9" s="466">
        <v>4</v>
      </c>
      <c r="N9" s="467">
        <v>333.50030893393523</v>
      </c>
    </row>
    <row r="10" spans="1:14" ht="14.4" customHeight="1" x14ac:dyDescent="0.3">
      <c r="A10" s="462" t="s">
        <v>463</v>
      </c>
      <c r="B10" s="463" t="s">
        <v>499</v>
      </c>
      <c r="C10" s="464" t="s">
        <v>473</v>
      </c>
      <c r="D10" s="465" t="s">
        <v>501</v>
      </c>
      <c r="E10" s="464" t="s">
        <v>476</v>
      </c>
      <c r="F10" s="465" t="s">
        <v>502</v>
      </c>
      <c r="G10" s="464" t="s">
        <v>477</v>
      </c>
      <c r="H10" s="464" t="s">
        <v>494</v>
      </c>
      <c r="I10" s="464" t="s">
        <v>164</v>
      </c>
      <c r="J10" s="464" t="s">
        <v>495</v>
      </c>
      <c r="K10" s="464"/>
      <c r="L10" s="466">
        <v>185.10240903732196</v>
      </c>
      <c r="M10" s="466">
        <v>21</v>
      </c>
      <c r="N10" s="467">
        <v>3887.150589783761</v>
      </c>
    </row>
    <row r="11" spans="1:14" ht="14.4" customHeight="1" thickBot="1" x14ac:dyDescent="0.35">
      <c r="A11" s="468" t="s">
        <v>463</v>
      </c>
      <c r="B11" s="469" t="s">
        <v>499</v>
      </c>
      <c r="C11" s="470" t="s">
        <v>473</v>
      </c>
      <c r="D11" s="471" t="s">
        <v>501</v>
      </c>
      <c r="E11" s="470" t="s">
        <v>476</v>
      </c>
      <c r="F11" s="471" t="s">
        <v>502</v>
      </c>
      <c r="G11" s="470" t="s">
        <v>477</v>
      </c>
      <c r="H11" s="470" t="s">
        <v>496</v>
      </c>
      <c r="I11" s="470" t="s">
        <v>164</v>
      </c>
      <c r="J11" s="470" t="s">
        <v>497</v>
      </c>
      <c r="K11" s="470" t="s">
        <v>498</v>
      </c>
      <c r="L11" s="472">
        <v>137.94013947506252</v>
      </c>
      <c r="M11" s="472">
        <v>1</v>
      </c>
      <c r="N11" s="473">
        <v>137.94013947506252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2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63" t="s">
        <v>240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4" t="s">
        <v>277</v>
      </c>
      <c r="B2" s="214"/>
      <c r="C2" s="214"/>
      <c r="D2" s="214"/>
      <c r="E2" s="214"/>
    </row>
    <row r="3" spans="1:17" ht="14.4" customHeight="1" thickBot="1" x14ac:dyDescent="0.35">
      <c r="A3" s="301" t="s">
        <v>3</v>
      </c>
      <c r="B3" s="305">
        <f>SUM(B6:B1048576)</f>
        <v>50</v>
      </c>
      <c r="C3" s="306">
        <f>SUM(C6:C1048576)</f>
        <v>0</v>
      </c>
      <c r="D3" s="306">
        <f>SUM(D6:D1048576)</f>
        <v>0</v>
      </c>
      <c r="E3" s="307">
        <f>SUM(E6:E1048576)</f>
        <v>0</v>
      </c>
      <c r="F3" s="304">
        <f>IF(SUM($B3:$E3)=0,"",B3/SUM($B3:$E3))</f>
        <v>1</v>
      </c>
      <c r="G3" s="302">
        <f t="shared" ref="G3:I3" si="0">IF(SUM($B3:$E3)=0,"",C3/SUM($B3:$E3))</f>
        <v>0</v>
      </c>
      <c r="H3" s="302">
        <f t="shared" si="0"/>
        <v>0</v>
      </c>
      <c r="I3" s="303">
        <f t="shared" si="0"/>
        <v>0</v>
      </c>
      <c r="J3" s="306">
        <f>SUM(J6:J1048576)</f>
        <v>30</v>
      </c>
      <c r="K3" s="306">
        <f>SUM(K6:K1048576)</f>
        <v>0</v>
      </c>
      <c r="L3" s="306">
        <f>SUM(L6:L1048576)</f>
        <v>0</v>
      </c>
      <c r="M3" s="307">
        <f>SUM(M6:M1048576)</f>
        <v>0</v>
      </c>
      <c r="N3" s="304">
        <f>IF(SUM($J3:$M3)=0,"",J3/SUM($J3:$M3))</f>
        <v>1</v>
      </c>
      <c r="O3" s="302">
        <f t="shared" ref="O3:Q3" si="1">IF(SUM($J3:$M3)=0,"",K3/SUM($J3:$M3))</f>
        <v>0</v>
      </c>
      <c r="P3" s="302">
        <f t="shared" si="1"/>
        <v>0</v>
      </c>
      <c r="Q3" s="303">
        <f t="shared" si="1"/>
        <v>0</v>
      </c>
    </row>
    <row r="4" spans="1:17" ht="14.4" customHeight="1" thickBot="1" x14ac:dyDescent="0.35">
      <c r="A4" s="300"/>
      <c r="B4" s="376" t="s">
        <v>242</v>
      </c>
      <c r="C4" s="377"/>
      <c r="D4" s="377"/>
      <c r="E4" s="378"/>
      <c r="F4" s="373" t="s">
        <v>247</v>
      </c>
      <c r="G4" s="374"/>
      <c r="H4" s="374"/>
      <c r="I4" s="375"/>
      <c r="J4" s="376" t="s">
        <v>248</v>
      </c>
      <c r="K4" s="377"/>
      <c r="L4" s="377"/>
      <c r="M4" s="378"/>
      <c r="N4" s="373" t="s">
        <v>249</v>
      </c>
      <c r="O4" s="374"/>
      <c r="P4" s="374"/>
      <c r="Q4" s="375"/>
    </row>
    <row r="5" spans="1:17" ht="14.4" customHeight="1" thickBot="1" x14ac:dyDescent="0.35">
      <c r="A5" s="474" t="s">
        <v>241</v>
      </c>
      <c r="B5" s="475" t="s">
        <v>243</v>
      </c>
      <c r="C5" s="475" t="s">
        <v>244</v>
      </c>
      <c r="D5" s="475" t="s">
        <v>245</v>
      </c>
      <c r="E5" s="476" t="s">
        <v>246</v>
      </c>
      <c r="F5" s="477" t="s">
        <v>243</v>
      </c>
      <c r="G5" s="478" t="s">
        <v>244</v>
      </c>
      <c r="H5" s="478" t="s">
        <v>245</v>
      </c>
      <c r="I5" s="479" t="s">
        <v>246</v>
      </c>
      <c r="J5" s="475" t="s">
        <v>243</v>
      </c>
      <c r="K5" s="475" t="s">
        <v>244</v>
      </c>
      <c r="L5" s="475" t="s">
        <v>245</v>
      </c>
      <c r="M5" s="476" t="s">
        <v>246</v>
      </c>
      <c r="N5" s="477" t="s">
        <v>243</v>
      </c>
      <c r="O5" s="478" t="s">
        <v>244</v>
      </c>
      <c r="P5" s="478" t="s">
        <v>245</v>
      </c>
      <c r="Q5" s="479" t="s">
        <v>246</v>
      </c>
    </row>
    <row r="6" spans="1:17" ht="14.4" customHeight="1" x14ac:dyDescent="0.3">
      <c r="A6" s="486" t="s">
        <v>503</v>
      </c>
      <c r="B6" s="492"/>
      <c r="C6" s="460"/>
      <c r="D6" s="460"/>
      <c r="E6" s="461"/>
      <c r="F6" s="489"/>
      <c r="G6" s="480"/>
      <c r="H6" s="480"/>
      <c r="I6" s="495"/>
      <c r="J6" s="492"/>
      <c r="K6" s="460"/>
      <c r="L6" s="460"/>
      <c r="M6" s="461"/>
      <c r="N6" s="489"/>
      <c r="O6" s="480"/>
      <c r="P6" s="480"/>
      <c r="Q6" s="481"/>
    </row>
    <row r="7" spans="1:17" ht="14.4" customHeight="1" x14ac:dyDescent="0.3">
      <c r="A7" s="487" t="s">
        <v>504</v>
      </c>
      <c r="B7" s="493">
        <v>11</v>
      </c>
      <c r="C7" s="466"/>
      <c r="D7" s="466"/>
      <c r="E7" s="467"/>
      <c r="F7" s="490">
        <v>1</v>
      </c>
      <c r="G7" s="482">
        <v>0</v>
      </c>
      <c r="H7" s="482">
        <v>0</v>
      </c>
      <c r="I7" s="496">
        <v>0</v>
      </c>
      <c r="J7" s="493">
        <v>4</v>
      </c>
      <c r="K7" s="466"/>
      <c r="L7" s="466"/>
      <c r="M7" s="467"/>
      <c r="N7" s="490">
        <v>1</v>
      </c>
      <c r="O7" s="482">
        <v>0</v>
      </c>
      <c r="P7" s="482">
        <v>0</v>
      </c>
      <c r="Q7" s="483">
        <v>0</v>
      </c>
    </row>
    <row r="8" spans="1:17" ht="14.4" customHeight="1" thickBot="1" x14ac:dyDescent="0.35">
      <c r="A8" s="488" t="s">
        <v>505</v>
      </c>
      <c r="B8" s="494">
        <v>39</v>
      </c>
      <c r="C8" s="472"/>
      <c r="D8" s="472"/>
      <c r="E8" s="473"/>
      <c r="F8" s="491">
        <v>1</v>
      </c>
      <c r="G8" s="484">
        <v>0</v>
      </c>
      <c r="H8" s="484">
        <v>0</v>
      </c>
      <c r="I8" s="497">
        <v>0</v>
      </c>
      <c r="J8" s="494">
        <v>26</v>
      </c>
      <c r="K8" s="472"/>
      <c r="L8" s="472"/>
      <c r="M8" s="473"/>
      <c r="N8" s="491">
        <v>1</v>
      </c>
      <c r="O8" s="484">
        <v>0</v>
      </c>
      <c r="P8" s="484">
        <v>0</v>
      </c>
      <c r="Q8" s="48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2015-10-26T15:43:38Z</dcterms:modified>
</cp:coreProperties>
</file>