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2" hidden="1">'ZV Vykáz.-A Detail'!$A$5:$P$5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AG21" i="419" l="1"/>
  <c r="AF21" i="419"/>
  <c r="AE21" i="419"/>
  <c r="AD21" i="419"/>
  <c r="AC21" i="419"/>
  <c r="AB21" i="419"/>
  <c r="AA21" i="419"/>
  <c r="Z21" i="419"/>
  <c r="Y21" i="419"/>
  <c r="X21" i="419"/>
  <c r="W21" i="419"/>
  <c r="V21" i="419"/>
  <c r="U21" i="419"/>
  <c r="T21" i="419"/>
  <c r="S21" i="419"/>
  <c r="R21" i="419"/>
  <c r="Q21" i="419"/>
  <c r="P21" i="419"/>
  <c r="O21" i="419"/>
  <c r="N21" i="419"/>
  <c r="M21" i="419"/>
  <c r="L21" i="419"/>
  <c r="K21" i="419"/>
  <c r="J21" i="419"/>
  <c r="I21" i="419"/>
  <c r="H21" i="419"/>
  <c r="G21" i="419"/>
  <c r="F21" i="419"/>
  <c r="E21" i="419"/>
  <c r="D21" i="419"/>
  <c r="C21" i="419"/>
  <c r="B21" i="419"/>
  <c r="C22" i="419" l="1"/>
  <c r="E22" i="419"/>
  <c r="H22" i="419"/>
  <c r="L22" i="419"/>
  <c r="P22" i="419"/>
  <c r="T22" i="419"/>
  <c r="X22" i="419"/>
  <c r="AB22" i="419"/>
  <c r="AF22" i="419"/>
  <c r="B22" i="419"/>
  <c r="I22" i="419"/>
  <c r="M22" i="419"/>
  <c r="Q22" i="419"/>
  <c r="U22" i="419"/>
  <c r="Y22" i="419"/>
  <c r="AC22" i="419"/>
  <c r="F22" i="419"/>
  <c r="J22" i="419"/>
  <c r="N22" i="419"/>
  <c r="R22" i="419"/>
  <c r="V22" i="419"/>
  <c r="Z22" i="419"/>
  <c r="AD22" i="419"/>
  <c r="AG22" i="419"/>
  <c r="D22" i="419"/>
  <c r="G22" i="419"/>
  <c r="K22" i="419"/>
  <c r="O22" i="419"/>
  <c r="S22" i="419"/>
  <c r="W22" i="419"/>
  <c r="AA22" i="419"/>
  <c r="AE22" i="419"/>
  <c r="A27" i="383"/>
  <c r="G3" i="429"/>
  <c r="F3" i="429"/>
  <c r="E3" i="429"/>
  <c r="D3" i="429"/>
  <c r="C3" i="429"/>
  <c r="B3" i="429"/>
  <c r="A9" i="414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G26" i="419" l="1"/>
  <c r="AG25" i="419"/>
  <c r="C11" i="340" l="1"/>
  <c r="A21" i="383" l="1"/>
  <c r="A11" i="383"/>
  <c r="C16" i="414"/>
  <c r="D16" i="414"/>
  <c r="AG20" i="419" l="1"/>
  <c r="AG23" i="419" s="1"/>
  <c r="AF20" i="419"/>
  <c r="AF23" i="419" s="1"/>
  <c r="AE20" i="419"/>
  <c r="AE23" i="419" s="1"/>
  <c r="AD20" i="419"/>
  <c r="AD23" i="419" s="1"/>
  <c r="AC20" i="419"/>
  <c r="AC23" i="419" s="1"/>
  <c r="AB20" i="419"/>
  <c r="AB23" i="419" s="1"/>
  <c r="AA20" i="419"/>
  <c r="AA23" i="419" s="1"/>
  <c r="Z20" i="419"/>
  <c r="Z23" i="419" s="1"/>
  <c r="Y20" i="419"/>
  <c r="Y23" i="419" s="1"/>
  <c r="X20" i="419"/>
  <c r="X23" i="419" s="1"/>
  <c r="W20" i="419"/>
  <c r="W23" i="419" s="1"/>
  <c r="V20" i="419"/>
  <c r="V23" i="419" s="1"/>
  <c r="U20" i="419"/>
  <c r="U23" i="419" s="1"/>
  <c r="T20" i="419"/>
  <c r="T23" i="419" s="1"/>
  <c r="S20" i="419"/>
  <c r="S23" i="419" s="1"/>
  <c r="R20" i="419"/>
  <c r="R23" i="419" s="1"/>
  <c r="Q20" i="419"/>
  <c r="Q23" i="419" s="1"/>
  <c r="P20" i="419"/>
  <c r="P23" i="419" s="1"/>
  <c r="O20" i="419"/>
  <c r="O23" i="419" s="1"/>
  <c r="N20" i="419"/>
  <c r="N23" i="419" s="1"/>
  <c r="M20" i="419"/>
  <c r="M23" i="419" s="1"/>
  <c r="L20" i="419"/>
  <c r="L23" i="419" s="1"/>
  <c r="K20" i="419"/>
  <c r="K23" i="419" s="1"/>
  <c r="J20" i="419"/>
  <c r="J23" i="419" s="1"/>
  <c r="I20" i="419"/>
  <c r="I23" i="419" s="1"/>
  <c r="H20" i="419"/>
  <c r="H23" i="419" s="1"/>
  <c r="G20" i="419"/>
  <c r="G23" i="419" s="1"/>
  <c r="F20" i="419"/>
  <c r="F23" i="419" s="1"/>
  <c r="E20" i="419"/>
  <c r="E23" i="419" s="1"/>
  <c r="D20" i="419"/>
  <c r="D23" i="419" s="1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F16" i="419"/>
  <c r="E16" i="419"/>
  <c r="D16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D18" i="419" l="1"/>
  <c r="G18" i="419"/>
  <c r="S18" i="419"/>
  <c r="W18" i="419"/>
  <c r="AA18" i="419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C23" i="419" s="1"/>
  <c r="B20" i="419"/>
  <c r="B23" i="419" s="1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9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20" i="414" s="1"/>
  <c r="C11" i="339"/>
  <c r="H11" i="339" l="1"/>
  <c r="G11" i="339"/>
  <c r="A21" i="414"/>
  <c r="A20" i="414"/>
  <c r="A15" i="414"/>
  <c r="A12" i="414"/>
  <c r="A11" i="414"/>
  <c r="A8" i="414"/>
  <c r="A7" i="414"/>
  <c r="A16" i="414"/>
  <c r="A4" i="414"/>
  <c r="A6" i="339" l="1"/>
  <c r="A5" i="339"/>
  <c r="D4" i="414"/>
  <c r="D19" i="414"/>
  <c r="C19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H3" i="387" s="1"/>
  <c r="F3" i="387"/>
  <c r="N3" i="220"/>
  <c r="L3" i="220" s="1"/>
  <c r="C22" i="414"/>
  <c r="D22" i="414"/>
  <c r="Q3" i="377" l="1"/>
  <c r="Q3" i="347"/>
  <c r="S3" i="347"/>
  <c r="U3" i="347"/>
  <c r="F13" i="339"/>
  <c r="E13" i="339"/>
  <c r="E15" i="339" s="1"/>
  <c r="H12" i="339"/>
  <c r="G12" i="339"/>
  <c r="K3" i="390"/>
  <c r="A4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D18" i="414"/>
  <c r="C4" i="414"/>
  <c r="H13" i="339" l="1"/>
  <c r="F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<sst xmlns="http://schemas.openxmlformats.org/spreadsheetml/2006/main" count="5000" uniqueCount="1497">
  <si>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</si>
  <si>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</si>
  <si>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</si>
  <si>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</si>
  <si>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</si>
  <si>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</si>
  <si>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</si>
  <si>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</si>
  <si>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</si>
  <si>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</si>
  <si>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</si>
  <si>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</si>
  <si>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</si>
  <si>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</si>
  <si>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</si>
  <si>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</si>
  <si>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</si>
  <si>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</si>
  <si>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</si>
  <si>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</si>
  <si>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</si>
  <si>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</si>
  <si>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</si>
  <si>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</si>
  <si>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</si>
  <si>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</si>
  <si>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</si>
  <si>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</si>
  <si>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</si>
  <si>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</si>
  <si>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</si>
  <si>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</si>
  <si>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</si>
  <si>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</si>
  <si>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</si>
  <si>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</si>
  <si>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</si>
  <si>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</si>
  <si>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</si>
  <si>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</si>
  <si>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</si>
  <si>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</si>
  <si>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</si>
  <si>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</si>
  <si>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</si>
  <si>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</si>
  <si>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</si>
  <si>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</si>
  <si>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</si>
  <si>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</si>
  <si>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</si>
  <si>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</si>
  <si>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</si>
  <si>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</si>
  <si>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</si>
  <si>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</si>
  <si>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</si>
  <si>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</si>
  <si>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</si>
  <si>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</si>
  <si>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</si>
  <si>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</si>
  <si>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</si>
  <si>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</si>
  <si>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</si>
  <si>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</si>
  <si>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</si>
  <si>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</si>
  <si>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</si>
  <si>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</si>
  <si>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</si>
  <si>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</si>
  <si>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</si>
  <si>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</si>
  <si>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</si>
  <si>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</si>
  <si>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</si>
  <si>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</si>
  <si>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</si>
  <si>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</si>
  <si>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</si>
  <si>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</si>
  <si>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</si>
  <si>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</si>
  <si>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</si>
  <si>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</si>
  <si>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</si>
  <si>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</si>
  <si>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</si>
  <si>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</si>
  <si>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</si>
  <si>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</si>
  <si>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</si>
  <si>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</si>
  <si>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</si>
  <si>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</si>
  <si>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</si>
  <si>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</si>
  <si>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</si>
  <si>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</si>
  <si>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</si>
  <si>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</si>
  <si>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</si>
  <si>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</si>
  <si>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</si>
  <si>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</si>
  <si>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</si>
  <si>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</si>
  <si>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</si>
  <si>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</si>
  <si>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</si>
  <si>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</si>
  <si>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</si>
  <si>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</si>
  <si>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</si>
  <si>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</si>
  <si>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</si>
  <si>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</si>
  <si>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</si>
  <si>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</si>
  <si>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</si>
  <si>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</si>
  <si>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</si>
  <si>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</si>
  <si>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</si>
  <si>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</si>
  <si>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</si>
  <si>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</si>
  <si>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</si>
  <si>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</si>
  <si>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</si>
  <si>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</si>
  <si>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</si>
  <si>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</si>
  <si>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</si>
  <si>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</si>
  <si>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</si>
  <si>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</si>
  <si>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</si>
  <si>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</si>
  <si>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</si>
  <si>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</si>
  <si>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</si>
  <si>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</si>
  <si>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</si>
  <si>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</si>
  <si>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</si>
  <si>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</si>
  <si>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</si>
  <si>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</si>
  <si>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</si>
  <si>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</si>
  <si>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</si>
  <si>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</si>
  <si>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</si>
  <si>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</si>
  <si>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</si>
  <si>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</si>
  <si>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</si>
  <si>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</si>
  <si>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</si>
  <si>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</si>
  <si>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</si>
  <si>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</si>
  <si>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</si>
  <si>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</si>
  <si>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</si>
  <si>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</si>
  <si>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</si>
  <si>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</si>
  <si>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</si>
  <si>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</si>
  <si>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</si>
  <si>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</si>
  <si>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</si>
  <si>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</si>
  <si>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</si>
  <si>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</si>
  <si>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</si>
  <si>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</si>
  <si>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</si>
  <si>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</si>
  <si>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</si>
  <si>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</si>
  <si>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</si>
  <si>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</si>
  <si>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</si>
  <si>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</si>
  <si>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POMĚROVÉ  PLNĚNÍ = Rozpočet na rok 2014 celkem a 1/12  ročního rozpočtu, skutečnost daných měsíců a % plnění načítané skutečnosti do data k poměrné části rozpočtu do data.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</si>
  <si>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</si>
  <si>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</si>
  <si>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</si>
  <si>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</si>
  <si>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</si>
  <si>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</si>
  <si>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</si>
  <si>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</si>
  <si>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</si>
  <si>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</si>
  <si>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</si>
  <si>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</si>
  <si>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</si>
  <si>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</si>
  <si>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</si>
  <si>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</si>
  <si>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</si>
  <si>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</si>
  <si>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</si>
  <si>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</si>
  <si>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</si>
  <si>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</si>
  <si>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</si>
  <si>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</si>
  <si>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</si>
  <si>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</si>
  <si>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</si>
  <si>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</si>
  <si>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</si>
  <si>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</si>
  <si>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</si>
  <si>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</si>
  <si>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</si>
  <si>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</si>
  <si>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</si>
  <si>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</si>
  <si>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</si>
  <si>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</si>
  <si>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</si>
  <si>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</si>
  <si>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</si>
  <si>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</si>
  <si>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</si>
  <si>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</si>
  <si>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</si>
  <si>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</si>
  <si>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</si>
  <si>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</si>
  <si>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</si>
  <si>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</si>
  <si>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</si>
  <si>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</si>
  <si>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</si>
  <si>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</si>
  <si>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</si>
  <si>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</si>
  <si>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</si>
  <si>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</si>
  <si>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</si>
  <si>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</si>
  <si>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</si>
  <si>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</si>
  <si>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</si>
  <si>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</si>
  <si>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</si>
  <si>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</si>
  <si>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</si>
  <si>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</si>
  <si>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</si>
  <si>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</si>
  <si>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</si>
  <si>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</si>
  <si>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</si>
  <si>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</si>
  <si>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</si>
  <si>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</si>
  <si>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</si>
  <si>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</si>
  <si>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</si>
  <si>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</si>
  <si>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</si>
  <si>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</si>
  <si>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</si>
  <si>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</si>
  <si>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</si>
  <si>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</si>
  <si>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</si>
  <si>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</si>
  <si>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</si>
  <si>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</si>
  <si>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</si>
  <si>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</si>
  <si>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Ústav lékařské genetiky a fetální medicíny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</si>
  <si>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</si>
  <si>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</si>
  <si>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</si>
  <si>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</si>
  <si>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</si>
  <si>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</si>
  <si>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</si>
  <si>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</si>
  <si>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</si>
  <si>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</si>
  <si>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50113013     léky (paušál) - antibiotika (LEK)</t>
  </si>
  <si>
    <t>50113190     medicinální plyny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</si>
  <si>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</si>
  <si>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</si>
  <si>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</si>
  <si>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</si>
  <si>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</si>
  <si>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</si>
  <si>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50115065     ostatní ZPr - vpichovací materiál (sk.Z_530)</t>
  </si>
  <si>
    <t>50115067     ostatní ZPr - rukavice (sk.Z_532)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</si>
  <si>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</si>
  <si>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</si>
  <si>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</si>
  <si>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</si>
  <si>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</si>
  <si>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</si>
  <si>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</si>
  <si>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</si>
  <si>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</si>
  <si>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</si>
  <si>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</si>
  <si>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50117025     všeob.mat. - razítka ostatní (V111) od 0,01 do 2999,99</t>
  </si>
  <si>
    <t>50117190     technické plyny</t>
  </si>
  <si>
    <t>50118     Náhradní díly</t>
  </si>
  <si>
    <t>50118003     ND - ostatní 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</si>
  <si>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</si>
  <si>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</si>
  <si>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</si>
  <si>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</si>
  <si>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50119099     netkaný textil (sk.T18)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</si>
  <si>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</si>
  <si>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</si>
  <si>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</si>
  <si>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</si>
  <si>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</si>
  <si>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</si>
  <si>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</si>
  <si>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</si>
  <si>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</si>
  <si>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</si>
  <si>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</si>
  <si>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</si>
  <si>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</si>
  <si>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</si>
  <si>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</si>
  <si>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</si>
  <si>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</si>
  <si>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</si>
  <si>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</si>
  <si>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</si>
  <si>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</si>
  <si>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</si>
  <si>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</si>
  <si>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</si>
  <si>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</si>
  <si>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</si>
  <si>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</si>
  <si>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</si>
  <si>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</si>
  <si>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</si>
  <si>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</si>
  <si>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</si>
  <si>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51808     Revize a smluvní servisy majetku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</si>
  <si>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</si>
  <si>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</si>
  <si>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</si>
  <si>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</si>
  <si>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</si>
  <si>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</si>
  <si>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</si>
  <si>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</si>
  <si>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</si>
  <si>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</si>
  <si>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</si>
  <si>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</si>
  <si>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</si>
  <si>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</si>
  <si>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</si>
  <si>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</si>
  <si>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</si>
  <si>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</si>
  <si>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</si>
  <si>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</si>
  <si>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</si>
  <si>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</si>
  <si>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</si>
  <si>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</si>
  <si>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</si>
  <si>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</si>
  <si>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</si>
  <si>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</si>
  <si>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</si>
  <si>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</si>
  <si>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</si>
  <si>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</si>
  <si>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54910011     registrační poplatky - kongresy zahraniční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</si>
  <si>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</si>
  <si>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</si>
  <si>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</si>
  <si>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</si>
  <si>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</si>
  <si>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</si>
  <si>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</si>
  <si>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</si>
  <si>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54999     Přípěvky a poplatky(daň.neúčinné)</t>
  </si>
  <si>
    <t>54999000     členské příspěvky a poplatky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</si>
  <si>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</si>
  <si>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</si>
  <si>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</si>
  <si>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</si>
  <si>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</si>
  <si>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</si>
  <si>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</si>
  <si>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</si>
  <si>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</si>
  <si>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</si>
  <si>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55804     DDHM - výpočetní technika</t>
  </si>
  <si>
    <t>55804080     DDHM - výpočetní technika (vecné dary)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</si>
  <si>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</si>
  <si>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</si>
  <si>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</si>
  <si>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</si>
  <si>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</si>
  <si>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</si>
  <si>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</si>
  <si>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</si>
  <si>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</si>
  <si>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</si>
  <si>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</si>
  <si>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</si>
  <si>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</si>
  <si>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</si>
  <si>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</si>
  <si>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</si>
  <si>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</si>
  <si>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</si>
  <si>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</si>
  <si>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</si>
  <si>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</si>
  <si>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</si>
  <si>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</si>
  <si>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</si>
  <si>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</si>
  <si>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</si>
  <si>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</si>
  <si>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</si>
  <si>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</si>
  <si>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64804     Čerpání FRM</t>
  </si>
  <si>
    <t>64804221     čerp. FRM - opravy ZT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</si>
  <si>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</si>
  <si>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</si>
  <si>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</si>
  <si>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</si>
  <si>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</si>
  <si>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</si>
  <si>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</si>
  <si>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64924443     znalecké posudky - Znaleký ústav</t>
  </si>
  <si>
    <t>64924459     školení, stáže, odb. semináře, konference</t>
  </si>
  <si>
    <t>64924460     foto při UZ a ost. služby</t>
  </si>
  <si>
    <t>64980     Věcné dary</t>
  </si>
  <si>
    <t>64980001     věcné dary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</si>
  <si>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</si>
  <si>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</si>
  <si>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</si>
  <si>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</si>
  <si>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</si>
  <si>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</si>
  <si>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</si>
  <si>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</si>
  <si>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</si>
  <si>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</si>
  <si>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</si>
  <si>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</si>
  <si>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</si>
  <si>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</si>
  <si>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</si>
  <si>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</si>
  <si>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79920000     mezistřediskové převody</t>
  </si>
  <si>
    <t>79950     VPN - správní režie</t>
  </si>
  <si>
    <t>79950001     režie HTS</t>
  </si>
  <si>
    <t>28</t>
  </si>
  <si>
    <t>Ústav lékařské genetiky</t>
  </si>
  <si>
    <t/>
  </si>
  <si>
    <t>Ústav lékařské genetiky Celkem</t>
  </si>
  <si>
    <t>SumaKL</t>
  </si>
  <si>
    <t>2801</t>
  </si>
  <si>
    <t>vedení klinického pracoviště</t>
  </si>
  <si>
    <t>vedení klinického pracoviště Celkem</t>
  </si>
  <si>
    <t>SumaNS</t>
  </si>
  <si>
    <t>mezeraNS</t>
  </si>
  <si>
    <t>2821</t>
  </si>
  <si>
    <t>ambulance</t>
  </si>
  <si>
    <t>ambulance Celkem</t>
  </si>
  <si>
    <t>2841</t>
  </si>
  <si>
    <t>laboratoř</t>
  </si>
  <si>
    <t>laboratoř Celkem</t>
  </si>
  <si>
    <t>50113001</t>
  </si>
  <si>
    <t>O</t>
  </si>
  <si>
    <t>47244</t>
  </si>
  <si>
    <t>GLUKÓZA 5 BRAUN</t>
  </si>
  <si>
    <t>INF SOL 10X500ML-PE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</si>
  <si>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</si>
  <si>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</si>
  <si>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</si>
  <si>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</si>
  <si>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</si>
  <si>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</si>
  <si>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</si>
  <si>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</si>
  <si>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100502</t>
  </si>
  <si>
    <t>502</t>
  </si>
  <si>
    <t>MESOCAIN</t>
  </si>
  <si>
    <t>INJ 10X10ML 1%</t>
  </si>
  <si>
    <t>104270</t>
  </si>
  <si>
    <t>4270</t>
  </si>
  <si>
    <t>IRUXOL MONO</t>
  </si>
  <si>
    <t>DRM UNG 1X30GM</t>
  </si>
  <si>
    <t>109847</t>
  </si>
  <si>
    <t>9847</t>
  </si>
  <si>
    <t>TORECAN</t>
  </si>
  <si>
    <t>SUP 6X6.5MG</t>
  </si>
  <si>
    <t>112894</t>
  </si>
  <si>
    <t>12894</t>
  </si>
  <si>
    <t>AULIN</t>
  </si>
  <si>
    <t>GRA 15X100MG(SACKY)</t>
  </si>
  <si>
    <t>115390</t>
  </si>
  <si>
    <t>15390</t>
  </si>
  <si>
    <t>FENISTIL</t>
  </si>
  <si>
    <t>DRM GEL 1X30GM/30MG</t>
  </si>
  <si>
    <t>155823</t>
  </si>
  <si>
    <t>55823</t>
  </si>
  <si>
    <t>NOVALGIN</t>
  </si>
  <si>
    <t>TBL OBD 20X500MG</t>
  </si>
  <si>
    <t>155947</t>
  </si>
  <si>
    <t>55947</t>
  </si>
  <si>
    <t>OPHTAL LIQ 2X50ML</t>
  </si>
  <si>
    <t>194248</t>
  </si>
  <si>
    <t>94248</t>
  </si>
  <si>
    <t>ZOLPIDEM-RATIOPHARM 10 MG</t>
  </si>
  <si>
    <t>POR TBL FLM 10X10MG</t>
  </si>
  <si>
    <t>395294</t>
  </si>
  <si>
    <t>180306</t>
  </si>
  <si>
    <t>TANTUM VERDE</t>
  </si>
  <si>
    <t>LIQ 1X240ML-PET TR</t>
  </si>
  <si>
    <t>846629</t>
  </si>
  <si>
    <t>100013</t>
  </si>
  <si>
    <t>IBALGIN 400 TBL 24</t>
  </si>
  <si>
    <t xml:space="preserve">POR TBL FLM 24X400MG </t>
  </si>
  <si>
    <t>847713</t>
  </si>
  <si>
    <t>125526</t>
  </si>
  <si>
    <t>APO-IBUPROFEN 400 MG</t>
  </si>
  <si>
    <t>POR TBL FLM 100X400MG</t>
  </si>
  <si>
    <t>849941</t>
  </si>
  <si>
    <t>162142</t>
  </si>
  <si>
    <t>PARALEN 500</t>
  </si>
  <si>
    <t>POR TBL NOB 24X500MG</t>
  </si>
  <si>
    <t>100394</t>
  </si>
  <si>
    <t>394</t>
  </si>
  <si>
    <t>ATROPIN BIOTIKA 1MG</t>
  </si>
  <si>
    <t>INJ 10X1ML/1MG</t>
  </si>
  <si>
    <t>111063</t>
  </si>
  <si>
    <t>11063</t>
  </si>
  <si>
    <t>IBALGIN 600 (IBUPROFEN 600)</t>
  </si>
  <si>
    <t>TBL OBD 30X600MG</t>
  </si>
  <si>
    <t>849087</t>
  </si>
  <si>
    <t>138840</t>
  </si>
  <si>
    <t>DORETA 37,5 MG/325 MG</t>
  </si>
  <si>
    <t>POR TBL FLM 20</t>
  </si>
  <si>
    <t>110555</t>
  </si>
  <si>
    <t>10555</t>
  </si>
  <si>
    <t>AQUA PRO INJECTIONE BRAUN</t>
  </si>
  <si>
    <t>PAR LQF 20X100ML-PE</t>
  </si>
  <si>
    <t>102963</t>
  </si>
  <si>
    <t>2963</t>
  </si>
  <si>
    <t>PREDNISON 20 LECIVA</t>
  </si>
  <si>
    <t>TBL 20X20MG(BLISTR)</t>
  </si>
  <si>
    <t>156926</t>
  </si>
  <si>
    <t>56926</t>
  </si>
  <si>
    <t>INJ SOL 20X10ML-PLA</t>
  </si>
  <si>
    <t>167547</t>
  </si>
  <si>
    <t>67547</t>
  </si>
  <si>
    <t>ALMIRAL</t>
  </si>
  <si>
    <t>INJ 10X3ML/75MG</t>
  </si>
  <si>
    <t>115518</t>
  </si>
  <si>
    <t>15518</t>
  </si>
  <si>
    <t>SPERSALLERG</t>
  </si>
  <si>
    <t>OPH GTT SOL 1X10ML</t>
  </si>
  <si>
    <t>113403</t>
  </si>
  <si>
    <t>RHOPHYLAC 300 MIKROGRAMŮ/2 ML, INJEKČNÍ ROZTOK V P</t>
  </si>
  <si>
    <t>INJ SOL 1X2ML/300MCG</t>
  </si>
  <si>
    <t>188354</t>
  </si>
  <si>
    <t>88354</t>
  </si>
  <si>
    <t>RHESONATIV 625 IU/ML</t>
  </si>
  <si>
    <t>INJ SOL 1X2ML</t>
  </si>
  <si>
    <t>112895</t>
  </si>
  <si>
    <t>12895</t>
  </si>
  <si>
    <t>POR GRA SOL30SÁČKŮ</t>
  </si>
  <si>
    <t>188617</t>
  </si>
  <si>
    <t>88617</t>
  </si>
  <si>
    <t>EVERCIL</t>
  </si>
  <si>
    <t>GTT OPH 10ML</t>
  </si>
  <si>
    <t>130685</t>
  </si>
  <si>
    <t>30685</t>
  </si>
  <si>
    <t>NASOFAN</t>
  </si>
  <si>
    <t>NAS SPR SUS 120 DÁV</t>
  </si>
  <si>
    <t>121736</t>
  </si>
  <si>
    <t>21736</t>
  </si>
  <si>
    <t>VALETOL</t>
  </si>
  <si>
    <t>POR TBL NOB 10</t>
  </si>
  <si>
    <t>176655</t>
  </si>
  <si>
    <t>76655</t>
  </si>
  <si>
    <t>KETONAL</t>
  </si>
  <si>
    <t>CPS 25X50MG</t>
  </si>
  <si>
    <t>901099</t>
  </si>
  <si>
    <t>IR KONTAKTNI GEL 3% 10 G</t>
  </si>
  <si>
    <t>IR 10g</t>
  </si>
  <si>
    <t>115528</t>
  </si>
  <si>
    <t>15528</t>
  </si>
  <si>
    <t>VIBROCIL</t>
  </si>
  <si>
    <t>NAS SPR SOL 1X10ML</t>
  </si>
  <si>
    <t>191949</t>
  </si>
  <si>
    <t>CLARINASE REPETABS</t>
  </si>
  <si>
    <t>POR TBL RET 14</t>
  </si>
  <si>
    <t>200863</t>
  </si>
  <si>
    <t>OPHTHALMO-SEPTONEX</t>
  </si>
  <si>
    <t>OPH GTT SOL 1X10ML PLAST</t>
  </si>
  <si>
    <t>198054</t>
  </si>
  <si>
    <t>SANVAL 10 MG</t>
  </si>
  <si>
    <t>POR TBL FLM 20X10MG</t>
  </si>
  <si>
    <t>176654</t>
  </si>
  <si>
    <t>76654</t>
  </si>
  <si>
    <t>KETONAL RETARD</t>
  </si>
  <si>
    <t>TBL RET 20X150MG</t>
  </si>
  <si>
    <t>847590</t>
  </si>
  <si>
    <t>124913</t>
  </si>
  <si>
    <t>COLDREX HORKÝ NÁPOJ CITRON S MEDEM</t>
  </si>
  <si>
    <t xml:space="preserve">POR PLV SOL 10 </t>
  </si>
  <si>
    <t>145248</t>
  </si>
  <si>
    <t>45248</t>
  </si>
  <si>
    <t>COLDREX HOTREM CITRON</t>
  </si>
  <si>
    <t>PLV 10KS(SACKY)</t>
  </si>
  <si>
    <t>P</t>
  </si>
  <si>
    <t>112892</t>
  </si>
  <si>
    <t>12892</t>
  </si>
  <si>
    <t>TBL 30X100MG</t>
  </si>
  <si>
    <t>117122</t>
  </si>
  <si>
    <t>17122</t>
  </si>
  <si>
    <t>LANZUL</t>
  </si>
  <si>
    <t>CPS 56X30MG</t>
  </si>
  <si>
    <t>131934</t>
  </si>
  <si>
    <t>31934</t>
  </si>
  <si>
    <t>VENTOLIN INHALER N</t>
  </si>
  <si>
    <t>INHSUSPSS200X100RG</t>
  </si>
  <si>
    <t>130652</t>
  </si>
  <si>
    <t>30652</t>
  </si>
  <si>
    <t>REASEC</t>
  </si>
  <si>
    <t>TBL 20X2.5MG</t>
  </si>
  <si>
    <t>51366</t>
  </si>
  <si>
    <t>CHLORID SODNÝ 0,9% BRAUN</t>
  </si>
  <si>
    <t>INF SOL 20X100MLPELAH</t>
  </si>
  <si>
    <t>395997</t>
  </si>
  <si>
    <t>DZ SOFTASEPT N BEZBARVÝ 250 ml</t>
  </si>
  <si>
    <t>900321</t>
  </si>
  <si>
    <t>KL PRIPRAVEK</t>
  </si>
  <si>
    <t>930589</t>
  </si>
  <si>
    <t>KL ETHANOLUM BENZ.DENAT. 900 ml / 720g/</t>
  </si>
  <si>
    <t>UN 1170</t>
  </si>
  <si>
    <t>921227</t>
  </si>
  <si>
    <t>KL SOL.HYD.PEROX.20% 500g</t>
  </si>
  <si>
    <t>102983</t>
  </si>
  <si>
    <t>25270</t>
  </si>
  <si>
    <t>DZ JODISOL 760 G</t>
  </si>
  <si>
    <t>LIQ 1X760GM</t>
  </si>
  <si>
    <t>930443</t>
  </si>
  <si>
    <t>KL PERSTERIL 4% 1 kg HVLP</t>
  </si>
  <si>
    <t>UN 3149</t>
  </si>
  <si>
    <t>Ústav lékařské genetiky a fet.med.</t>
  </si>
  <si>
    <t>GEN, ambulance</t>
  </si>
  <si>
    <t>GEN, laboratoř</t>
  </si>
  <si>
    <t>Lékárna - léčiva</t>
  </si>
  <si>
    <t>2821 - GEN, ambulance</t>
  </si>
  <si>
    <t>R03AC02 - Salbutamol</t>
  </si>
  <si>
    <t>M01AX17 - Nimesulid</t>
  </si>
  <si>
    <t>A02BC03 - Lansoprazol</t>
  </si>
  <si>
    <t>A07DA - Antipropulziva</t>
  </si>
  <si>
    <t>A02BC03</t>
  </si>
  <si>
    <t>LANZUL 30 MG</t>
  </si>
  <si>
    <t>POR CPS DUR 56X30MG</t>
  </si>
  <si>
    <t>A07DA</t>
  </si>
  <si>
    <t>POR TBL NOB 20X2.5MG</t>
  </si>
  <si>
    <t>M01AX17</t>
  </si>
  <si>
    <t>POR TBL NOB 30X100MG</t>
  </si>
  <si>
    <t>R03AC02</t>
  </si>
  <si>
    <t>INH SUS PSS 200X100RG</t>
  </si>
  <si>
    <t>Přehled plnění pozitivního listu - spotřeba léčivých přípravků - orientační přehled</t>
  </si>
  <si>
    <t>28 - Ústav lékařské genetiky</t>
  </si>
  <si>
    <t>2821 - ambulance</t>
  </si>
  <si>
    <t>2841 - laboratoř</t>
  </si>
  <si>
    <t>HVLP</t>
  </si>
  <si>
    <t>89301282</t>
  </si>
  <si>
    <t>Ambulance odd.lékařské genetiky Celkem</t>
  </si>
  <si>
    <t>Ústav lékařské genetiky a fet.med. Celkem</t>
  </si>
  <si>
    <t>Godava Marek</t>
  </si>
  <si>
    <t>Hyjánek Jiří</t>
  </si>
  <si>
    <t>Jiný</t>
  </si>
  <si>
    <t>Aceklofenak</t>
  </si>
  <si>
    <t>160839</t>
  </si>
  <si>
    <t>BIOFENAC 100 MG POTAHOVANÉ TABLETY</t>
  </si>
  <si>
    <t>POR TBL FLM 60X100MG</t>
  </si>
  <si>
    <t>Aciklovir</t>
  </si>
  <si>
    <t>84128</t>
  </si>
  <si>
    <t>HERPESIN 400</t>
  </si>
  <si>
    <t>POR TBL NOB 25X400MG</t>
  </si>
  <si>
    <t>Amoxicilin a enzymový inhibitor</t>
  </si>
  <si>
    <t>203097</t>
  </si>
  <si>
    <t>AMOKSIKLAV 1 G</t>
  </si>
  <si>
    <t>POR TBL FLM 21X1GM</t>
  </si>
  <si>
    <t>Azithromycin</t>
  </si>
  <si>
    <t>45010</t>
  </si>
  <si>
    <t>AZITROMYCIN SANDOZ 500 MG</t>
  </si>
  <si>
    <t>POR TBL FLM 3X500MG</t>
  </si>
  <si>
    <t>Diosmin, kombinace</t>
  </si>
  <si>
    <t>14075</t>
  </si>
  <si>
    <t>DETRALEX</t>
  </si>
  <si>
    <t>POR TBL FLM 60X500MG</t>
  </si>
  <si>
    <t>Flutikason-furoát</t>
  </si>
  <si>
    <t>29816</t>
  </si>
  <si>
    <t>AVAMYS</t>
  </si>
  <si>
    <t>NAS SPR SUS 120X27.5RG</t>
  </si>
  <si>
    <t>Gestoden a ethinylestradiol</t>
  </si>
  <si>
    <t>46707</t>
  </si>
  <si>
    <t>LOGEST</t>
  </si>
  <si>
    <t>POR TBL OBD 3X21</t>
  </si>
  <si>
    <t>Hořčík (různé sole v kombinaci)</t>
  </si>
  <si>
    <t>66555</t>
  </si>
  <si>
    <t>MAGNOSOLV</t>
  </si>
  <si>
    <t>POR GRA SOL 30</t>
  </si>
  <si>
    <t>Salbutamol</t>
  </si>
  <si>
    <t>58380</t>
  </si>
  <si>
    <t>VENTOLIN ROZTOK K INHALACI</t>
  </si>
  <si>
    <t>INH SOL1X20ML/120MG</t>
  </si>
  <si>
    <t>Vinpocetin</t>
  </si>
  <si>
    <t>10252</t>
  </si>
  <si>
    <t>CAVINTON FORTE</t>
  </si>
  <si>
    <t>POR TBL NOB 30X10MG</t>
  </si>
  <si>
    <t>155936</t>
  </si>
  <si>
    <t>Alprazolam</t>
  </si>
  <si>
    <t>96977</t>
  </si>
  <si>
    <t>XANAX 1 MG</t>
  </si>
  <si>
    <t>POR TBL NOB 30X1MG</t>
  </si>
  <si>
    <t>12494</t>
  </si>
  <si>
    <t>AUGMENTIN 1 G</t>
  </si>
  <si>
    <t>POR TBL FLM 14X1GM</t>
  </si>
  <si>
    <t>5951</t>
  </si>
  <si>
    <t>Atorvastatin</t>
  </si>
  <si>
    <t>93013</t>
  </si>
  <si>
    <t>SORTIS 10 MG</t>
  </si>
  <si>
    <t>POR TBL FLM 30X10MG</t>
  </si>
  <si>
    <t>Cefuroxim</t>
  </si>
  <si>
    <t>47725</t>
  </si>
  <si>
    <t>ZINNAT 250 MG</t>
  </si>
  <si>
    <t>POR TBL FLM 10X250MG</t>
  </si>
  <si>
    <t>Cetirizin</t>
  </si>
  <si>
    <t>99600</t>
  </si>
  <si>
    <t>ZODAC</t>
  </si>
  <si>
    <t>POR TBL FLM 90X10MG</t>
  </si>
  <si>
    <t>Indometacin</t>
  </si>
  <si>
    <t>93724</t>
  </si>
  <si>
    <t>INDOMETACIN 100 BERLIN-CHEMIE</t>
  </si>
  <si>
    <t>RCT SUP 10X100MG</t>
  </si>
  <si>
    <t>Jiná antibiotika pro lokální aplikaci</t>
  </si>
  <si>
    <t>1066</t>
  </si>
  <si>
    <t>FRAMYKOIN</t>
  </si>
  <si>
    <t>DRM UNG 1X10GM</t>
  </si>
  <si>
    <t>48261</t>
  </si>
  <si>
    <t>PLV ADS 1X20GM</t>
  </si>
  <si>
    <t>Klarithromycin</t>
  </si>
  <si>
    <t>53853</t>
  </si>
  <si>
    <t>KLACID 500</t>
  </si>
  <si>
    <t>POR TBL FLM 14X500MG</t>
  </si>
  <si>
    <t>Nifuroxazid</t>
  </si>
  <si>
    <t>46405</t>
  </si>
  <si>
    <t>ERCEFURYL 200 MG CPS.</t>
  </si>
  <si>
    <t>POR CPS DUR 14X200MG</t>
  </si>
  <si>
    <t>Omeprazol</t>
  </si>
  <si>
    <t>132531</t>
  </si>
  <si>
    <t>HELICID 20</t>
  </si>
  <si>
    <t>POR CPS ETD 90X20MG</t>
  </si>
  <si>
    <t>25363</t>
  </si>
  <si>
    <t>HELICID 10 ZENTIVA</t>
  </si>
  <si>
    <t>POR CPS ETD 90X10MG SKLO</t>
  </si>
  <si>
    <t>25366</t>
  </si>
  <si>
    <t>HELICID 20 ZENTIVA</t>
  </si>
  <si>
    <t>POR CPS ETD 90X20MG SKLO</t>
  </si>
  <si>
    <t>Rosuvastatin</t>
  </si>
  <si>
    <t>148068</t>
  </si>
  <si>
    <t>ROSUCARD 10 MG POTAHOVANÉ TABLETY</t>
  </si>
  <si>
    <t>148070</t>
  </si>
  <si>
    <t>148074</t>
  </si>
  <si>
    <t>ROSUCARD 20 MG POTAHOVANÉ TABLETY</t>
  </si>
  <si>
    <t>POR TBL FLM 90X20MG</t>
  </si>
  <si>
    <t>Sertralin</t>
  </si>
  <si>
    <t>107888</t>
  </si>
  <si>
    <t>APO-SERTRAL 100</t>
  </si>
  <si>
    <t>POR CPS DUR 30X100MG</t>
  </si>
  <si>
    <t>Tramadol</t>
  </si>
  <si>
    <t>84262</t>
  </si>
  <si>
    <t>TRALGIT GTT.</t>
  </si>
  <si>
    <t>POR GTT SOL 1X96ML</t>
  </si>
  <si>
    <t>Elektrolyty</t>
  </si>
  <si>
    <t>107294</t>
  </si>
  <si>
    <t>0.9% SODIUM CHLORIDE IN WATER FOR INJECTION 'FRESENIUS'</t>
  </si>
  <si>
    <t>INF SOL 10X1000ML-PE</t>
  </si>
  <si>
    <t>Ambulance odd.lékařské genetiky</t>
  </si>
  <si>
    <t>Preskripce a záchyt receptů a poukazů - orientační přehled</t>
  </si>
  <si>
    <t>Přehled plnění pozitivního listu (PL) - 
   preskripce léčivých přípravků dle objemu Kč mimo PL</t>
  </si>
  <si>
    <t>N05BA12 - Alprazolam</t>
  </si>
  <si>
    <t>R06AE07 - Cetirizin</t>
  </si>
  <si>
    <t>N06BX18 - Vinpocetin</t>
  </si>
  <si>
    <t>C10AA07 - Rosuvastatin</t>
  </si>
  <si>
    <t>N02AX02 - Tramadol</t>
  </si>
  <si>
    <t>J01CR02 - Amoxicilin a enzymový inhibitor</t>
  </si>
  <si>
    <t>N06AB06 - Sertralin</t>
  </si>
  <si>
    <t>J01DC02 - Cefuroxim</t>
  </si>
  <si>
    <t>J01FA09 - Klarithromycin</t>
  </si>
  <si>
    <t>C10AA05 - Atorvastatin</t>
  </si>
  <si>
    <t>J01FA10 - Azithromycin</t>
  </si>
  <si>
    <t>J01FA10</t>
  </si>
  <si>
    <t>N06BX18</t>
  </si>
  <si>
    <t>C10AA05</t>
  </si>
  <si>
    <t>C10AA07</t>
  </si>
  <si>
    <t>J01CR02</t>
  </si>
  <si>
    <t>J01DC02</t>
  </si>
  <si>
    <t>J01FA09</t>
  </si>
  <si>
    <t>N02AX02</t>
  </si>
  <si>
    <t>N05BA12</t>
  </si>
  <si>
    <t>N06AB06</t>
  </si>
  <si>
    <t>R06AE07</t>
  </si>
  <si>
    <t>Přehled plnění PL - Preskripce léčivých přípravků - orientační přehled</t>
  </si>
  <si>
    <t>ZA090</t>
  </si>
  <si>
    <t>Vata buničitá přířezy 37 x 57 cm 2730152</t>
  </si>
  <si>
    <t>ZA318</t>
  </si>
  <si>
    <t>Náplast transpore 1,25 cm x 9,14 m 1527-0</t>
  </si>
  <si>
    <t>ZA337</t>
  </si>
  <si>
    <t>Náplast softpore 1,25 cm x 9,15 m bal. á 24 ks 1320103111</t>
  </si>
  <si>
    <t>ZA429</t>
  </si>
  <si>
    <t>Obinadlo elastické idealtex   8 cm x 5 m 931061</t>
  </si>
  <si>
    <t>ZA446</t>
  </si>
  <si>
    <t>Vata buničitá přířezy 20 x 30 cm 1230200129</t>
  </si>
  <si>
    <t>ZA571</t>
  </si>
  <si>
    <t>Mediset pro anestezii 4706312</t>
  </si>
  <si>
    <t>ZB084</t>
  </si>
  <si>
    <t>Náplast transpore 2,50 cm x 9,14 m 1527-1</t>
  </si>
  <si>
    <t>ZB404</t>
  </si>
  <si>
    <t>Náplast cosmos 8 cm x 1m 5403353</t>
  </si>
  <si>
    <t>ZC100</t>
  </si>
  <si>
    <t>Vata buničitá dělená 2 role / 500 ks 40 x 50 mm 1230200310</t>
  </si>
  <si>
    <t>ZH012</t>
  </si>
  <si>
    <t>Náplast micropore 2,50 cm x 5,00 m 840W</t>
  </si>
  <si>
    <t>ZL684</t>
  </si>
  <si>
    <t>Náplast santiband standard poinjekční jednotl. baleno 19 mm x 72 mm 652</t>
  </si>
  <si>
    <t>ZL789</t>
  </si>
  <si>
    <t>Obvaz sterilní hotový č. 2 A4091360</t>
  </si>
  <si>
    <t>ZL790</t>
  </si>
  <si>
    <t>Obvaz sterilní hotový č. 3 A4101144</t>
  </si>
  <si>
    <t>ZL999</t>
  </si>
  <si>
    <t>Rychloobvaz 8 x 4 cm / 3 ks ( pro obj. 1 kus = 3 náplasti) 001445510</t>
  </si>
  <si>
    <t>ZA775</t>
  </si>
  <si>
    <t>Sáček močový lepicí dětský pro novoroz. 744988</t>
  </si>
  <si>
    <t>ZA787</t>
  </si>
  <si>
    <t>Stříkačka injekční 2-dílná 10 ml L Inject Solo 4606108V</t>
  </si>
  <si>
    <t>ZA788</t>
  </si>
  <si>
    <t>Stříkačka injekční 2-dílná 20 ml L Inject Solo 4606205V</t>
  </si>
  <si>
    <t>ZB006</t>
  </si>
  <si>
    <t>Teploměr digitální thermoval basic 9250391</t>
  </si>
  <si>
    <t>ZB231</t>
  </si>
  <si>
    <t>Pinzeta anatomická 14 cm P00894</t>
  </si>
  <si>
    <t>ZB755</t>
  </si>
  <si>
    <t>Zkumavka 1 ml K3 edta fialová 454034</t>
  </si>
  <si>
    <t>Zkumavka 1,0 ml K3 edta fialová 454034</t>
  </si>
  <si>
    <t>ZB756</t>
  </si>
  <si>
    <t>Zkumavka 3 ml K3 edta fialová 454086</t>
  </si>
  <si>
    <t>ZB758</t>
  </si>
  <si>
    <t>Zkumavka 9 ml K3 edta NR 455036</t>
  </si>
  <si>
    <t>ZB759</t>
  </si>
  <si>
    <t>Zkumavka červená 8 ml gel 455071</t>
  </si>
  <si>
    <t>ZB761</t>
  </si>
  <si>
    <t>Zkumavka červená 4 ml 454092</t>
  </si>
  <si>
    <t>ZB763</t>
  </si>
  <si>
    <t>Zkumavka červená 9 ml 455092</t>
  </si>
  <si>
    <t>ZB764</t>
  </si>
  <si>
    <t>Zkumavka zelená 4 ml 454051</t>
  </si>
  <si>
    <t>ZB771</t>
  </si>
  <si>
    <t>Držák jehly základní 450201</t>
  </si>
  <si>
    <t>ZB772</t>
  </si>
  <si>
    <t>Přechodka adaptér luer 450070</t>
  </si>
  <si>
    <t>ZB773</t>
  </si>
  <si>
    <t>Zkumavka šedá-glykemie 454085</t>
  </si>
  <si>
    <t>ZB775</t>
  </si>
  <si>
    <t>Zkumavka koagulace 4 ml modrá 454328</t>
  </si>
  <si>
    <t>ZB777</t>
  </si>
  <si>
    <t>Zkumavka červená 4 ml gel 454071</t>
  </si>
  <si>
    <t>ZB844</t>
  </si>
  <si>
    <t>Esmarch 60 x 1250 KVS 06125</t>
  </si>
  <si>
    <t>ZC648</t>
  </si>
  <si>
    <t>Elektroda EKG s gelem ovál 51 x 33 mm pro dospělé H-108006</t>
  </si>
  <si>
    <t>ZC906</t>
  </si>
  <si>
    <t>Škrtidlo se sponou pro dospělé 25 x 500 mm KVS25500</t>
  </si>
  <si>
    <t>ZE159</t>
  </si>
  <si>
    <t>Nádoba na kontaminovaný odpad 2 l 15-0003</t>
  </si>
  <si>
    <t>ZG515</t>
  </si>
  <si>
    <t>Zkumavka močová vacuette 10,5 ml bal. á 50 ks 455007</t>
  </si>
  <si>
    <t>ZI179</t>
  </si>
  <si>
    <t>Zkumavka s mediem+ flovakovaný tampon eSwab růžový 490CE.A</t>
  </si>
  <si>
    <t>ZI182</t>
  </si>
  <si>
    <t>Zkumavka + aplikátor s chem.stabilizátorem UriSwab žlutá 802CE.A</t>
  </si>
  <si>
    <t>ZF911</t>
  </si>
  <si>
    <t>Nůžky oční rovné hrotnaté 10,5 cm B397113920043</t>
  </si>
  <si>
    <t>ZD069</t>
  </si>
  <si>
    <t>Pinzeta anatomická rovná 14,5 cm B397114920003</t>
  </si>
  <si>
    <t>ZE007</t>
  </si>
  <si>
    <t>Teploměr tyčinkový -10/+110°C 388 100 121 055</t>
  </si>
  <si>
    <t>ZE949</t>
  </si>
  <si>
    <t>Zkumavka na moč 9,5 ml 455028</t>
  </si>
  <si>
    <t>ZH278</t>
  </si>
  <si>
    <t>Nůžky oční zahnuté hrotnaté 10,5 cm B397113920045</t>
  </si>
  <si>
    <t>ZA715</t>
  </si>
  <si>
    <t>Set infuzní intrafix primeline classic 150 cm 4062957</t>
  </si>
  <si>
    <t>ZA832</t>
  </si>
  <si>
    <t>Jehla injekční 0,9 x   40 mm žlutá 4657519</t>
  </si>
  <si>
    <t>Jehla injekční 0,9 x 40 mm žlutá 4657519</t>
  </si>
  <si>
    <t>ZA833</t>
  </si>
  <si>
    <t>Jehla injekční 0,8 x 40 mm zelená 4657527</t>
  </si>
  <si>
    <t>ZA834</t>
  </si>
  <si>
    <t>Jehla injekční 0,7 x 40 mm černá 4660021</t>
  </si>
  <si>
    <t>ZB768</t>
  </si>
  <si>
    <t>Jehla vakuová 216/38 mm zelená 450076</t>
  </si>
  <si>
    <t>ZB288</t>
  </si>
  <si>
    <t>Jehla spinocan G20 88 mm žlutá 4509900</t>
  </si>
  <si>
    <t>Jehla spinální spinocan G20 88 mm žlutá 4509900</t>
  </si>
  <si>
    <t>ZI758</t>
  </si>
  <si>
    <t>Rukavice vinyl bez p. M á 100 ks EFEKTVR03</t>
  </si>
  <si>
    <t>ZI759</t>
  </si>
  <si>
    <t>Rukavice vinyl bez p. L á 100 ks EFEKTVR04</t>
  </si>
  <si>
    <t>ZK477</t>
  </si>
  <si>
    <t>Rukavice operační latexové s pudrem ansell medigrip plus vel. 8,0 302926</t>
  </si>
  <si>
    <t>ZL072</t>
  </si>
  <si>
    <t>Rukavice operační gammex bez pudru PF EnLite vel. 7,0 353384</t>
  </si>
  <si>
    <t>ZM292</t>
  </si>
  <si>
    <t>Rukavice nitril sempercare bez p. M bal. á 200 ks 30803</t>
  </si>
  <si>
    <t>ZA411</t>
  </si>
  <si>
    <t>Gáza přířezy 30 cm x 30 cm 17 nití 07004</t>
  </si>
  <si>
    <t>ZA557</t>
  </si>
  <si>
    <t>Kompresa gáza sterilní 10 x 20 cm / 5 ks 26013</t>
  </si>
  <si>
    <t>ZD104</t>
  </si>
  <si>
    <t>Náplast omniplast 10,0 cm x 10,0 m 9004472 (900535)</t>
  </si>
  <si>
    <t>ZA789</t>
  </si>
  <si>
    <t>Stříkačka injekční 2-dílná 2 ml L Inject Solo 4606027V</t>
  </si>
  <si>
    <t>ZA817</t>
  </si>
  <si>
    <t>Zkumavka PS 10 ml sterilní 400914</t>
  </si>
  <si>
    <t>ZA855</t>
  </si>
  <si>
    <t>Pipeta pasteurova P 223 6,5 ml 204523</t>
  </si>
  <si>
    <t>ZB780</t>
  </si>
  <si>
    <t>Kontejner 120 ml sterilní 331690250350</t>
  </si>
  <si>
    <t>ZF192</t>
  </si>
  <si>
    <t>Nádoba na kontaminovaný odpad 4 l 15-0004</t>
  </si>
  <si>
    <t>ZJ278</t>
  </si>
  <si>
    <t>Zkumavka PP 10 ml sterilní bal. á 200 ks 331690211500</t>
  </si>
  <si>
    <t>ZA816</t>
  </si>
  <si>
    <t>Zkumavka PS 15 ml sterilní 400915</t>
  </si>
  <si>
    <t>ZE850</t>
  </si>
  <si>
    <t>Nůžky oční rovné iris TK-AK 434-11</t>
  </si>
  <si>
    <t>ZE961</t>
  </si>
  <si>
    <t>Strip Tubes and Caps 0,1ml  bal. á 250 ks 981103</t>
  </si>
  <si>
    <t>ZL467</t>
  </si>
  <si>
    <t>Stojan na zkumavky 190 x 90 x 52 mm 331840011183</t>
  </si>
  <si>
    <t>ZD012</t>
  </si>
  <si>
    <t>Válec odměrný 100 ml 632432151130</t>
  </si>
  <si>
    <t>ZI304</t>
  </si>
  <si>
    <t xml:space="preserve">Elektroda do kapiláry 5914 </t>
  </si>
  <si>
    <t>ZA813</t>
  </si>
  <si>
    <t>Rotor adapters (10 x 24) elution tubes (1,5 ml) 990394</t>
  </si>
  <si>
    <t>ZC604</t>
  </si>
  <si>
    <t>Mikroampule 0,2 ml reaction tubes,8 x 125 ks N8010580</t>
  </si>
  <si>
    <t>ZI125</t>
  </si>
  <si>
    <t>Extension Tubes - 3 ml 19587</t>
  </si>
  <si>
    <t>ZF370</t>
  </si>
  <si>
    <t>Filtr syringe 0,22 um, pr. 33 mm á 40 ks 99722</t>
  </si>
  <si>
    <t>ZF477</t>
  </si>
  <si>
    <t>Destička pro přípravu vzorků do kapiláry 96-well PCR plate bal. á 100 ks 211-0283</t>
  </si>
  <si>
    <t>ZI956</t>
  </si>
  <si>
    <t>Fólie těsnící na PCR destičky SEAL 157300</t>
  </si>
  <si>
    <t>ZM042</t>
  </si>
  <si>
    <t>Mikrozkumavka s víčkem 500 ul Qubit Assay Tubes bal. á 500 ks Q32856</t>
  </si>
  <si>
    <t>ZJ763</t>
  </si>
  <si>
    <t>Kapilára avant aray 36 cm 4333464</t>
  </si>
  <si>
    <t>ZF613</t>
  </si>
  <si>
    <t>Kryozkumavka 4,5 ml 89050</t>
  </si>
  <si>
    <t>ZM533</t>
  </si>
  <si>
    <t>Kolona Amicon Ultra-0,5 Centrifugal Filter Unit with Ultracel-30 membrane bal. á 96 ks UFC 503096</t>
  </si>
  <si>
    <t>ZB070</t>
  </si>
  <si>
    <t>Filtr tips 1000ul (1024) 990352</t>
  </si>
  <si>
    <t>ZC590</t>
  </si>
  <si>
    <t>Zkumavky centrifugační 50 ml á 360 ks 91050</t>
  </si>
  <si>
    <t>ZC831</t>
  </si>
  <si>
    <t>Sklo podložní mat. okraj 2501</t>
  </si>
  <si>
    <t>ZE719</t>
  </si>
  <si>
    <t>Špička pipetovací 0.5-10ul á 1000 ks 3110</t>
  </si>
  <si>
    <t xml:space="preserve">Špička pipetovací 0.5-10ul á 1000 ks 3110 </t>
  </si>
  <si>
    <t>Špička pipetovací 0.5-10ul á 1000 ks BUN001P-BP(3110)</t>
  </si>
  <si>
    <t>ZI560</t>
  </si>
  <si>
    <t>Špička žlutá dlouhá manžeta gilson 1 - 200 ul FLME28063</t>
  </si>
  <si>
    <t>ZA900</t>
  </si>
  <si>
    <t>Mikrozkumavka PCR 0,2 ml AB-0337</t>
  </si>
  <si>
    <t>Mikrozkumavka PCR 0,2 ml 5320(AB-0337)</t>
  </si>
  <si>
    <t>ZC689</t>
  </si>
  <si>
    <t>Kádinka 100 ml vysoká sklo 632417012100</t>
  </si>
  <si>
    <t>ZE897</t>
  </si>
  <si>
    <t>Mikrozkumavka PCR 8 strip bez víček bal. á 125 ks 3426.8S</t>
  </si>
  <si>
    <t>ZL046</t>
  </si>
  <si>
    <t>Microtubes Clear 1.7 ml  bal. á 500 ks 7100</t>
  </si>
  <si>
    <t>Microtubes Clear 1.7 ml  bal. á 500 ks BCN1700-BP(7100)</t>
  </si>
  <si>
    <t>ZC776</t>
  </si>
  <si>
    <t>Sklo podložní mat. MS7625011</t>
  </si>
  <si>
    <t>ZM043</t>
  </si>
  <si>
    <t>Mikrodestičky ABgene 0,8 ml Storage Plate 1bag of 50 plates 96-jamkové bal. á 50 ks AB-0859</t>
  </si>
  <si>
    <t>ZG352</t>
  </si>
  <si>
    <t>Špička pipetovací s filtrem 20ul á 1000 ks 30026</t>
  </si>
  <si>
    <t>ZB605</t>
  </si>
  <si>
    <t>Špička modrá krátká manžeta 1108</t>
  </si>
  <si>
    <t>ZF246</t>
  </si>
  <si>
    <t>96 wel clear flat top PCR mikroplate 40 ks 5610</t>
  </si>
  <si>
    <t>ZG351</t>
  </si>
  <si>
    <t>Špička pipetovací s filtrem 10ul á 1000 ks 30011</t>
  </si>
  <si>
    <t>ZF245</t>
  </si>
  <si>
    <t>SC Adapter BVS0120</t>
  </si>
  <si>
    <t>SC Adapter S0101 bal á 100 ks S0120-100</t>
  </si>
  <si>
    <t>ZB857</t>
  </si>
  <si>
    <t>Kartáček na bukální stěr bal. á 100 ks MB 100 BR</t>
  </si>
  <si>
    <t>ZB788</t>
  </si>
  <si>
    <t>Špička s filtrem 20 ul bal. á 96 ks 96.10296.9.01</t>
  </si>
  <si>
    <t>Špička s filtrem 20 ul bal. á 96 ks 96.11190.9.01 (staré.k.č. 96.10296.9.01)</t>
  </si>
  <si>
    <t>ZK523</t>
  </si>
  <si>
    <t>Špičky s filtrem-Filter 10 ul clear racked10x69 sterile S3 bal. 960 ks BT10</t>
  </si>
  <si>
    <t>Špička s filtrem-Filter 10 ul clear racked10x69 sterile S3 bal. 960 ks BT10</t>
  </si>
  <si>
    <t>ZC066</t>
  </si>
  <si>
    <t>Kádinka nízká 100 ml s výlevkou sklo 632417010100</t>
  </si>
  <si>
    <t>ZF670</t>
  </si>
  <si>
    <t xml:space="preserve">Kádinka 150 ml nízká s výlevkou sklo 632417010150 </t>
  </si>
  <si>
    <t>ZC528</t>
  </si>
  <si>
    <t>Filtr tips   200ul (1024) 990332</t>
  </si>
  <si>
    <t>ZA793</t>
  </si>
  <si>
    <t>Špička s filtrem 200 ul bal. á 96 ks 96.9263.9.01</t>
  </si>
  <si>
    <t>ZI434</t>
  </si>
  <si>
    <t>Zkumavka sample tubes 2 ml CB 990382</t>
  </si>
  <si>
    <t>ZG971</t>
  </si>
  <si>
    <t>Zkumavka 0,2 ml PCR 12 x 8 stripů bal. á 960 ks AB-1112</t>
  </si>
  <si>
    <t>ZC681</t>
  </si>
  <si>
    <t>Zkumavka 0,2 ml PCR ve 12 stripech 10 x 12 stripů AB-1113</t>
  </si>
  <si>
    <t>ZB125</t>
  </si>
  <si>
    <t>Láhev kultivační 25 cm2 á 360 ks 90026</t>
  </si>
  <si>
    <t>ZC049</t>
  </si>
  <si>
    <t>Sklo krycí 20 x 20 mm bal. á 1000 ks BD2020</t>
  </si>
  <si>
    <t>ZA767</t>
  </si>
  <si>
    <t>Víčka k mikrozkumavkám PCR 8 strip bal. á 125 ks 3427.8</t>
  </si>
  <si>
    <t>ZB000</t>
  </si>
  <si>
    <t>Špička s filtrem 1000 ul 96.10298.9.01- končí</t>
  </si>
  <si>
    <t>ZI757</t>
  </si>
  <si>
    <t>Rukavice vinyl bez p. S á 100 ks EFEKTVR02</t>
  </si>
  <si>
    <t>ZK475</t>
  </si>
  <si>
    <t>Rukavice operační latexové s pudrem ansell medigrip plus vel. 7,0 303364</t>
  </si>
  <si>
    <t>Rukavice operační latexové s pudrem ansell medigrip plus vel. 7,0 303504 (303364)</t>
  </si>
  <si>
    <t>ZL948</t>
  </si>
  <si>
    <t>Rukavice nitril promedica bez p. M bílé 6N á 100 ks 9399W3</t>
  </si>
  <si>
    <t>Rukavice nitril sempercare bez p. M bal. á 200 ks 30 803</t>
  </si>
  <si>
    <t>ZM291</t>
  </si>
  <si>
    <t>Rukavice nitril sempercare bez p. S bal. á 200 ks 30 802</t>
  </si>
  <si>
    <t>Rukavice nitril sempercare bez p. S bal. á 200 ks 30802</t>
  </si>
  <si>
    <t>804536</t>
  </si>
  <si>
    <t xml:space="preserve">-Diagnostikum připr. </t>
  </si>
  <si>
    <t>500886</t>
  </si>
  <si>
    <t>-Roztok kolchicinu 0,2% (GEN) 100 ml</t>
  </si>
  <si>
    <t>920005</t>
  </si>
  <si>
    <t xml:space="preserve">-SORENS.PUFR PH 6,8 500ML (GEN) </t>
  </si>
  <si>
    <t>801631</t>
  </si>
  <si>
    <t xml:space="preserve">-PRIMER </t>
  </si>
  <si>
    <t>803815</t>
  </si>
  <si>
    <t>-SSC pufr 20x, pH=7 250 ml</t>
  </si>
  <si>
    <t>920001</t>
  </si>
  <si>
    <t>-PRACOVNI ROZTOK, 1L (GEN) 1000 ml</t>
  </si>
  <si>
    <t>920002</t>
  </si>
  <si>
    <t xml:space="preserve">-ROZTOK VERSENU 1L (GEN) </t>
  </si>
  <si>
    <t>920003</t>
  </si>
  <si>
    <t>-PBS PUFR 20X KONC,250ML (GEN) 250 ml</t>
  </si>
  <si>
    <t>DA447</t>
  </si>
  <si>
    <t>ViennaLab CF StripAssay 10t</t>
  </si>
  <si>
    <t>DD341</t>
  </si>
  <si>
    <t>METHANOL  P.A. 1000 ML</t>
  </si>
  <si>
    <t>801335</t>
  </si>
  <si>
    <t>-HCl 0,1 M 1000 ml, 500 ml</t>
  </si>
  <si>
    <t>DD659</t>
  </si>
  <si>
    <t>kyselina octová p.a.</t>
  </si>
  <si>
    <t>DG208</t>
  </si>
  <si>
    <t>GIEMSA-ROMANOWSKI</t>
  </si>
  <si>
    <t>DG393</t>
  </si>
  <si>
    <t>Ethanol 96%</t>
  </si>
  <si>
    <t>DG227</t>
  </si>
  <si>
    <t>BENZEN p.a., 1L</t>
  </si>
  <si>
    <t>DC858</t>
  </si>
  <si>
    <t>PRIMER</t>
  </si>
  <si>
    <t>DA293</t>
  </si>
  <si>
    <t>SALSA MLPA EK1 reagent kit –100rxn -FAM</t>
  </si>
  <si>
    <t>DG143</t>
  </si>
  <si>
    <t>kyselina SIROVA P.A.</t>
  </si>
  <si>
    <t>kyselina SÍROVÁ P.A.</t>
  </si>
  <si>
    <t>DG399</t>
  </si>
  <si>
    <t>SALSA MLPA P250 DiGeorge probemix-25R</t>
  </si>
  <si>
    <t>DF483</t>
  </si>
  <si>
    <t>HotStarTaq DNA Polymerase (250)</t>
  </si>
  <si>
    <t>DG414</t>
  </si>
  <si>
    <t>SALSA MLPA kit P046-C1 TSC2 - 50rx</t>
  </si>
  <si>
    <t>DA548</t>
  </si>
  <si>
    <t>NanoPOP-7 polymer (10ml)</t>
  </si>
  <si>
    <t>DA982</t>
  </si>
  <si>
    <t>Chromosome Synchro P</t>
  </si>
  <si>
    <t>DA295</t>
  </si>
  <si>
    <t>SALSA MLPA P070 Hu Telomere-5 probemix 25rxn</t>
  </si>
  <si>
    <t>DB209</t>
  </si>
  <si>
    <t>Nucleo spin blood (240)</t>
  </si>
  <si>
    <t>DA810</t>
  </si>
  <si>
    <t>SALSA MLPA P343 Autism-1 probemix - 25 reactions</t>
  </si>
  <si>
    <t>DG229</t>
  </si>
  <si>
    <t>METHANOL P.A.</t>
  </si>
  <si>
    <t>DG404</t>
  </si>
  <si>
    <t>SALSA MLPA P018-F1 SHOX-50rxn</t>
  </si>
  <si>
    <t>DC792</t>
  </si>
  <si>
    <t>QIAamp DNA Mini Kit (250), QIAgen</t>
  </si>
  <si>
    <t>DE371</t>
  </si>
  <si>
    <t>RPMI-1640 medium,w l-glutamine and s</t>
  </si>
  <si>
    <t>DE260</t>
  </si>
  <si>
    <t>AmnioGrow CE IVD</t>
  </si>
  <si>
    <t>DG534</t>
  </si>
  <si>
    <t>Xa Yc dual label  10 tests</t>
  </si>
  <si>
    <t>DG528</t>
  </si>
  <si>
    <t>Maxima Probe qPCR Master Mix,ROX Solution provided, 10x1,25ml(for 1000react.of 25ul</t>
  </si>
  <si>
    <t>DG535</t>
  </si>
  <si>
    <t>SHOX 5 tests</t>
  </si>
  <si>
    <t>DG536</t>
  </si>
  <si>
    <t>Alpha satellite 18 Green  5 tests</t>
  </si>
  <si>
    <t>DG533</t>
  </si>
  <si>
    <t>SNaPshot Multiplex Kit 100Reactions</t>
  </si>
  <si>
    <t>DG552</t>
  </si>
  <si>
    <t>Painting Probe 7 Green, 5 tests</t>
  </si>
  <si>
    <t>DG551</t>
  </si>
  <si>
    <t>Painting Probe 6 Red, 5 tests</t>
  </si>
  <si>
    <t>DA210</t>
  </si>
  <si>
    <t>FastAB Thermosens. Alk. Phosphatase 1000 u</t>
  </si>
  <si>
    <t>DA211</t>
  </si>
  <si>
    <t>Exonuclease I (Exo I) 4000 u</t>
  </si>
  <si>
    <t>DG553</t>
  </si>
  <si>
    <t>Telomere Probe 19p Red, 5 tests</t>
  </si>
  <si>
    <t>DG554</t>
  </si>
  <si>
    <t>Telomere Probe 19q Green, 5 tests</t>
  </si>
  <si>
    <t>DE825</t>
  </si>
  <si>
    <t>PCR H2O 15 ml</t>
  </si>
  <si>
    <t>DE452</t>
  </si>
  <si>
    <t>Flushing medium, 500 ml,CFLM-500</t>
  </si>
  <si>
    <t>DG588</t>
  </si>
  <si>
    <t>Qubit dsDNA BR Assay kit 500r</t>
  </si>
  <si>
    <t>DG585</t>
  </si>
  <si>
    <t>SALSA MLPA P002-C2 BRCA 1 probemix 100R</t>
  </si>
  <si>
    <t>DG606</t>
  </si>
  <si>
    <t>SALSA MLPA P311 CHD probemix - 50 reactions</t>
  </si>
  <si>
    <t>DG586</t>
  </si>
  <si>
    <t>GeneScan TM 120 LIZ</t>
  </si>
  <si>
    <t>DA624</t>
  </si>
  <si>
    <t>SALSA MLPA P106 MRX probemix 25rxn</t>
  </si>
  <si>
    <t>DG605</t>
  </si>
  <si>
    <t>SALSA PCR buffer, 480ul</t>
  </si>
  <si>
    <t>DG604</t>
  </si>
  <si>
    <t>SALSA Ligase-65, 115 ul</t>
  </si>
  <si>
    <t>DA956</t>
  </si>
  <si>
    <t>SALSA MLPA P297 Microdel.Syndr.-2 probemix 25rxn</t>
  </si>
  <si>
    <t>DC767</t>
  </si>
  <si>
    <t>POP4</t>
  </si>
  <si>
    <t>DD060</t>
  </si>
  <si>
    <t>FG,HI-DI FORMAMIDE 25 ml</t>
  </si>
  <si>
    <t>DC341</t>
  </si>
  <si>
    <t>PHYTOHAEMAGLUTININ REAGENT</t>
  </si>
  <si>
    <t>DD434</t>
  </si>
  <si>
    <t>KaryoMAX Giemsa 100 ml</t>
  </si>
  <si>
    <t>DC487</t>
  </si>
  <si>
    <t>KARYOMAX COLCEMID SOLUTION (CE LABEL)</t>
  </si>
  <si>
    <t>DD451</t>
  </si>
  <si>
    <t>UltraPure Glycogen 100 ul</t>
  </si>
  <si>
    <t>DD637</t>
  </si>
  <si>
    <t>GENESCAN 500 TAMRA</t>
  </si>
  <si>
    <t>DA292</t>
  </si>
  <si>
    <t>SALSA MLPA P245 Microdel.Syndr.-1 probemix 25rxn</t>
  </si>
  <si>
    <t>DG607</t>
  </si>
  <si>
    <t>SALSA MLPA P297 Microdel.Syndr.-2 probemix 50rxn</t>
  </si>
  <si>
    <t>DG636</t>
  </si>
  <si>
    <t>MiSeq reagent kit v2 (300cycles)</t>
  </si>
  <si>
    <t>DG623</t>
  </si>
  <si>
    <t>High Sensitivity DNA Kit</t>
  </si>
  <si>
    <t>DD567</t>
  </si>
  <si>
    <t>Running buffer w/EDTA 10x, 25ml</t>
  </si>
  <si>
    <t>DG639</t>
  </si>
  <si>
    <t>SE 12(D12Z3), 10testů, červená</t>
  </si>
  <si>
    <t>DA294</t>
  </si>
  <si>
    <t>SALSA MLPA P036 Hu Telomere-3 probemix 25rxn</t>
  </si>
  <si>
    <t>DG669</t>
  </si>
  <si>
    <t>HotStarTaq DNA Polymerase (1000 U) -DYNEX</t>
  </si>
  <si>
    <t>DA181</t>
  </si>
  <si>
    <t>Hank's balanced salt solution (HBSS), 500 ml</t>
  </si>
  <si>
    <t>DG689</t>
  </si>
  <si>
    <t>SE 16(D16Z2)-zelená</t>
  </si>
  <si>
    <t>DE045</t>
  </si>
  <si>
    <t>Combi PPP Master Mix, 1000 reakcí</t>
  </si>
  <si>
    <t>DD652</t>
  </si>
  <si>
    <t>Imersní olej pro mikroskopii 500 ml OLYMPUS</t>
  </si>
  <si>
    <t>DG236</t>
  </si>
  <si>
    <t>TRYPSIN Powder</t>
  </si>
  <si>
    <t>DG337</t>
  </si>
  <si>
    <t>MiSeq Reagent nano Kit v2 (500cycles)</t>
  </si>
  <si>
    <t>DB418</t>
  </si>
  <si>
    <t>Proteináza K 500 mg</t>
  </si>
  <si>
    <t>DA996</t>
  </si>
  <si>
    <t>GeneScan 500 LIZ Size Standard</t>
  </si>
  <si>
    <t>DF078</t>
  </si>
  <si>
    <t>AmpliTaq Gold 360 DNA Polymerase 250U</t>
  </si>
  <si>
    <t>DG690</t>
  </si>
  <si>
    <t>TG TruSight Cancer Gene Set, rxns 4</t>
  </si>
  <si>
    <t>DG724</t>
  </si>
  <si>
    <t>SALSA MLPA probemix P124-C1 TSC1,25 rxn</t>
  </si>
  <si>
    <t>DG584</t>
  </si>
  <si>
    <t>Nanopop-7 28 ml</t>
  </si>
  <si>
    <t>DG808</t>
  </si>
  <si>
    <t>Tween 20, 500ml</t>
  </si>
  <si>
    <t>DG691</t>
  </si>
  <si>
    <t>Tru Sight Enrichment Kit (24 Indices -48 samples), rxns 48</t>
  </si>
  <si>
    <t>DG815</t>
  </si>
  <si>
    <t>SALSA MLPA P070 Hu Telomere-5 probemix 50rxn</t>
  </si>
  <si>
    <t>DA371</t>
  </si>
  <si>
    <t>Cri-Du-Chat/SOTOS Combination, 5t</t>
  </si>
  <si>
    <t>DA656</t>
  </si>
  <si>
    <t>Deoxynucleotide Mix, 10 mM</t>
  </si>
  <si>
    <t>DG387</t>
  </si>
  <si>
    <t>AM Pure XP 60ml (agencourt)</t>
  </si>
  <si>
    <t>DG334</t>
  </si>
  <si>
    <t>BRCA MASTR Dx (8rxns)</t>
  </si>
  <si>
    <t>DG335</t>
  </si>
  <si>
    <t>BRCA MASTR Dx (40rxns)</t>
  </si>
  <si>
    <t>DG873</t>
  </si>
  <si>
    <t>Agarose DNA Pure Grade Electran® 500g</t>
  </si>
  <si>
    <t>DG336</t>
  </si>
  <si>
    <t>MID 1-48 for Illumina MiSeq (240 barcodes)</t>
  </si>
  <si>
    <t>DA504</t>
  </si>
  <si>
    <t>BDX64 Buffer (BigDye) 2x1,25 ml</t>
  </si>
  <si>
    <t>DG577</t>
  </si>
  <si>
    <t>HotStarTaq DNA Polymerase (1000 U)</t>
  </si>
  <si>
    <t>DG866</t>
  </si>
  <si>
    <t>Telomere Probe 14q RED, 5 tests</t>
  </si>
  <si>
    <t>DA623</t>
  </si>
  <si>
    <t>SALSA MLPA P245 Microdel.Syndr.-1 probemix 50rxn</t>
  </si>
  <si>
    <t>DG864</t>
  </si>
  <si>
    <t>SALSA MLPA P343 Autism-1 probemix - 50 reactions</t>
  </si>
  <si>
    <t>DG865</t>
  </si>
  <si>
    <t>Telomere Probe 21q Green, 5 tests</t>
  </si>
  <si>
    <t>DA811</t>
  </si>
  <si>
    <t>SALSA MLPA P311 CHD probemix - 25 reactions</t>
  </si>
  <si>
    <t>DG888</t>
  </si>
  <si>
    <t>SALSA MLPA P424 B2 Cong. heart Disease 25rxn</t>
  </si>
  <si>
    <t>DG889</t>
  </si>
  <si>
    <t>Buffer Al</t>
  </si>
  <si>
    <t>DC793</t>
  </si>
  <si>
    <t>QIAAMP DNA BLOOD MINI KIT/250/</t>
  </si>
  <si>
    <t>DA449</t>
  </si>
  <si>
    <t>QIAamp DNA Blood Mini QUIAcube kit /240/</t>
  </si>
  <si>
    <t>DA005</t>
  </si>
  <si>
    <t>DNA remover, 4x500ml refill bottle</t>
  </si>
  <si>
    <t>DH007</t>
  </si>
  <si>
    <t>BigDye XTerminator Purif kit 20ml</t>
  </si>
  <si>
    <t>DG937</t>
  </si>
  <si>
    <t>Human Genomic DNA: Female</t>
  </si>
  <si>
    <t>DG935</t>
  </si>
  <si>
    <t>Hhal</t>
  </si>
  <si>
    <t>DG936</t>
  </si>
  <si>
    <t>Human Genomic DNA: Male</t>
  </si>
  <si>
    <t>DH021</t>
  </si>
  <si>
    <t>Prenatal 13 and 21 Enumeration Probe kit, 10 tests</t>
  </si>
  <si>
    <t>DG931</t>
  </si>
  <si>
    <t>SALSA MLPA probemix P060-SMA 100rxn</t>
  </si>
  <si>
    <t>DG932</t>
  </si>
  <si>
    <t>SALSA MLPA P182 Centromere mix 2 probemix – 50 rxn</t>
  </si>
  <si>
    <t>DG930</t>
  </si>
  <si>
    <t>SALSA MS-MLPA probemix ME032-UPD7/UPD14 25rxn</t>
  </si>
  <si>
    <t>DG933</t>
  </si>
  <si>
    <t>SALSA MLPA ME030 BWS/RSS probemix – 50 rxn</t>
  </si>
  <si>
    <t>DG295</t>
  </si>
  <si>
    <t>SALSA MLPA P036 Hu Telomere-3 probemix 50rxn</t>
  </si>
  <si>
    <t>DG939</t>
  </si>
  <si>
    <t>SALSA MLPA EK5 reagent kit- 500 reactions (5x6 vials) - FAM</t>
  </si>
  <si>
    <t>DC123</t>
  </si>
  <si>
    <t>QIAEX II Gel Extraction Kit 500</t>
  </si>
  <si>
    <t>DG929</t>
  </si>
  <si>
    <t>Sample DNA 20 react.</t>
  </si>
  <si>
    <t>DG986</t>
  </si>
  <si>
    <t>SALSA MLPA P297 Microdel.Syndr.-2 probemix 100rxn</t>
  </si>
  <si>
    <t>DG934</t>
  </si>
  <si>
    <t>SALSA MLPA P262 GHI probemix – 50 rxn</t>
  </si>
  <si>
    <t>DG938</t>
  </si>
  <si>
    <t>SALSA MLPA P018-F1 SHOX-100rxn</t>
  </si>
  <si>
    <t>DH088</t>
  </si>
  <si>
    <t>Devyser CFTR core</t>
  </si>
  <si>
    <t>DH087</t>
  </si>
  <si>
    <t>Devyser Complete v 2</t>
  </si>
  <si>
    <t>DH086</t>
  </si>
  <si>
    <t>Telomere Follow-up set, PbP249 Human Telomere-8 25 react</t>
  </si>
  <si>
    <t>DH019</t>
  </si>
  <si>
    <t>Monosomy 1p36 5 tests</t>
  </si>
  <si>
    <t>DH020</t>
  </si>
  <si>
    <t>Digeorge TBX1/22q13.3 Combination, 5 tests</t>
  </si>
  <si>
    <t>DH135</t>
  </si>
  <si>
    <t>SALSA MLPA P339-A1 SHANK3 probemix – 25 rxn</t>
  </si>
  <si>
    <t>DH085</t>
  </si>
  <si>
    <t>Maxima probe q PCR Master Mix (2x) ROX solution provided</t>
  </si>
  <si>
    <t>DG379</t>
  </si>
  <si>
    <t>Doprava 21%</t>
  </si>
  <si>
    <t>50115050</t>
  </si>
  <si>
    <t>502 SZM obvazový (112 02 040)</t>
  </si>
  <si>
    <t>50115060</t>
  </si>
  <si>
    <t>503 SZM ostatní zdravotnický (112 02 100)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</si>
  <si>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</si>
  <si>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</si>
  <si>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</si>
  <si>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</si>
  <si>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</si>
  <si>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</si>
  <si>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50115040</t>
  </si>
  <si>
    <t>505 SZM laboratorní sklo a materiál (112 02 140)</t>
  </si>
  <si>
    <t>50115020</t>
  </si>
  <si>
    <t>Diagnostika (112 04 004, 132 01 004)</t>
  </si>
  <si>
    <t>Spotřeba zdravotnického materiálu - orientační přehled</t>
  </si>
  <si>
    <t>ON Data</t>
  </si>
  <si>
    <t>208 - Pracoviště lékařské genetiky</t>
  </si>
  <si>
    <t>301 - Pracoviště pediatrie</t>
  </si>
  <si>
    <t>603 - Pracoviště gynekologie a porodnictví</t>
  </si>
  <si>
    <t>816 - Laboratoř lékařské genetiky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</si>
  <si>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</si>
  <si>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</si>
  <si>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</si>
  <si>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</si>
  <si>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Adamus Milan</t>
  </si>
  <si>
    <t>Anzenbacher Pavel</t>
  </si>
  <si>
    <t>beze jména</t>
  </si>
  <si>
    <t>Dhaifalah Ishraq</t>
  </si>
  <si>
    <t>Procházka Martin</t>
  </si>
  <si>
    <t>Šanová Hana</t>
  </si>
  <si>
    <t>Šantavá Alena</t>
  </si>
  <si>
    <t>Šantavý Petr</t>
  </si>
  <si>
    <t>Šarapatka Jan</t>
  </si>
  <si>
    <t>Zdravotní výkony vykázané na pracovišti v rámci ambulantní péče dle lékařů *</t>
  </si>
  <si>
    <t>208</t>
  </si>
  <si>
    <t>1</t>
  </si>
  <si>
    <t>0015003</t>
  </si>
  <si>
    <t>IGAMAD 1500 I.U.</t>
  </si>
  <si>
    <t>0088353</t>
  </si>
  <si>
    <t>0088354</t>
  </si>
  <si>
    <t>0113403</t>
  </si>
  <si>
    <t>RHOPHYLAC 300 MIKROGRAMŮ/2 ML</t>
  </si>
  <si>
    <t>V</t>
  </si>
  <si>
    <t>09117</t>
  </si>
  <si>
    <t>ODBĚR KRVE ZE ŽÍLY U DÍTĚTĚ DO 10 LET</t>
  </si>
  <si>
    <t>09507</t>
  </si>
  <si>
    <t>PSYCHOTERAPIE PODPŮRNÁ PROVÁDĚNÁ LÉKAŘEM NEPSYCHIA</t>
  </si>
  <si>
    <t>09511</t>
  </si>
  <si>
    <t>MINIMÁLNÍ KONTAKT LÉKAŘE S PACIENTEM</t>
  </si>
  <si>
    <t>28021</t>
  </si>
  <si>
    <t>KLINICKO GENETICKÉ VYŠETŘENÍ KOMPLEXNÍ NAPLNĚNÉ ST</t>
  </si>
  <si>
    <t>28100</t>
  </si>
  <si>
    <t>TRANSPORT BIOLOGICKÉHO MATERIÁLU K VYŠETŘENÍ DO ZA</t>
  </si>
  <si>
    <t>28105</t>
  </si>
  <si>
    <t>GENETICKÉ HODNOCENÍ RIZIKA VROZENÝCH CHROMOSOMÁLNÍ</t>
  </si>
  <si>
    <t>09547</t>
  </si>
  <si>
    <t>REGULAČNÍ POPLATEK -- POJIŠTĚNEC OD ÚHRADY POPLATK</t>
  </si>
  <si>
    <t>28023</t>
  </si>
  <si>
    <t>KLINICKOGENETICKÉ VYŠETŘENÍ KONTROLNÍ</t>
  </si>
  <si>
    <t>09543</t>
  </si>
  <si>
    <t>REGULAČNÍ POPLATEK ZA NÁVŠTĚVU -- POPLATEK UHRAZEN</t>
  </si>
  <si>
    <t>28022</t>
  </si>
  <si>
    <t>CÍLENÉ KLINICKOGENETICKÉ VYŠETŘENÍ PŘI DOSUD NEUZA</t>
  </si>
  <si>
    <t>09555</t>
  </si>
  <si>
    <t>OŠETŘENÍ DÍTĚTE DO 6 LET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</si>
  <si>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</si>
  <si>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</si>
  <si>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</si>
  <si>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</si>
  <si>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</si>
  <si>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</si>
  <si>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09513</t>
  </si>
  <si>
    <t>TELEFONICKÁ KONZULTACE OŠETŘUJÍCÍHO LÉKAŘE PACIENT</t>
  </si>
  <si>
    <t>09115</t>
  </si>
  <si>
    <t>ODBĚR BIOLOGICKÉHO MATERIÁLU JINÉHO NEŽ KREV NA KV</t>
  </si>
  <si>
    <t>28103</t>
  </si>
  <si>
    <t>PŘÍPRAVA  BIOLOGICKÉHO MATERIÁLU PROBANDA K TRANSP</t>
  </si>
  <si>
    <t>301</t>
  </si>
  <si>
    <t>31013</t>
  </si>
  <si>
    <t>31023</t>
  </si>
  <si>
    <t>KONTROLNÍ VYŠETŘENÍ DĚTSKÝM LÉKAŘEM</t>
  </si>
  <si>
    <t>31022</t>
  </si>
  <si>
    <t>CÍLENÉ VYŠETŘENÍ DĚTSKÝM LÉKAŘEM</t>
  </si>
  <si>
    <t>31012</t>
  </si>
  <si>
    <t>603</t>
  </si>
  <si>
    <t>32410</t>
  </si>
  <si>
    <t>SCREENINGOVÉ  PRENATÁLNÍ ECHOKARDIOGRAFICKÉ VYŠETŘ</t>
  </si>
  <si>
    <t>63319</t>
  </si>
  <si>
    <t>ODBĚR CHORIOVÝCH KLKŮ TRANSCERVIKÁLNÍM NEBO TRANSA</t>
  </si>
  <si>
    <t>63333</t>
  </si>
  <si>
    <t>SELEKTIVNÍ FETOCIDA TĚŽCE DEFEKTNÍHO PLODU U VÍCEČ</t>
  </si>
  <si>
    <t>63417</t>
  </si>
  <si>
    <t>ULTRASONOGRAFICKÉ VYŠETŘENÍ PÁNVE U GYNEKOLOGICKÝC</t>
  </si>
  <si>
    <t>89517</t>
  </si>
  <si>
    <t>UZ DUPLEXNÍ VYŠETŘENÍ DVOU A VÍCE CÉV, T. J. MORFO</t>
  </si>
  <si>
    <t>99991</t>
  </si>
  <si>
    <t>(VZP) KÓD POUZE PRO CENTRA DLE VYHL. 368/2006 - SL</t>
  </si>
  <si>
    <t>63415</t>
  </si>
  <si>
    <t xml:space="preserve">SUPERKONZILIÁRNÍ ULTRAZVUKOVÉ VYŠETŘENÍ V PRŮBĚHU </t>
  </si>
  <si>
    <t>89515</t>
  </si>
  <si>
    <t>UZ DUPLEXNÍ VYŠETŘENÍ POUZE JEDNÉ CÉVY, T. J. MORF</t>
  </si>
  <si>
    <t>63311</t>
  </si>
  <si>
    <t>ODBĚR PLODOVÉ VODY TRANSABDOMINÁLNÍ AMNIOCENTÉZOU</t>
  </si>
  <si>
    <t>32420</t>
  </si>
  <si>
    <t>SPECIALIZOVANÉ PRENATÁLNÍ  ECHOKARDIOGRAFICKÉ VYŠE</t>
  </si>
  <si>
    <t>63411</t>
  </si>
  <si>
    <t>SCREENINGOVÉ ULTRASONOGRAFICKÉ VYŠETŘENÍ V 18. - 2</t>
  </si>
  <si>
    <t>63325</t>
  </si>
  <si>
    <t>TERAPEUTICKÁ PUNKCE DUTÝCH ORGÁNŮ PLODU</t>
  </si>
  <si>
    <t>63315</t>
  </si>
  <si>
    <t>FETOSKOPIE</t>
  </si>
  <si>
    <t>816</t>
  </si>
  <si>
    <t>94161</t>
  </si>
  <si>
    <t>VYŠETŘENÍ CHROMOZOMŮ Z CHORIOVÉ TKÁNĚ DLOUHODOBĚ K</t>
  </si>
  <si>
    <t>94181</t>
  </si>
  <si>
    <t>ZHOTOVENÍ KARYOTYPU Z JEDNÉ MITÓZY</t>
  </si>
  <si>
    <t>94119</t>
  </si>
  <si>
    <t>IZOLACE A UCHOVÁNÍ LIDSKÉ DNA (RNA)</t>
  </si>
  <si>
    <t>94115</t>
  </si>
  <si>
    <t>IN SITU HYBRIDIZACE LIDSKÉ DNA SE ZNAČENOU SONDOU</t>
  </si>
  <si>
    <t>94193</t>
  </si>
  <si>
    <t>ELEKTROFORÉZA NUKLEOVÝCH KYSELIN</t>
  </si>
  <si>
    <t>94199</t>
  </si>
  <si>
    <t>AMPLIFIKACE METODOU PCR</t>
  </si>
  <si>
    <t>94123</t>
  </si>
  <si>
    <t>PCR ANALÝZA LIDSKÉ DNA</t>
  </si>
  <si>
    <t>94113</t>
  </si>
  <si>
    <t>SEPARACE MATEŘSKÉ A PLODOVÉ TKÁNĚ PRO CHORIOVÉ BIO</t>
  </si>
  <si>
    <t>94165</t>
  </si>
  <si>
    <t>G PRUHOVÁNÍ CHROMOZOMŮ</t>
  </si>
  <si>
    <t>94129</t>
  </si>
  <si>
    <t>RUTINNÍ VYŠETŘENÍ CHROMOZOMU Z PERIFERNÍ KRVE</t>
  </si>
  <si>
    <t>94135</t>
  </si>
  <si>
    <t>ZHODNOCENÍ ZÍSKANÝCH ABERACÍ V PERIFERNÍ KRVI</t>
  </si>
  <si>
    <t>94153</t>
  </si>
  <si>
    <t>VYŠETŘENÍ CHROMOZOMŮ Z PLODOVÉ VODY</t>
  </si>
  <si>
    <t>94163</t>
  </si>
  <si>
    <t>VYŠETŘENÍ CHROMOZOMŮ Z TKÁNÍ DLOUHODOBĚ KULTIVOVAN</t>
  </si>
  <si>
    <t>94175</t>
  </si>
  <si>
    <t>HODNOCENÍ DALŠÍCH MITÓZ</t>
  </si>
  <si>
    <t>94173</t>
  </si>
  <si>
    <t>C PRUHOVÁNÍ CHROMOZOMŮ</t>
  </si>
  <si>
    <t>94121</t>
  </si>
  <si>
    <t>ŠTĚPENÍ LIDSKÉ DNA RESTRIKČNÍM ENZYMEM A SOUTHERNŮ</t>
  </si>
  <si>
    <t>Zdravotní výkony + ZUM + ZULP vykázané na pracovišti v rámci ambulantní péče - orientační přehled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</si>
  <si>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</si>
  <si>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</si>
  <si>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</si>
  <si>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</si>
  <si>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</si>
  <si>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</si>
  <si>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</si>
  <si>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</si>
  <si>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</si>
  <si>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</si>
  <si>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</si>
  <si>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</si>
  <si>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</si>
  <si>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50 - Kardiochirurgická klinika</t>
  </si>
  <si>
    <t>02</t>
  </si>
  <si>
    <t>03</t>
  </si>
  <si>
    <t>04</t>
  </si>
  <si>
    <t>06</t>
  </si>
  <si>
    <t>07</t>
  </si>
  <si>
    <t>08</t>
  </si>
  <si>
    <t>09</t>
  </si>
  <si>
    <t>10</t>
  </si>
  <si>
    <t>94211</t>
  </si>
  <si>
    <t>DLOUHODOBÁ KULTIVACE BUNĚK RŮZNÝCH TKÁNÍ Z PRENATÁ</t>
  </si>
  <si>
    <t>16</t>
  </si>
  <si>
    <t>17</t>
  </si>
  <si>
    <t>18</t>
  </si>
  <si>
    <t>20</t>
  </si>
  <si>
    <t>21</t>
  </si>
  <si>
    <t>50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</si>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</sst>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67" formatCode="#,##0.0"/>
    <numFmt numFmtId="170" formatCode="#,##0,"/>
    <numFmt numFmtId="172" formatCode="0.000"/>
    <numFmt numFmtId="173" formatCode="#.##0"/>
    <numFmt numFmtId="174" formatCode="#,##0;\-#,##0;"/>
    <numFmt numFmtId="175" formatCode="General;\-General;"/>
    <numFmt numFmtId="176" formatCode="0%;\-0%;"/>
    <numFmt numFmtId="177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37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2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2" fontId="29" fillId="3" borderId="27" xfId="81" applyNumberFormat="1" applyFont="1" applyFill="1" applyBorder="1"/>
    <xf numFmtId="172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1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5" fontId="3" fillId="0" borderId="70" xfId="53" applyNumberFormat="1" applyFont="1" applyFill="1" applyBorder="1"/>
    <xf numFmtId="9" fontId="3" fillId="0" borderId="70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2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1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8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49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9" xfId="0" applyFont="1" applyFill="1" applyBorder="1" applyAlignment="1">
      <alignment horizontal="center"/>
    </xf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0" fontId="32" fillId="2" borderId="49" xfId="0" applyNumberFormat="1" applyFont="1" applyFill="1" applyBorder="1" applyAlignment="1">
      <alignment horizontal="center"/>
    </xf>
    <xf numFmtId="170" fontId="33" fillId="0" borderId="0" xfId="0" applyNumberFormat="1" applyFont="1" applyFill="1"/>
    <xf numFmtId="0" fontId="32" fillId="2" borderId="45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49" fontId="38" fillId="2" borderId="9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9" xfId="0" applyFont="1" applyFill="1" applyBorder="1" applyAlignment="1"/>
    <xf numFmtId="0" fontId="33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5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60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2" xfId="0" applyNumberFormat="1" applyFont="1" applyFill="1" applyBorder="1"/>
    <xf numFmtId="3" fontId="40" fillId="2" borderId="54" xfId="0" applyNumberFormat="1" applyFont="1" applyFill="1" applyBorder="1"/>
    <xf numFmtId="9" fontId="40" fillId="2" borderId="61" xfId="0" applyNumberFormat="1" applyFont="1" applyFill="1" applyBorder="1"/>
    <xf numFmtId="0" fontId="50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8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0" fontId="46" fillId="2" borderId="34" xfId="1" applyFont="1" applyFill="1" applyBorder="1" applyAlignment="1">
      <alignment horizontal="left" indent="4"/>
    </xf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0" fillId="4" borderId="58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9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2" fontId="41" fillId="0" borderId="0" xfId="0" applyNumberFormat="1" applyFont="1" applyFill="1"/>
    <xf numFmtId="173" fontId="41" fillId="0" borderId="0" xfId="0" applyNumberFormat="1" applyFont="1" applyFill="1"/>
    <xf numFmtId="3" fontId="41" fillId="0" borderId="0" xfId="0" applyNumberFormat="1" applyFont="1" applyFill="1"/>
    <xf numFmtId="0" fontId="8" fillId="0" borderId="0" xfId="81" applyFont="1" applyFill="1"/>
    <xf numFmtId="0" fontId="51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5" fontId="33" fillId="0" borderId="0" xfId="0" applyNumberFormat="1" applyFont="1" applyFill="1"/>
    <xf numFmtId="9" fontId="33" fillId="0" borderId="0" xfId="0" applyNumberFormat="1" applyFont="1" applyFill="1"/>
    <xf numFmtId="165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5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6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70" fontId="40" fillId="0" borderId="19" xfId="0" applyNumberFormat="1" applyFont="1" applyFill="1" applyBorder="1" applyAlignment="1"/>
    <xf numFmtId="170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70" fontId="40" fillId="0" borderId="28" xfId="0" applyNumberFormat="1" applyFont="1" applyFill="1" applyBorder="1" applyAlignment="1"/>
    <xf numFmtId="9" fontId="40" fillId="0" borderId="51" xfId="0" applyNumberFormat="1" applyFont="1" applyFill="1" applyBorder="1" applyAlignment="1"/>
    <xf numFmtId="170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9" xfId="0" applyNumberFormat="1" applyFont="1" applyFill="1" applyBorder="1" applyAlignment="1"/>
    <xf numFmtId="9" fontId="33" fillId="0" borderId="49" xfId="0" applyNumberFormat="1" applyFont="1" applyFill="1" applyBorder="1" applyAlignment="1"/>
    <xf numFmtId="3" fontId="0" fillId="0" borderId="0" xfId="0" applyNumberFormat="1"/>
    <xf numFmtId="3" fontId="0" fillId="7" borderId="74" xfId="0" applyNumberFormat="1" applyFont="1" applyFill="1" applyBorder="1"/>
    <xf numFmtId="3" fontId="53" fillId="8" borderId="75" xfId="0" applyNumberFormat="1" applyFont="1" applyFill="1" applyBorder="1"/>
    <xf numFmtId="3" fontId="53" fillId="8" borderId="74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40" fillId="2" borderId="78" xfId="0" applyNumberFormat="1" applyFont="1" applyFill="1" applyBorder="1" applyAlignment="1">
      <alignment horizontal="center" vertical="center"/>
    </xf>
    <xf numFmtId="0" fontId="40" fillId="2" borderId="79" xfId="0" applyFont="1" applyFill="1" applyBorder="1" applyAlignment="1">
      <alignment horizontal="center" vertical="center"/>
    </xf>
    <xf numFmtId="3" fontId="55" fillId="2" borderId="81" xfId="0" applyNumberFormat="1" applyFont="1" applyFill="1" applyBorder="1" applyAlignment="1">
      <alignment horizontal="center" vertical="center" wrapText="1"/>
    </xf>
    <xf numFmtId="0" fontId="55" fillId="2" borderId="82" xfId="0" applyFont="1" applyFill="1" applyBorder="1" applyAlignment="1">
      <alignment horizontal="center" vertical="center" wrapText="1"/>
    </xf>
    <xf numFmtId="0" fontId="40" fillId="2" borderId="84" xfId="0" applyFont="1" applyFill="1" applyBorder="1" applyAlignment="1"/>
    <xf numFmtId="0" fontId="40" fillId="2" borderId="86" xfId="0" applyFont="1" applyFill="1" applyBorder="1" applyAlignment="1">
      <alignment horizontal="left" indent="1"/>
    </xf>
    <xf numFmtId="0" fontId="40" fillId="2" borderId="92" xfId="0" applyFont="1" applyFill="1" applyBorder="1" applyAlignment="1">
      <alignment horizontal="left" indent="1"/>
    </xf>
    <xf numFmtId="0" fontId="40" fillId="4" borderId="84" xfId="0" applyFont="1" applyFill="1" applyBorder="1" applyAlignment="1"/>
    <xf numFmtId="0" fontId="40" fillId="4" borderId="86" xfId="0" applyFont="1" applyFill="1" applyBorder="1" applyAlignment="1">
      <alignment horizontal="left" indent="1"/>
    </xf>
    <xf numFmtId="0" fontId="40" fillId="4" borderId="97" xfId="0" applyFont="1" applyFill="1" applyBorder="1" applyAlignment="1">
      <alignment horizontal="left" indent="1"/>
    </xf>
    <xf numFmtId="0" fontId="33" fillId="2" borderId="86" xfId="0" quotePrefix="1" applyFont="1" applyFill="1" applyBorder="1" applyAlignment="1">
      <alignment horizontal="left" indent="2"/>
    </xf>
    <xf numFmtId="0" fontId="33" fillId="2" borderId="92" xfId="0" quotePrefix="1" applyFont="1" applyFill="1" applyBorder="1" applyAlignment="1">
      <alignment horizontal="left" indent="2"/>
    </xf>
    <xf numFmtId="0" fontId="40" fillId="2" borderId="84" xfId="0" applyFont="1" applyFill="1" applyBorder="1" applyAlignment="1">
      <alignment horizontal="left" indent="1"/>
    </xf>
    <xf numFmtId="0" fontId="40" fillId="2" borderId="97" xfId="0" applyFont="1" applyFill="1" applyBorder="1" applyAlignment="1">
      <alignment horizontal="left" indent="1"/>
    </xf>
    <xf numFmtId="0" fontId="40" fillId="4" borderId="92" xfId="0" applyFont="1" applyFill="1" applyBorder="1" applyAlignment="1">
      <alignment horizontal="left" indent="1"/>
    </xf>
    <xf numFmtId="0" fontId="33" fillId="0" borderId="102" xfId="0" applyFont="1" applyBorder="1"/>
    <xf numFmtId="3" fontId="33" fillId="0" borderId="102" xfId="0" applyNumberFormat="1" applyFont="1" applyBorder="1"/>
    <xf numFmtId="0" fontId="40" fillId="4" borderId="76" xfId="0" applyFont="1" applyFill="1" applyBorder="1" applyAlignment="1">
      <alignment horizontal="center" vertical="center"/>
    </xf>
    <xf numFmtId="0" fontId="40" fillId="4" borderId="62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1" xfId="0" applyNumberFormat="1" applyFont="1" applyFill="1" applyBorder="1" applyAlignment="1">
      <alignment horizontal="center" vertical="center"/>
    </xf>
    <xf numFmtId="3" fontId="55" fillId="2" borderId="99" xfId="0" applyNumberFormat="1" applyFont="1" applyFill="1" applyBorder="1" applyAlignment="1">
      <alignment horizontal="center" vertical="center" wrapText="1"/>
    </xf>
    <xf numFmtId="174" fontId="40" fillId="4" borderId="85" xfId="0" applyNumberFormat="1" applyFont="1" applyFill="1" applyBorder="1" applyAlignment="1"/>
    <xf numFmtId="174" fontId="40" fillId="4" borderId="78" xfId="0" applyNumberFormat="1" applyFont="1" applyFill="1" applyBorder="1" applyAlignment="1"/>
    <xf numFmtId="174" fontId="40" fillId="4" borderId="79" xfId="0" applyNumberFormat="1" applyFont="1" applyFill="1" applyBorder="1" applyAlignment="1"/>
    <xf numFmtId="174" fontId="40" fillId="0" borderId="87" xfId="0" applyNumberFormat="1" applyFont="1" applyBorder="1"/>
    <xf numFmtId="174" fontId="33" fillId="0" borderId="91" xfId="0" applyNumberFormat="1" applyFont="1" applyBorder="1"/>
    <xf numFmtId="174" fontId="33" fillId="0" borderId="89" xfId="0" applyNumberFormat="1" applyFont="1" applyBorder="1"/>
    <xf numFmtId="174" fontId="40" fillId="0" borderId="98" xfId="0" applyNumberFormat="1" applyFont="1" applyBorder="1"/>
    <xf numFmtId="174" fontId="33" fillId="0" borderId="99" xfId="0" applyNumberFormat="1" applyFont="1" applyBorder="1"/>
    <xf numFmtId="174" fontId="33" fillId="0" borderId="82" xfId="0" applyNumberFormat="1" applyFont="1" applyBorder="1"/>
    <xf numFmtId="174" fontId="40" fillId="2" borderId="100" xfId="0" applyNumberFormat="1" applyFont="1" applyFill="1" applyBorder="1" applyAlignment="1"/>
    <xf numFmtId="174" fontId="40" fillId="2" borderId="78" xfId="0" applyNumberFormat="1" applyFont="1" applyFill="1" applyBorder="1" applyAlignment="1"/>
    <xf numFmtId="174" fontId="40" fillId="2" borderId="79" xfId="0" applyNumberFormat="1" applyFont="1" applyFill="1" applyBorder="1" applyAlignment="1"/>
    <xf numFmtId="174" fontId="40" fillId="0" borderId="93" xfId="0" applyNumberFormat="1" applyFont="1" applyBorder="1"/>
    <xf numFmtId="174" fontId="33" fillId="0" borderId="94" xfId="0" applyNumberFormat="1" applyFont="1" applyBorder="1"/>
    <xf numFmtId="174" fontId="33" fillId="0" borderId="95" xfId="0" applyNumberFormat="1" applyFont="1" applyBorder="1"/>
    <xf numFmtId="174" fontId="40" fillId="0" borderId="85" xfId="0" applyNumberFormat="1" applyFont="1" applyBorder="1"/>
    <xf numFmtId="174" fontId="33" fillId="0" borderId="101" xfId="0" applyNumberFormat="1" applyFont="1" applyBorder="1"/>
    <xf numFmtId="174" fontId="33" fillId="0" borderId="79" xfId="0" applyNumberFormat="1" applyFont="1" applyBorder="1"/>
    <xf numFmtId="175" fontId="40" fillId="2" borderId="85" xfId="0" applyNumberFormat="1" applyFont="1" applyFill="1" applyBorder="1" applyAlignment="1"/>
    <xf numFmtId="175" fontId="33" fillId="2" borderId="78" xfId="0" applyNumberFormat="1" applyFont="1" applyFill="1" applyBorder="1" applyAlignment="1"/>
    <xf numFmtId="175" fontId="33" fillId="2" borderId="79" xfId="0" applyNumberFormat="1" applyFont="1" applyFill="1" applyBorder="1" applyAlignment="1"/>
    <xf numFmtId="175" fontId="40" fillId="0" borderId="87" xfId="0" applyNumberFormat="1" applyFont="1" applyBorder="1"/>
    <xf numFmtId="175" fontId="33" fillId="0" borderId="88" xfId="0" applyNumberFormat="1" applyFont="1" applyBorder="1"/>
    <xf numFmtId="175" fontId="33" fillId="0" borderId="89" xfId="0" applyNumberFormat="1" applyFont="1" applyBorder="1"/>
    <xf numFmtId="175" fontId="33" fillId="0" borderId="91" xfId="0" applyNumberFormat="1" applyFont="1" applyBorder="1"/>
    <xf numFmtId="175" fontId="40" fillId="0" borderId="93" xfId="0" applyNumberFormat="1" applyFont="1" applyBorder="1"/>
    <xf numFmtId="175" fontId="33" fillId="0" borderId="94" xfId="0" applyNumberFormat="1" applyFont="1" applyBorder="1"/>
    <xf numFmtId="175" fontId="33" fillId="0" borderId="95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4" fontId="40" fillId="4" borderId="85" xfId="0" applyNumberFormat="1" applyFont="1" applyFill="1" applyBorder="1" applyAlignment="1">
      <alignment horizontal="center"/>
    </xf>
    <xf numFmtId="176" fontId="40" fillId="0" borderId="93" xfId="0" applyNumberFormat="1" applyFont="1" applyBorder="1"/>
    <xf numFmtId="0" fontId="32" fillId="2" borderId="10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90" xfId="0" applyFont="1" applyFill="1" applyBorder="1"/>
    <xf numFmtId="0" fontId="33" fillId="0" borderId="91" xfId="0" applyFont="1" applyBorder="1" applyAlignment="1"/>
    <xf numFmtId="9" fontId="33" fillId="0" borderId="89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0" fontId="33" fillId="0" borderId="102" xfId="0" applyFont="1" applyFill="1" applyBorder="1" applyAlignment="1"/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70" fontId="40" fillId="0" borderId="20" xfId="0" applyNumberFormat="1" applyFont="1" applyFill="1" applyBorder="1" applyAlignment="1"/>
    <xf numFmtId="9" fontId="40" fillId="0" borderId="87" xfId="0" applyNumberFormat="1" applyFont="1" applyBorder="1"/>
    <xf numFmtId="9" fontId="33" fillId="0" borderId="91" xfId="0" applyNumberFormat="1" applyFont="1" applyBorder="1"/>
    <xf numFmtId="9" fontId="33" fillId="0" borderId="89" xfId="0" applyNumberFormat="1" applyFont="1" applyBorder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2" fillId="2" borderId="47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32" fillId="2" borderId="72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09" xfId="81" applyFont="1" applyFill="1" applyBorder="1" applyAlignment="1">
      <alignment horizontal="center"/>
    </xf>
    <xf numFmtId="0" fontId="32" fillId="2" borderId="106" xfId="81" applyFont="1" applyFill="1" applyBorder="1" applyAlignment="1">
      <alignment horizontal="center"/>
    </xf>
    <xf numFmtId="0" fontId="32" fillId="2" borderId="85" xfId="81" applyFont="1" applyFill="1" applyBorder="1" applyAlignment="1">
      <alignment horizontal="center"/>
    </xf>
    <xf numFmtId="0" fontId="32" fillId="2" borderId="108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5" fontId="32" fillId="0" borderId="0" xfId="53" applyNumberFormat="1" applyFont="1" applyFill="1" applyBorder="1" applyAlignment="1">
      <alignment horizontal="center"/>
    </xf>
    <xf numFmtId="165" fontId="30" fillId="0" borderId="0" xfId="79" applyNumberFormat="1" applyFont="1" applyFill="1" applyBorder="1" applyAlignment="1">
      <alignment horizontal="center"/>
    </xf>
    <xf numFmtId="165" fontId="32" fillId="2" borderId="24" xfId="53" applyNumberFormat="1" applyFont="1" applyFill="1" applyBorder="1" applyAlignment="1">
      <alignment horizontal="right"/>
    </xf>
    <xf numFmtId="165" fontId="30" fillId="2" borderId="29" xfId="79" applyNumberFormat="1" applyFont="1" applyFill="1" applyBorder="1" applyAlignment="1">
      <alignment horizontal="right"/>
    </xf>
    <xf numFmtId="165" fontId="43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3" xfId="78" applyNumberFormat="1" applyFont="1" applyFill="1" applyBorder="1" applyAlignment="1">
      <alignment horizontal="left"/>
    </xf>
    <xf numFmtId="0" fontId="33" fillId="2" borderId="53" xfId="0" applyFont="1" applyFill="1" applyBorder="1" applyAlignment="1"/>
    <xf numFmtId="3" fontId="29" fillId="2" borderId="55" xfId="78" applyNumberFormat="1" applyFont="1" applyFill="1" applyBorder="1" applyAlignment="1"/>
    <xf numFmtId="0" fontId="40" fillId="2" borderId="63" xfId="0" applyFont="1" applyFill="1" applyBorder="1" applyAlignment="1">
      <alignment horizontal="left"/>
    </xf>
    <xf numFmtId="0" fontId="33" fillId="2" borderId="49" xfId="0" applyFont="1" applyFill="1" applyBorder="1" applyAlignment="1">
      <alignment horizontal="left"/>
    </xf>
    <xf numFmtId="0" fontId="33" fillId="2" borderId="53" xfId="0" applyFont="1" applyFill="1" applyBorder="1" applyAlignment="1">
      <alignment horizontal="left"/>
    </xf>
    <xf numFmtId="0" fontId="40" fillId="2" borderId="55" xfId="0" applyFont="1" applyFill="1" applyBorder="1" applyAlignment="1">
      <alignment horizontal="left"/>
    </xf>
    <xf numFmtId="3" fontId="40" fillId="2" borderId="55" xfId="0" applyNumberFormat="1" applyFont="1" applyFill="1" applyBorder="1" applyAlignment="1">
      <alignment horizontal="left"/>
    </xf>
    <xf numFmtId="3" fontId="33" fillId="2" borderId="50" xfId="0" applyNumberFormat="1" applyFont="1" applyFill="1" applyBorder="1" applyAlignment="1">
      <alignment horizontal="left"/>
    </xf>
    <xf numFmtId="9" fontId="3" fillId="2" borderId="112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11" xfId="80" applyNumberFormat="1" applyFont="1" applyFill="1" applyBorder="1" applyAlignment="1">
      <alignment horizontal="left"/>
    </xf>
    <xf numFmtId="3" fontId="3" fillId="2" borderId="100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6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6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4" xfId="53" applyFont="1" applyFill="1" applyBorder="1" applyAlignment="1">
      <alignment horizontal="right"/>
    </xf>
    <xf numFmtId="0" fontId="5" fillId="2" borderId="65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6" xfId="79" applyFont="1" applyFill="1" applyBorder="1" applyAlignment="1">
      <alignment horizontal="left"/>
    </xf>
    <xf numFmtId="0" fontId="2" fillId="0" borderId="1" xfId="26" applyFont="1" applyFill="1" applyBorder="1" applyAlignment="1"/>
    <xf numFmtId="167" fontId="40" fillId="2" borderId="77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0" fillId="2" borderId="61" xfId="0" applyFont="1" applyFill="1" applyBorder="1" applyAlignment="1">
      <alignment vertical="center"/>
    </xf>
    <xf numFmtId="3" fontId="32" fillId="2" borderId="63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50" xfId="26" applyNumberFormat="1" applyFont="1" applyFill="1" applyBorder="1" applyAlignment="1">
      <alignment horizontal="center"/>
    </xf>
    <xf numFmtId="3" fontId="32" fillId="2" borderId="110" xfId="26" applyNumberFormat="1" applyFont="1" applyFill="1" applyBorder="1" applyAlignment="1">
      <alignment horizontal="center"/>
    </xf>
    <xf numFmtId="3" fontId="32" fillId="2" borderId="102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3" fontId="32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3" xfId="0" quotePrefix="1" applyFont="1" applyFill="1" applyBorder="1" applyAlignment="1">
      <alignment horizontal="center"/>
    </xf>
    <xf numFmtId="0" fontId="32" fillId="2" borderId="50" xfId="0" applyFont="1" applyFill="1" applyBorder="1" applyAlignment="1">
      <alignment horizontal="center"/>
    </xf>
    <xf numFmtId="9" fontId="44" fillId="2" borderId="50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63" xfId="0" quotePrefix="1" applyNumberFormat="1" applyFont="1" applyFill="1" applyBorder="1" applyAlignment="1">
      <alignment horizontal="center"/>
    </xf>
    <xf numFmtId="0" fontId="32" fillId="2" borderId="50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4" fillId="2" borderId="50" xfId="0" applyNumberFormat="1" applyFont="1" applyFill="1" applyBorder="1" applyAlignment="1">
      <alignment horizontal="center" vertical="top"/>
    </xf>
    <xf numFmtId="3" fontId="34" fillId="9" borderId="114" xfId="0" applyNumberFormat="1" applyFont="1" applyFill="1" applyBorder="1" applyAlignment="1">
      <alignment horizontal="right" vertical="top"/>
    </xf>
    <xf numFmtId="3" fontId="34" fillId="9" borderId="115" xfId="0" applyNumberFormat="1" applyFont="1" applyFill="1" applyBorder="1" applyAlignment="1">
      <alignment horizontal="right" vertical="top"/>
    </xf>
    <xf numFmtId="177" fontId="34" fillId="9" borderId="116" xfId="0" applyNumberFormat="1" applyFont="1" applyFill="1" applyBorder="1" applyAlignment="1">
      <alignment horizontal="right" vertical="top"/>
    </xf>
    <xf numFmtId="3" fontId="34" fillId="0" borderId="114" xfId="0" applyNumberFormat="1" applyFont="1" applyBorder="1" applyAlignment="1">
      <alignment horizontal="right" vertical="top"/>
    </xf>
    <xf numFmtId="177" fontId="34" fillId="9" borderId="117" xfId="0" applyNumberFormat="1" applyFont="1" applyFill="1" applyBorder="1" applyAlignment="1">
      <alignment horizontal="right" vertical="top"/>
    </xf>
    <xf numFmtId="3" fontId="36" fillId="9" borderId="119" xfId="0" applyNumberFormat="1" applyFont="1" applyFill="1" applyBorder="1" applyAlignment="1">
      <alignment horizontal="right" vertical="top"/>
    </xf>
    <xf numFmtId="3" fontId="36" fillId="9" borderId="120" xfId="0" applyNumberFormat="1" applyFont="1" applyFill="1" applyBorder="1" applyAlignment="1">
      <alignment horizontal="right" vertical="top"/>
    </xf>
    <xf numFmtId="0" fontId="36" fillId="9" borderId="121" xfId="0" applyFont="1" applyFill="1" applyBorder="1" applyAlignment="1">
      <alignment horizontal="right" vertical="top"/>
    </xf>
    <xf numFmtId="3" fontId="36" fillId="0" borderId="119" xfId="0" applyNumberFormat="1" applyFont="1" applyBorder="1" applyAlignment="1">
      <alignment horizontal="right" vertical="top"/>
    </xf>
    <xf numFmtId="0" fontId="36" fillId="9" borderId="122" xfId="0" applyFont="1" applyFill="1" applyBorder="1" applyAlignment="1">
      <alignment horizontal="right" vertical="top"/>
    </xf>
    <xf numFmtId="0" fontId="34" fillId="9" borderId="116" xfId="0" applyFont="1" applyFill="1" applyBorder="1" applyAlignment="1">
      <alignment horizontal="right" vertical="top"/>
    </xf>
    <xf numFmtId="0" fontId="34" fillId="9" borderId="117" xfId="0" applyFont="1" applyFill="1" applyBorder="1" applyAlignment="1">
      <alignment horizontal="right" vertical="top"/>
    </xf>
    <xf numFmtId="177" fontId="36" fillId="9" borderId="121" xfId="0" applyNumberFormat="1" applyFont="1" applyFill="1" applyBorder="1" applyAlignment="1">
      <alignment horizontal="right" vertical="top"/>
    </xf>
    <xf numFmtId="177" fontId="36" fillId="9" borderId="122" xfId="0" applyNumberFormat="1" applyFont="1" applyFill="1" applyBorder="1" applyAlignment="1">
      <alignment horizontal="right" vertical="top"/>
    </xf>
    <xf numFmtId="3" fontId="36" fillId="0" borderId="123" xfId="0" applyNumberFormat="1" applyFont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3" fontId="36" fillId="0" borderId="125" xfId="0" applyNumberFormat="1" applyFont="1" applyBorder="1" applyAlignment="1">
      <alignment horizontal="right" vertical="top"/>
    </xf>
    <xf numFmtId="177" fontId="36" fillId="9" borderId="126" xfId="0" applyNumberFormat="1" applyFont="1" applyFill="1" applyBorder="1" applyAlignment="1">
      <alignment horizontal="right" vertical="top"/>
    </xf>
    <xf numFmtId="0" fontId="38" fillId="10" borderId="113" xfId="0" applyFont="1" applyFill="1" applyBorder="1" applyAlignment="1">
      <alignment vertical="top"/>
    </xf>
    <xf numFmtId="0" fontId="38" fillId="10" borderId="113" xfId="0" applyFont="1" applyFill="1" applyBorder="1" applyAlignment="1">
      <alignment vertical="top" indent="2"/>
    </xf>
    <xf numFmtId="0" fontId="38" fillId="10" borderId="113" xfId="0" applyFont="1" applyFill="1" applyBorder="1" applyAlignment="1">
      <alignment vertical="top" indent="4"/>
    </xf>
    <xf numFmtId="0" fontId="39" fillId="10" borderId="118" xfId="0" applyFont="1" applyFill="1" applyBorder="1" applyAlignment="1">
      <alignment vertical="top" indent="6"/>
    </xf>
    <xf numFmtId="0" fontId="38" fillId="10" borderId="113" xfId="0" applyFont="1" applyFill="1" applyBorder="1" applyAlignment="1">
      <alignment vertical="top" indent="8"/>
    </xf>
    <xf numFmtId="0" fontId="39" fillId="10" borderId="118" xfId="0" applyFont="1" applyFill="1" applyBorder="1" applyAlignment="1">
      <alignment vertical="top" indent="2"/>
    </xf>
    <xf numFmtId="0" fontId="38" fillId="10" borderId="113" xfId="0" applyFont="1" applyFill="1" applyBorder="1" applyAlignment="1">
      <alignment vertical="top" indent="6"/>
    </xf>
    <xf numFmtId="0" fontId="39" fillId="10" borderId="118" xfId="0" applyFont="1" applyFill="1" applyBorder="1" applyAlignment="1">
      <alignment vertical="top" indent="4"/>
    </xf>
    <xf numFmtId="0" fontId="33" fillId="10" borderId="113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5" fontId="32" fillId="2" borderId="127" xfId="53" applyNumberFormat="1" applyFont="1" applyFill="1" applyBorder="1" applyAlignment="1">
      <alignment horizontal="left"/>
    </xf>
    <xf numFmtId="165" fontId="32" fillId="2" borderId="128" xfId="53" applyNumberFormat="1" applyFont="1" applyFill="1" applyBorder="1" applyAlignment="1">
      <alignment horizontal="left"/>
    </xf>
    <xf numFmtId="165" fontId="32" fillId="2" borderId="59" xfId="53" applyNumberFormat="1" applyFont="1" applyFill="1" applyBorder="1" applyAlignment="1">
      <alignment horizontal="left"/>
    </xf>
    <xf numFmtId="3" fontId="32" fillId="2" borderId="59" xfId="53" applyNumberFormat="1" applyFont="1" applyFill="1" applyBorder="1" applyAlignment="1">
      <alignment horizontal="left"/>
    </xf>
    <xf numFmtId="3" fontId="32" fillId="2" borderId="67" xfId="53" applyNumberFormat="1" applyFont="1" applyFill="1" applyBorder="1" applyAlignment="1">
      <alignment horizontal="left"/>
    </xf>
    <xf numFmtId="3" fontId="33" fillId="0" borderId="128" xfId="0" applyNumberFormat="1" applyFont="1" applyFill="1" applyBorder="1"/>
    <xf numFmtId="3" fontId="33" fillId="0" borderId="130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5" fontId="33" fillId="0" borderId="79" xfId="0" applyNumberFormat="1" applyFont="1" applyFill="1" applyBorder="1"/>
    <xf numFmtId="165" fontId="33" fillId="0" borderId="79" xfId="0" applyNumberFormat="1" applyFont="1" applyFill="1" applyBorder="1" applyAlignment="1">
      <alignment horizontal="right"/>
    </xf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8" xfId="0" applyFont="1" applyFill="1" applyBorder="1"/>
    <xf numFmtId="0" fontId="33" fillId="0" borderId="89" xfId="0" applyFont="1" applyFill="1" applyBorder="1"/>
    <xf numFmtId="165" fontId="33" fillId="0" borderId="89" xfId="0" applyNumberFormat="1" applyFont="1" applyFill="1" applyBorder="1"/>
    <xf numFmtId="165" fontId="33" fillId="0" borderId="89" xfId="0" applyNumberFormat="1" applyFont="1" applyFill="1" applyBorder="1" applyAlignment="1">
      <alignment horizontal="right"/>
    </xf>
    <xf numFmtId="3" fontId="33" fillId="0" borderId="89" xfId="0" applyNumberFormat="1" applyFont="1" applyFill="1" applyBorder="1"/>
    <xf numFmtId="3" fontId="33" fillId="0" borderId="90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5" fontId="33" fillId="0" borderId="82" xfId="0" applyNumberFormat="1" applyFont="1" applyFill="1" applyBorder="1"/>
    <xf numFmtId="165" fontId="33" fillId="0" borderId="82" xfId="0" applyNumberFormat="1" applyFont="1" applyFill="1" applyBorder="1" applyAlignment="1">
      <alignment horizontal="right"/>
    </xf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27" xfId="0" applyFont="1" applyFill="1" applyBorder="1"/>
    <xf numFmtId="3" fontId="40" fillId="2" borderId="129" xfId="0" applyNumberFormat="1" applyFont="1" applyFill="1" applyBorder="1"/>
    <xf numFmtId="9" fontId="40" fillId="2" borderId="73" xfId="0" applyNumberFormat="1" applyFont="1" applyFill="1" applyBorder="1"/>
    <xf numFmtId="3" fontId="40" fillId="2" borderId="67" xfId="0" applyNumberFormat="1" applyFont="1" applyFill="1" applyBorder="1"/>
    <xf numFmtId="9" fontId="33" fillId="0" borderId="128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0" fontId="40" fillId="10" borderId="19" xfId="0" applyFont="1" applyFill="1" applyBorder="1"/>
    <xf numFmtId="3" fontId="40" fillId="10" borderId="27" xfId="0" applyNumberFormat="1" applyFont="1" applyFill="1" applyBorder="1"/>
    <xf numFmtId="9" fontId="40" fillId="10" borderId="27" xfId="0" applyNumberFormat="1" applyFont="1" applyFill="1" applyBorder="1"/>
    <xf numFmtId="3" fontId="40" fillId="10" borderId="20" xfId="0" applyNumberFormat="1" applyFont="1" applyFill="1" applyBorder="1"/>
    <xf numFmtId="0" fontId="40" fillId="0" borderId="127" xfId="0" applyFont="1" applyFill="1" applyBorder="1"/>
    <xf numFmtId="0" fontId="33" fillId="5" borderId="10" xfId="0" applyFont="1" applyFill="1" applyBorder="1" applyAlignment="1">
      <alignment wrapText="1"/>
    </xf>
    <xf numFmtId="9" fontId="33" fillId="0" borderId="89" xfId="0" applyNumberFormat="1" applyFont="1" applyFill="1" applyBorder="1"/>
    <xf numFmtId="3" fontId="33" fillId="0" borderId="95" xfId="0" applyNumberFormat="1" applyFont="1" applyFill="1" applyBorder="1"/>
    <xf numFmtId="9" fontId="33" fillId="0" borderId="95" xfId="0" applyNumberFormat="1" applyFont="1" applyFill="1" applyBorder="1"/>
    <xf numFmtId="3" fontId="33" fillId="0" borderId="96" xfId="0" applyNumberFormat="1" applyFont="1" applyFill="1" applyBorder="1"/>
    <xf numFmtId="0" fontId="40" fillId="0" borderId="78" xfId="0" applyFont="1" applyFill="1" applyBorder="1"/>
    <xf numFmtId="0" fontId="40" fillId="0" borderId="88" xfId="0" applyFont="1" applyFill="1" applyBorder="1"/>
    <xf numFmtId="0" fontId="40" fillId="0" borderId="131" xfId="0" applyFont="1" applyFill="1" applyBorder="1"/>
    <xf numFmtId="0" fontId="40" fillId="2" borderId="128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0" fontId="3" fillId="2" borderId="127" xfId="79" applyFont="1" applyFill="1" applyBorder="1" applyAlignment="1">
      <alignment horizontal="left"/>
    </xf>
    <xf numFmtId="3" fontId="3" fillId="2" borderId="95" xfId="80" applyNumberFormat="1" applyFont="1" applyFill="1" applyBorder="1"/>
    <xf numFmtId="3" fontId="3" fillId="2" borderId="96" xfId="80" applyNumberFormat="1" applyFont="1" applyFill="1" applyBorder="1"/>
    <xf numFmtId="9" fontId="3" fillId="2" borderId="94" xfId="80" applyNumberFormat="1" applyFont="1" applyFill="1" applyBorder="1"/>
    <xf numFmtId="9" fontId="3" fillId="2" borderId="95" xfId="80" applyNumberFormat="1" applyFont="1" applyFill="1" applyBorder="1"/>
    <xf numFmtId="9" fontId="3" fillId="2" borderId="96" xfId="80" applyNumberFormat="1" applyFont="1" applyFill="1" applyBorder="1"/>
    <xf numFmtId="9" fontId="33" fillId="0" borderId="80" xfId="0" applyNumberFormat="1" applyFont="1" applyFill="1" applyBorder="1"/>
    <xf numFmtId="9" fontId="33" fillId="0" borderId="90" xfId="0" applyNumberFormat="1" applyFont="1" applyFill="1" applyBorder="1"/>
    <xf numFmtId="9" fontId="33" fillId="0" borderId="83" xfId="0" applyNumberFormat="1" applyFont="1" applyFill="1" applyBorder="1"/>
    <xf numFmtId="0" fontId="40" fillId="0" borderId="109" xfId="0" applyFont="1" applyFill="1" applyBorder="1"/>
    <xf numFmtId="0" fontId="40" fillId="0" borderId="107" xfId="0" applyFont="1" applyFill="1" applyBorder="1" applyAlignment="1">
      <alignment horizontal="left" indent="1"/>
    </xf>
    <xf numFmtId="0" fontId="40" fillId="0" borderId="108" xfId="0" applyFont="1" applyFill="1" applyBorder="1" applyAlignment="1">
      <alignment horizontal="left" indent="1"/>
    </xf>
    <xf numFmtId="9" fontId="33" fillId="0" borderId="101" xfId="0" applyNumberFormat="1" applyFont="1" applyFill="1" applyBorder="1"/>
    <xf numFmtId="9" fontId="33" fillId="0" borderId="91" xfId="0" applyNumberFormat="1" applyFont="1" applyFill="1" applyBorder="1"/>
    <xf numFmtId="9" fontId="33" fillId="0" borderId="99" xfId="0" applyNumberFormat="1" applyFont="1" applyFill="1" applyBorder="1"/>
    <xf numFmtId="3" fontId="33" fillId="0" borderId="78" xfId="0" applyNumberFormat="1" applyFont="1" applyFill="1" applyBorder="1"/>
    <xf numFmtId="3" fontId="33" fillId="0" borderId="88" xfId="0" applyNumberFormat="1" applyFont="1" applyFill="1" applyBorder="1"/>
    <xf numFmtId="3" fontId="33" fillId="0" borderId="81" xfId="0" applyNumberFormat="1" applyFont="1" applyFill="1" applyBorder="1"/>
    <xf numFmtId="9" fontId="33" fillId="0" borderId="105" xfId="0" applyNumberFormat="1" applyFont="1" applyFill="1" applyBorder="1"/>
    <xf numFmtId="9" fontId="33" fillId="0" borderId="103" xfId="0" applyNumberFormat="1" applyFont="1" applyFill="1" applyBorder="1"/>
    <xf numFmtId="9" fontId="33" fillId="0" borderId="104" xfId="0" applyNumberFormat="1" applyFont="1" applyFill="1" applyBorder="1"/>
    <xf numFmtId="9" fontId="30" fillId="0" borderId="0" xfId="0" applyNumberFormat="1" applyFont="1" applyFill="1" applyBorder="1"/>
    <xf numFmtId="0" fontId="40" fillId="10" borderId="109" xfId="0" applyFont="1" applyFill="1" applyBorder="1"/>
    <xf numFmtId="0" fontId="40" fillId="10" borderId="107" xfId="0" applyFont="1" applyFill="1" applyBorder="1"/>
    <xf numFmtId="0" fontId="40" fillId="10" borderId="108" xfId="0" applyFont="1" applyFill="1" applyBorder="1"/>
    <xf numFmtId="0" fontId="3" fillId="2" borderId="95" xfId="80" applyFont="1" applyFill="1" applyBorder="1"/>
    <xf numFmtId="3" fontId="33" fillId="0" borderId="105" xfId="0" applyNumberFormat="1" applyFont="1" applyFill="1" applyBorder="1"/>
    <xf numFmtId="3" fontId="33" fillId="0" borderId="103" xfId="0" applyNumberFormat="1" applyFont="1" applyFill="1" applyBorder="1"/>
    <xf numFmtId="3" fontId="33" fillId="0" borderId="104" xfId="0" applyNumberFormat="1" applyFont="1" applyFill="1" applyBorder="1"/>
    <xf numFmtId="0" fontId="33" fillId="0" borderId="109" xfId="0" applyFont="1" applyFill="1" applyBorder="1"/>
    <xf numFmtId="0" fontId="33" fillId="0" borderId="107" xfId="0" applyFont="1" applyFill="1" applyBorder="1"/>
    <xf numFmtId="0" fontId="33" fillId="0" borderId="108" xfId="0" applyFont="1" applyFill="1" applyBorder="1"/>
    <xf numFmtId="3" fontId="33" fillId="0" borderId="101" xfId="0" applyNumberFormat="1" applyFont="1" applyFill="1" applyBorder="1"/>
    <xf numFmtId="3" fontId="33" fillId="0" borderId="91" xfId="0" applyNumberFormat="1" applyFont="1" applyFill="1" applyBorder="1"/>
    <xf numFmtId="3" fontId="33" fillId="0" borderId="99" xfId="0" applyNumberFormat="1" applyFont="1" applyFill="1" applyBorder="1"/>
    <xf numFmtId="0" fontId="3" fillId="2" borderId="132" xfId="79" applyFont="1" applyFill="1" applyBorder="1" applyAlignment="1">
      <alignment horizontal="left"/>
    </xf>
    <xf numFmtId="0" fontId="3" fillId="2" borderId="133" xfId="79" applyFont="1" applyFill="1" applyBorder="1" applyAlignment="1">
      <alignment horizontal="left"/>
    </xf>
    <xf numFmtId="0" fontId="3" fillId="2" borderId="134" xfId="80" applyFont="1" applyFill="1" applyBorder="1" applyAlignment="1">
      <alignment horizontal="left"/>
    </xf>
    <xf numFmtId="0" fontId="3" fillId="2" borderId="134" xfId="79" applyFont="1" applyFill="1" applyBorder="1" applyAlignment="1">
      <alignment horizontal="left"/>
    </xf>
    <xf numFmtId="0" fontId="3" fillId="2" borderId="135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5" fontId="33" fillId="0" borderId="29" xfId="0" applyNumberFormat="1" applyFont="1" applyFill="1" applyBorder="1"/>
    <xf numFmtId="166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136" xfId="0" applyFont="1" applyFill="1" applyBorder="1"/>
    <xf numFmtId="0" fontId="33" fillId="0" borderId="137" xfId="0" applyFont="1" applyFill="1" applyBorder="1"/>
    <xf numFmtId="0" fontId="33" fillId="0" borderId="137" xfId="0" applyFont="1" applyFill="1" applyBorder="1" applyAlignment="1">
      <alignment horizontal="right"/>
    </xf>
    <xf numFmtId="0" fontId="33" fillId="0" borderId="137" xfId="0" applyFont="1" applyFill="1" applyBorder="1" applyAlignment="1">
      <alignment horizontal="left"/>
    </xf>
    <xf numFmtId="165" fontId="33" fillId="0" borderId="137" xfId="0" applyNumberFormat="1" applyFont="1" applyFill="1" applyBorder="1"/>
    <xf numFmtId="166" fontId="33" fillId="0" borderId="137" xfId="0" applyNumberFormat="1" applyFont="1" applyFill="1" applyBorder="1"/>
    <xf numFmtId="9" fontId="33" fillId="0" borderId="137" xfId="0" applyNumberFormat="1" applyFont="1" applyFill="1" applyBorder="1"/>
    <xf numFmtId="9" fontId="33" fillId="0" borderId="138" xfId="0" applyNumberFormat="1" applyFont="1" applyFill="1" applyBorder="1"/>
    <xf numFmtId="0" fontId="33" fillId="0" borderId="139" xfId="0" applyFont="1" applyFill="1" applyBorder="1"/>
    <xf numFmtId="0" fontId="33" fillId="0" borderId="140" xfId="0" applyFont="1" applyFill="1" applyBorder="1"/>
    <xf numFmtId="0" fontId="33" fillId="0" borderId="140" xfId="0" applyFont="1" applyFill="1" applyBorder="1" applyAlignment="1">
      <alignment horizontal="right"/>
    </xf>
    <xf numFmtId="0" fontId="33" fillId="0" borderId="140" xfId="0" applyFont="1" applyFill="1" applyBorder="1" applyAlignment="1">
      <alignment horizontal="left"/>
    </xf>
    <xf numFmtId="165" fontId="33" fillId="0" borderId="140" xfId="0" applyNumberFormat="1" applyFont="1" applyFill="1" applyBorder="1"/>
    <xf numFmtId="166" fontId="33" fillId="0" borderId="140" xfId="0" applyNumberFormat="1" applyFont="1" applyFill="1" applyBorder="1"/>
    <xf numFmtId="9" fontId="33" fillId="0" borderId="140" xfId="0" applyNumberFormat="1" applyFont="1" applyFill="1" applyBorder="1"/>
    <xf numFmtId="9" fontId="33" fillId="0" borderId="141" xfId="0" applyNumberFormat="1" applyFont="1" applyFill="1" applyBorder="1"/>
    <xf numFmtId="0" fontId="40" fillId="2" borderId="52" xfId="0" applyFont="1" applyFill="1" applyBorder="1"/>
    <xf numFmtId="3" fontId="33" fillId="0" borderId="25" xfId="0" applyNumberFormat="1" applyFont="1" applyFill="1" applyBorder="1"/>
    <xf numFmtId="3" fontId="33" fillId="0" borderId="137" xfId="0" applyNumberFormat="1" applyFont="1" applyFill="1" applyBorder="1"/>
    <xf numFmtId="3" fontId="33" fillId="0" borderId="138" xfId="0" applyNumberFormat="1" applyFont="1" applyFill="1" applyBorder="1"/>
    <xf numFmtId="3" fontId="33" fillId="0" borderId="140" xfId="0" applyNumberFormat="1" applyFont="1" applyFill="1" applyBorder="1"/>
    <xf numFmtId="3" fontId="33" fillId="0" borderId="141" xfId="0" applyNumberFormat="1" applyFont="1" applyFill="1" applyBorder="1"/>
    <xf numFmtId="3" fontId="33" fillId="0" borderId="143" xfId="0" applyNumberFormat="1" applyFont="1" applyFill="1" applyBorder="1"/>
    <xf numFmtId="9" fontId="33" fillId="0" borderId="143" xfId="0" applyNumberFormat="1" applyFont="1" applyFill="1" applyBorder="1"/>
    <xf numFmtId="3" fontId="33" fillId="0" borderId="144" xfId="0" applyNumberFormat="1" applyFont="1" applyFill="1" applyBorder="1"/>
    <xf numFmtId="0" fontId="40" fillId="0" borderId="24" xfId="0" applyFont="1" applyFill="1" applyBorder="1"/>
    <xf numFmtId="0" fontId="40" fillId="0" borderId="142" xfId="0" applyFont="1" applyFill="1" applyBorder="1"/>
    <xf numFmtId="0" fontId="40" fillId="0" borderId="136" xfId="0" applyFont="1" applyFill="1" applyBorder="1"/>
    <xf numFmtId="0" fontId="40" fillId="2" borderId="54" xfId="0" applyFont="1" applyFill="1" applyBorder="1"/>
    <xf numFmtId="165" fontId="32" fillId="2" borderId="52" xfId="53" applyNumberFormat="1" applyFont="1" applyFill="1" applyBorder="1" applyAlignment="1">
      <alignment horizontal="left"/>
    </xf>
    <xf numFmtId="165" fontId="32" fillId="2" borderId="54" xfId="53" applyNumberFormat="1" applyFont="1" applyFill="1" applyBorder="1" applyAlignment="1">
      <alignment horizontal="left"/>
    </xf>
    <xf numFmtId="165" fontId="33" fillId="0" borderId="29" xfId="0" applyNumberFormat="1" applyFont="1" applyFill="1" applyBorder="1" applyAlignment="1">
      <alignment horizontal="right"/>
    </xf>
    <xf numFmtId="165" fontId="33" fillId="0" borderId="137" xfId="0" applyNumberFormat="1" applyFont="1" applyFill="1" applyBorder="1" applyAlignment="1">
      <alignment horizontal="right"/>
    </xf>
    <xf numFmtId="165" fontId="33" fillId="0" borderId="140" xfId="0" applyNumberFormat="1" applyFont="1" applyFill="1" applyBorder="1" applyAlignment="1">
      <alignment horizontal="right"/>
    </xf>
    <xf numFmtId="174" fontId="40" fillId="4" borderId="148" xfId="0" applyNumberFormat="1" applyFont="1" applyFill="1" applyBorder="1" applyAlignment="1">
      <alignment horizontal="center"/>
    </xf>
    <xf numFmtId="174" fontId="40" fillId="4" borderId="149" xfId="0" applyNumberFormat="1" applyFont="1" applyFill="1" applyBorder="1" applyAlignment="1">
      <alignment horizontal="center"/>
    </xf>
    <xf numFmtId="174" fontId="33" fillId="0" borderId="150" xfId="0" applyNumberFormat="1" applyFont="1" applyBorder="1" applyAlignment="1">
      <alignment horizontal="right"/>
    </xf>
    <xf numFmtId="174" fontId="33" fillId="0" borderId="151" xfId="0" applyNumberFormat="1" applyFont="1" applyBorder="1" applyAlignment="1">
      <alignment horizontal="right"/>
    </xf>
    <xf numFmtId="174" fontId="33" fillId="0" borderId="151" xfId="0" applyNumberFormat="1" applyFont="1" applyBorder="1" applyAlignment="1">
      <alignment horizontal="right" wrapText="1"/>
    </xf>
    <xf numFmtId="176" fontId="33" fillId="0" borderId="150" xfId="0" applyNumberFormat="1" applyFont="1" applyBorder="1" applyAlignment="1">
      <alignment horizontal="right"/>
    </xf>
    <xf numFmtId="176" fontId="33" fillId="0" borderId="151" xfId="0" applyNumberFormat="1" applyFont="1" applyBorder="1" applyAlignment="1">
      <alignment horizontal="right"/>
    </xf>
    <xf numFmtId="174" fontId="33" fillId="0" borderId="152" xfId="0" applyNumberFormat="1" applyFont="1" applyBorder="1" applyAlignment="1">
      <alignment horizontal="right"/>
    </xf>
    <xf numFmtId="174" fontId="33" fillId="0" borderId="153" xfId="0" applyNumberFormat="1" applyFont="1" applyBorder="1" applyAlignment="1">
      <alignment horizontal="right"/>
    </xf>
    <xf numFmtId="0" fontId="40" fillId="2" borderId="57" xfId="0" applyFont="1" applyFill="1" applyBorder="1" applyAlignment="1">
      <alignment horizontal="center" vertical="center"/>
    </xf>
    <xf numFmtId="0" fontId="55" fillId="2" borderId="147" xfId="0" applyFont="1" applyFill="1" applyBorder="1" applyAlignment="1">
      <alignment horizontal="center" vertical="center" wrapText="1"/>
    </xf>
    <xf numFmtId="175" fontId="33" fillId="2" borderId="57" xfId="0" applyNumberFormat="1" applyFont="1" applyFill="1" applyBorder="1" applyAlignment="1"/>
    <xf numFmtId="175" fontId="33" fillId="0" borderId="146" xfId="0" applyNumberFormat="1" applyFont="1" applyBorder="1"/>
    <xf numFmtId="175" fontId="33" fillId="0" borderId="154" xfId="0" applyNumberFormat="1" applyFont="1" applyBorder="1"/>
    <xf numFmtId="174" fontId="40" fillId="4" borderId="57" xfId="0" applyNumberFormat="1" applyFont="1" applyFill="1" applyBorder="1" applyAlignment="1"/>
    <xf numFmtId="174" fontId="33" fillId="0" borderId="146" xfId="0" applyNumberFormat="1" applyFont="1" applyBorder="1"/>
    <xf numFmtId="174" fontId="33" fillId="0" borderId="147" xfId="0" applyNumberFormat="1" applyFont="1" applyBorder="1"/>
    <xf numFmtId="174" fontId="40" fillId="2" borderId="57" xfId="0" applyNumberFormat="1" applyFont="1" applyFill="1" applyBorder="1" applyAlignment="1"/>
    <xf numFmtId="174" fontId="33" fillId="0" borderId="154" xfId="0" applyNumberFormat="1" applyFont="1" applyBorder="1"/>
    <xf numFmtId="174" fontId="33" fillId="0" borderId="57" xfId="0" applyNumberFormat="1" applyFont="1" applyBorder="1"/>
    <xf numFmtId="9" fontId="33" fillId="0" borderId="146" xfId="0" applyNumberFormat="1" applyFont="1" applyBorder="1"/>
    <xf numFmtId="174" fontId="40" fillId="4" borderId="155" xfId="0" applyNumberFormat="1" applyFont="1" applyFill="1" applyBorder="1" applyAlignment="1">
      <alignment horizontal="center"/>
    </xf>
    <xf numFmtId="174" fontId="33" fillId="0" borderId="156" xfId="0" applyNumberFormat="1" applyFont="1" applyBorder="1" applyAlignment="1">
      <alignment horizontal="right"/>
    </xf>
    <xf numFmtId="176" fontId="33" fillId="0" borderId="156" xfId="0" applyNumberFormat="1" applyFont="1" applyBorder="1" applyAlignment="1">
      <alignment horizontal="right"/>
    </xf>
    <xf numFmtId="174" fontId="33" fillId="0" borderId="157" xfId="0" applyNumberFormat="1" applyFont="1" applyBorder="1" applyAlignment="1">
      <alignment horizontal="right"/>
    </xf>
    <xf numFmtId="0" fontId="0" fillId="0" borderId="15" xfId="0" applyBorder="1"/>
    <xf numFmtId="174" fontId="40" fillId="4" borderId="33" xfId="0" applyNumberFormat="1" applyFont="1" applyFill="1" applyBorder="1" applyAlignment="1">
      <alignment horizontal="center"/>
    </xf>
    <xf numFmtId="174" fontId="33" fillId="0" borderId="158" xfId="0" applyNumberFormat="1" applyFont="1" applyBorder="1" applyAlignment="1">
      <alignment horizontal="right"/>
    </xf>
    <xf numFmtId="176" fontId="33" fillId="0" borderId="158" xfId="0" applyNumberFormat="1" applyFont="1" applyBorder="1" applyAlignment="1">
      <alignment horizontal="right"/>
    </xf>
    <xf numFmtId="174" fontId="33" fillId="0" borderId="145" xfId="0" applyNumberFormat="1" applyFont="1" applyBorder="1" applyAlignment="1">
      <alignment horizontal="right"/>
    </xf>
    <xf numFmtId="0" fontId="33" fillId="2" borderId="67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0" fontId="32" fillId="2" borderId="16" xfId="26" applyNumberFormat="1" applyFont="1" applyFill="1" applyBorder="1" applyAlignment="1">
      <alignment horizontal="right"/>
    </xf>
    <xf numFmtId="170" fontId="33" fillId="0" borderId="29" xfId="0" applyNumberFormat="1" applyFont="1" applyFill="1" applyBorder="1"/>
    <xf numFmtId="170" fontId="33" fillId="0" borderId="137" xfId="0" applyNumberFormat="1" applyFont="1" applyFill="1" applyBorder="1"/>
    <xf numFmtId="170" fontId="33" fillId="0" borderId="140" xfId="0" applyNumberFormat="1" applyFont="1" applyFill="1" applyBorder="1"/>
    <xf numFmtId="0" fontId="40" fillId="0" borderId="139" xfId="0" applyFont="1" applyFill="1" applyBorder="1"/>
    <xf numFmtId="0" fontId="59" fillId="0" borderId="0" xfId="0" applyFont="1" applyFill="1"/>
    <xf numFmtId="0" fontId="60" fillId="0" borderId="0" xfId="0" applyFont="1" applyFill="1"/>
    <xf numFmtId="0" fontId="32" fillId="2" borderId="16" xfId="26" applyNumberFormat="1" applyFont="1" applyFill="1" applyBorder="1"/>
    <xf numFmtId="170" fontId="33" fillId="0" borderId="25" xfId="0" applyNumberFormat="1" applyFont="1" applyFill="1" applyBorder="1"/>
    <xf numFmtId="170" fontId="33" fillId="0" borderId="138" xfId="0" applyNumberFormat="1" applyFont="1" applyFill="1" applyBorder="1"/>
    <xf numFmtId="170" fontId="33" fillId="0" borderId="141" xfId="0" applyNumberFormat="1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8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Graf'!$B$4:$M$4</c:f>
              <c:numCache>
                <c:formatCode>General</c:formatCode>
                <c:ptCount val="12"/>
                <c:pt idx="0">
                  <c:v>2.2931335058609186</c:v>
                </c:pt>
                <c:pt idx="1">
                  <c:v>2.8253988406708408</c:v>
                </c:pt>
                <c:pt idx="2">
                  <c:v>2.7942955411130952</c:v>
                </c:pt>
                <c:pt idx="3">
                  <c:v>3.0521405055563626</c:v>
                </c:pt>
                <c:pt idx="4">
                  <c:v>3.3216612107518535</c:v>
                </c:pt>
                <c:pt idx="5">
                  <c:v>3.1593910974405923</c:v>
                </c:pt>
                <c:pt idx="6">
                  <c:v>3.0021542913410482</c:v>
                </c:pt>
                <c:pt idx="7">
                  <c:v>2.8738085177025958</c:v>
                </c:pt>
                <c:pt idx="8">
                  <c:v>2.8540416478677013</c:v>
                </c:pt>
                <c:pt idx="9">
                  <c:v>2.7964159767802084</c:v>
                </c:pt>
                <c:pt idx="10">
                  <c:v>2.5551002231698985</c:v>
                </c:pt>
                <c:pt idx="11">
                  <c:v>2.4010749654192374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4663296"/>
        <c:axId val="121505984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2.0845799687861697</c:v>
                </c:pt>
                <c:pt idx="1">
                  <c:v>2.0845799687861697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5061376"/>
        <c:axId val="1320490112"/>
      </c:scatterChart>
      <c:catAx>
        <c:axId val="1214663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15059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50598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214663296"/>
        <c:crosses val="autoZero"/>
        <c:crossBetween val="between"/>
      </c:valAx>
      <c:valAx>
        <c:axId val="121506137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320490112"/>
        <c:crosses val="max"/>
        <c:crossBetween val="midCat"/>
      </c:valAx>
      <c:valAx>
        <c:axId val="132049011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21506137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0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0" bestFit="1" customWidth="1"/>
    <col min="2" max="2" width="102.21875" style="130" bestFit="1" customWidth="1"/>
    <col min="3" max="3" width="16.109375" style="47" hidden="1" customWidth="1"/>
    <col min="4" max="16384" width="8.88671875" style="130"/>
  </cols>
  <sheetData>
    <row r="1" spans="1:3" ht="18.600000000000001" customHeight="1" thickBot="1" x14ac:dyDescent="0.4">
      <c r="A1" s="325" t="s">
        <v>109</v>
      </c>
      <c r="B1" s="325"/>
    </row>
    <row r="2" spans="1:3" ht="14.4" customHeight="1" thickBot="1" x14ac:dyDescent="0.35">
      <c r="A2" s="235" t="s">
        <v>281</v>
      </c>
      <c r="B2" s="46"/>
    </row>
    <row r="3" spans="1:3" ht="14.4" customHeight="1" thickBot="1" x14ac:dyDescent="0.35">
      <c r="A3" s="321" t="s">
        <v>142</v>
      </c>
      <c r="B3" s="322"/>
    </row>
    <row r="4" spans="1:3" ht="14.4" customHeight="1" x14ac:dyDescent="0.3">
      <c r="A4" s="145" t="str">
        <f t="shared" ref="A4:A8" si="0">HYPERLINK("#'"&amp;C4&amp;"'!A1",C4)</f>
        <v>Motivace</v>
      </c>
      <c r="B4" s="88" t="s">
        <v>122</v>
      </c>
      <c r="C4" s="47" t="s">
        <v>123</v>
      </c>
    </row>
    <row r="5" spans="1:3" ht="14.4" customHeight="1" x14ac:dyDescent="0.3">
      <c r="A5" s="146" t="str">
        <f t="shared" si="0"/>
        <v>HI</v>
      </c>
      <c r="B5" s="89" t="s">
        <v>138</v>
      </c>
      <c r="C5" s="47" t="s">
        <v>112</v>
      </c>
    </row>
    <row r="6" spans="1:3" ht="14.4" customHeight="1" x14ac:dyDescent="0.3">
      <c r="A6" s="147" t="str">
        <f t="shared" si="0"/>
        <v>HI Graf</v>
      </c>
      <c r="B6" s="90" t="s">
        <v>105</v>
      </c>
      <c r="C6" s="47" t="s">
        <v>113</v>
      </c>
    </row>
    <row r="7" spans="1:3" ht="14.4" customHeight="1" x14ac:dyDescent="0.3">
      <c r="A7" s="147" t="str">
        <f t="shared" si="0"/>
        <v>Man Tab</v>
      </c>
      <c r="B7" s="90" t="s">
        <v>283</v>
      </c>
      <c r="C7" s="47" t="s">
        <v>114</v>
      </c>
    </row>
    <row r="8" spans="1:3" ht="14.4" customHeight="1" thickBot="1" x14ac:dyDescent="0.35">
      <c r="A8" s="148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3" t="s">
        <v>110</v>
      </c>
      <c r="B10" s="322"/>
    </row>
    <row r="11" spans="1:3" ht="14.4" customHeight="1" x14ac:dyDescent="0.3">
      <c r="A11" s="149" t="str">
        <f t="shared" ref="A11" si="1">HYPERLINK("#'"&amp;C11&amp;"'!A1",C11)</f>
        <v>Léky Žádanky</v>
      </c>
      <c r="B11" s="89" t="s">
        <v>139</v>
      </c>
      <c r="C11" s="47" t="s">
        <v>115</v>
      </c>
    </row>
    <row r="12" spans="1:3" ht="14.4" customHeight="1" x14ac:dyDescent="0.3">
      <c r="A12" s="147" t="str">
        <f t="shared" ref="A12:A23" si="2">HYPERLINK("#'"&amp;C12&amp;"'!A1",C12)</f>
        <v>LŽ Detail</v>
      </c>
      <c r="B12" s="90" t="s">
        <v>166</v>
      </c>
      <c r="C12" s="47" t="s">
        <v>116</v>
      </c>
    </row>
    <row r="13" spans="1:3" ht="28.8" customHeight="1" x14ac:dyDescent="0.3">
      <c r="A13" s="147" t="str">
        <f t="shared" si="2"/>
        <v>LŽ PL</v>
      </c>
      <c r="B13" s="487" t="s">
        <v>167</v>
      </c>
      <c r="C13" s="47" t="s">
        <v>146</v>
      </c>
    </row>
    <row r="14" spans="1:3" ht="14.4" customHeight="1" x14ac:dyDescent="0.3">
      <c r="A14" s="147" t="str">
        <f t="shared" si="2"/>
        <v>LŽ PL Detail</v>
      </c>
      <c r="B14" s="90" t="s">
        <v>686</v>
      </c>
      <c r="C14" s="47" t="s">
        <v>148</v>
      </c>
    </row>
    <row r="15" spans="1:3" ht="14.4" customHeight="1" x14ac:dyDescent="0.3">
      <c r="A15" s="147" t="str">
        <f t="shared" si="2"/>
        <v>LŽ Statim</v>
      </c>
      <c r="B15" s="309" t="s">
        <v>267</v>
      </c>
      <c r="C15" s="47" t="s">
        <v>277</v>
      </c>
    </row>
    <row r="16" spans="1:3" ht="14.4" customHeight="1" x14ac:dyDescent="0.3">
      <c r="A16" s="147" t="str">
        <f t="shared" si="2"/>
        <v>Léky Recepty</v>
      </c>
      <c r="B16" s="90" t="s">
        <v>140</v>
      </c>
      <c r="C16" s="47" t="s">
        <v>117</v>
      </c>
    </row>
    <row r="17" spans="1:3" ht="14.4" customHeight="1" x14ac:dyDescent="0.3">
      <c r="A17" s="147" t="str">
        <f t="shared" si="2"/>
        <v>LRp Lékaři</v>
      </c>
      <c r="B17" s="90" t="s">
        <v>151</v>
      </c>
      <c r="C17" s="47" t="s">
        <v>152</v>
      </c>
    </row>
    <row r="18" spans="1:3" ht="14.4" customHeight="1" x14ac:dyDescent="0.3">
      <c r="A18" s="147" t="str">
        <f t="shared" si="2"/>
        <v>LRp Detail</v>
      </c>
      <c r="B18" s="90" t="s">
        <v>806</v>
      </c>
      <c r="C18" s="47" t="s">
        <v>118</v>
      </c>
    </row>
    <row r="19" spans="1:3" ht="28.8" customHeight="1" x14ac:dyDescent="0.3">
      <c r="A19" s="147" t="str">
        <f t="shared" si="2"/>
        <v>LRp PL</v>
      </c>
      <c r="B19" s="487" t="s">
        <v>807</v>
      </c>
      <c r="C19" s="47" t="s">
        <v>147</v>
      </c>
    </row>
    <row r="20" spans="1:3" ht="14.4" customHeight="1" x14ac:dyDescent="0.3">
      <c r="A20" s="147" t="str">
        <f>HYPERLINK("#'"&amp;C20&amp;"'!A1",C20)</f>
        <v>LRp PL Detail</v>
      </c>
      <c r="B20" s="90" t="s">
        <v>830</v>
      </c>
      <c r="C20" s="47" t="s">
        <v>149</v>
      </c>
    </row>
    <row r="21" spans="1:3" ht="14.4" customHeight="1" x14ac:dyDescent="0.3">
      <c r="A21" s="149" t="str">
        <f t="shared" ref="A21" si="3">HYPERLINK("#'"&amp;C21&amp;"'!A1",C21)</f>
        <v>Materiál Žádanky</v>
      </c>
      <c r="B21" s="90" t="s">
        <v>141</v>
      </c>
      <c r="C21" s="47" t="s">
        <v>119</v>
      </c>
    </row>
    <row r="22" spans="1:3" ht="14.4" customHeight="1" x14ac:dyDescent="0.3">
      <c r="A22" s="147" t="str">
        <f t="shared" si="2"/>
        <v>MŽ Detail</v>
      </c>
      <c r="B22" s="90" t="s">
        <v>1335</v>
      </c>
      <c r="C22" s="47" t="s">
        <v>120</v>
      </c>
    </row>
    <row r="23" spans="1:3" ht="14.4" customHeight="1" thickBot="1" x14ac:dyDescent="0.35">
      <c r="A23" s="149" t="str">
        <f t="shared" si="2"/>
        <v>Osobní náklady</v>
      </c>
      <c r="B23" s="90" t="s">
        <v>107</v>
      </c>
      <c r="C23" s="47" t="s">
        <v>121</v>
      </c>
    </row>
    <row r="24" spans="1:3" ht="14.4" customHeight="1" thickBot="1" x14ac:dyDescent="0.35">
      <c r="A24" s="93"/>
      <c r="B24" s="93"/>
    </row>
    <row r="25" spans="1:3" ht="14.4" customHeight="1" thickBot="1" x14ac:dyDescent="0.35">
      <c r="A25" s="324" t="s">
        <v>111</v>
      </c>
      <c r="B25" s="322"/>
    </row>
    <row r="26" spans="1:3" ht="14.4" customHeight="1" x14ac:dyDescent="0.3">
      <c r="A26" s="150" t="str">
        <f t="shared" ref="A26:A30" si="4">HYPERLINK("#'"&amp;C26&amp;"'!A1",C26)</f>
        <v>ZV Vykáz.-A</v>
      </c>
      <c r="B26" s="89" t="s">
        <v>1344</v>
      </c>
      <c r="C26" s="47" t="s">
        <v>124</v>
      </c>
    </row>
    <row r="27" spans="1:3" ht="14.4" customHeight="1" x14ac:dyDescent="0.3">
      <c r="A27" s="147" t="str">
        <f t="shared" ref="A27" si="5">HYPERLINK("#'"&amp;C27&amp;"'!A1",C27)</f>
        <v>ZV Vykáz.-A Lékaři</v>
      </c>
      <c r="B27" s="90" t="s">
        <v>1354</v>
      </c>
      <c r="C27" s="47" t="s">
        <v>280</v>
      </c>
    </row>
    <row r="28" spans="1:3" ht="14.4" customHeight="1" x14ac:dyDescent="0.3">
      <c r="A28" s="147" t="str">
        <f t="shared" si="4"/>
        <v>ZV Vykáz.-A Detail</v>
      </c>
      <c r="B28" s="90" t="s">
        <v>1465</v>
      </c>
      <c r="C28" s="47" t="s">
        <v>125</v>
      </c>
    </row>
    <row r="29" spans="1:3" ht="14.4" customHeight="1" x14ac:dyDescent="0.3">
      <c r="A29" s="147" t="str">
        <f t="shared" si="4"/>
        <v>ZV Vykáz.-H</v>
      </c>
      <c r="B29" s="90" t="s">
        <v>128</v>
      </c>
      <c r="C29" s="47" t="s">
        <v>126</v>
      </c>
    </row>
    <row r="30" spans="1:3" ht="14.4" customHeight="1" x14ac:dyDescent="0.3">
      <c r="A30" s="147" t="str">
        <f t="shared" si="4"/>
        <v>ZV Vykáz.-H Detail</v>
      </c>
      <c r="B30" s="90" t="s">
        <v>1496</v>
      </c>
      <c r="C30" s="47" t="s">
        <v>127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30" bestFit="1" customWidth="1"/>
    <col min="2" max="2" width="8.88671875" style="130" bestFit="1" customWidth="1"/>
    <col min="3" max="3" width="7" style="130" bestFit="1" customWidth="1"/>
    <col min="4" max="4" width="53.44140625" style="130" bestFit="1" customWidth="1"/>
    <col min="5" max="5" width="28.44140625" style="130" bestFit="1" customWidth="1"/>
    <col min="6" max="6" width="6.6640625" style="208" customWidth="1"/>
    <col min="7" max="7" width="10" style="208" customWidth="1"/>
    <col min="8" max="8" width="6.77734375" style="211" bestFit="1" customWidth="1"/>
    <col min="9" max="9" width="6.6640625" style="208" customWidth="1"/>
    <col min="10" max="10" width="10" style="208" customWidth="1"/>
    <col min="11" max="11" width="6.77734375" style="211" bestFit="1" customWidth="1"/>
    <col min="12" max="12" width="6.6640625" style="208" customWidth="1"/>
    <col min="13" max="13" width="10" style="208" customWidth="1"/>
    <col min="14" max="16384" width="8.88671875" style="130"/>
  </cols>
  <sheetData>
    <row r="1" spans="1:13" ht="18.600000000000001" customHeight="1" thickBot="1" x14ac:dyDescent="0.4">
      <c r="A1" s="363" t="s">
        <v>686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25"/>
      <c r="M1" s="325"/>
    </row>
    <row r="2" spans="1:13" ht="14.4" customHeight="1" thickBot="1" x14ac:dyDescent="0.35">
      <c r="A2" s="235" t="s">
        <v>281</v>
      </c>
      <c r="B2" s="207"/>
      <c r="C2" s="207"/>
      <c r="D2" s="207"/>
      <c r="E2" s="207"/>
      <c r="F2" s="215"/>
      <c r="G2" s="215"/>
      <c r="H2" s="216"/>
      <c r="I2" s="215"/>
      <c r="J2" s="215"/>
      <c r="K2" s="216"/>
      <c r="L2" s="215"/>
    </row>
    <row r="3" spans="1:13" ht="14.4" customHeight="1" thickBot="1" x14ac:dyDescent="0.35">
      <c r="E3" s="79" t="s">
        <v>129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5</v>
      </c>
      <c r="J3" s="43">
        <f>SUBTOTAL(9,J6:J1048576)</f>
        <v>533.31981195745107</v>
      </c>
      <c r="K3" s="44">
        <f>IF(M3=0,0,J3/M3)</f>
        <v>1</v>
      </c>
      <c r="L3" s="43">
        <f>SUBTOTAL(9,L6:L1048576)</f>
        <v>5</v>
      </c>
      <c r="M3" s="45">
        <f>SUBTOTAL(9,M6:M1048576)</f>
        <v>533.31981195745107</v>
      </c>
    </row>
    <row r="4" spans="1:13" ht="14.4" customHeight="1" thickBot="1" x14ac:dyDescent="0.35">
      <c r="A4" s="41"/>
      <c r="B4" s="41"/>
      <c r="C4" s="41"/>
      <c r="D4" s="41"/>
      <c r="E4" s="42"/>
      <c r="F4" s="367" t="s">
        <v>131</v>
      </c>
      <c r="G4" s="368"/>
      <c r="H4" s="369"/>
      <c r="I4" s="370" t="s">
        <v>130</v>
      </c>
      <c r="J4" s="368"/>
      <c r="K4" s="369"/>
      <c r="L4" s="371" t="s">
        <v>3</v>
      </c>
      <c r="M4" s="372"/>
    </row>
    <row r="5" spans="1:13" ht="14.4" customHeight="1" thickBot="1" x14ac:dyDescent="0.35">
      <c r="A5" s="475" t="s">
        <v>132</v>
      </c>
      <c r="B5" s="495" t="s">
        <v>133</v>
      </c>
      <c r="C5" s="495" t="s">
        <v>71</v>
      </c>
      <c r="D5" s="495" t="s">
        <v>134</v>
      </c>
      <c r="E5" s="495" t="s">
        <v>135</v>
      </c>
      <c r="F5" s="496" t="s">
        <v>28</v>
      </c>
      <c r="G5" s="496" t="s">
        <v>14</v>
      </c>
      <c r="H5" s="477" t="s">
        <v>136</v>
      </c>
      <c r="I5" s="476" t="s">
        <v>28</v>
      </c>
      <c r="J5" s="496" t="s">
        <v>14</v>
      </c>
      <c r="K5" s="477" t="s">
        <v>136</v>
      </c>
      <c r="L5" s="476" t="s">
        <v>28</v>
      </c>
      <c r="M5" s="497" t="s">
        <v>14</v>
      </c>
    </row>
    <row r="6" spans="1:13" ht="14.4" customHeight="1" x14ac:dyDescent="0.3">
      <c r="A6" s="457" t="s">
        <v>482</v>
      </c>
      <c r="B6" s="458" t="s">
        <v>677</v>
      </c>
      <c r="C6" s="458" t="s">
        <v>638</v>
      </c>
      <c r="D6" s="458" t="s">
        <v>678</v>
      </c>
      <c r="E6" s="458" t="s">
        <v>679</v>
      </c>
      <c r="F6" s="461"/>
      <c r="G6" s="461"/>
      <c r="H6" s="480">
        <v>0</v>
      </c>
      <c r="I6" s="461">
        <v>1</v>
      </c>
      <c r="J6" s="461">
        <v>177.18999999999997</v>
      </c>
      <c r="K6" s="480">
        <v>1</v>
      </c>
      <c r="L6" s="461">
        <v>1</v>
      </c>
      <c r="M6" s="462">
        <v>177.18999999999997</v>
      </c>
    </row>
    <row r="7" spans="1:13" ht="14.4" customHeight="1" x14ac:dyDescent="0.3">
      <c r="A7" s="463" t="s">
        <v>482</v>
      </c>
      <c r="B7" s="464" t="s">
        <v>680</v>
      </c>
      <c r="C7" s="464" t="s">
        <v>646</v>
      </c>
      <c r="D7" s="464" t="s">
        <v>647</v>
      </c>
      <c r="E7" s="464" t="s">
        <v>681</v>
      </c>
      <c r="F7" s="467"/>
      <c r="G7" s="467"/>
      <c r="H7" s="488">
        <v>0</v>
      </c>
      <c r="I7" s="467">
        <v>1</v>
      </c>
      <c r="J7" s="467">
        <v>83.099811957451095</v>
      </c>
      <c r="K7" s="488">
        <v>1</v>
      </c>
      <c r="L7" s="467">
        <v>1</v>
      </c>
      <c r="M7" s="468">
        <v>83.099811957451095</v>
      </c>
    </row>
    <row r="8" spans="1:13" ht="14.4" customHeight="1" x14ac:dyDescent="0.3">
      <c r="A8" s="463" t="s">
        <v>482</v>
      </c>
      <c r="B8" s="464" t="s">
        <v>682</v>
      </c>
      <c r="C8" s="464" t="s">
        <v>635</v>
      </c>
      <c r="D8" s="464" t="s">
        <v>515</v>
      </c>
      <c r="E8" s="464" t="s">
        <v>683</v>
      </c>
      <c r="F8" s="467"/>
      <c r="G8" s="467"/>
      <c r="H8" s="488">
        <v>0</v>
      </c>
      <c r="I8" s="467">
        <v>2</v>
      </c>
      <c r="J8" s="467">
        <v>220.12</v>
      </c>
      <c r="K8" s="488">
        <v>1</v>
      </c>
      <c r="L8" s="467">
        <v>2</v>
      </c>
      <c r="M8" s="468">
        <v>220.12</v>
      </c>
    </row>
    <row r="9" spans="1:13" ht="14.4" customHeight="1" thickBot="1" x14ac:dyDescent="0.35">
      <c r="A9" s="469" t="s">
        <v>482</v>
      </c>
      <c r="B9" s="470" t="s">
        <v>684</v>
      </c>
      <c r="C9" s="470" t="s">
        <v>642</v>
      </c>
      <c r="D9" s="470" t="s">
        <v>643</v>
      </c>
      <c r="E9" s="470" t="s">
        <v>685</v>
      </c>
      <c r="F9" s="473"/>
      <c r="G9" s="473"/>
      <c r="H9" s="481">
        <v>0</v>
      </c>
      <c r="I9" s="473">
        <v>1</v>
      </c>
      <c r="J9" s="473">
        <v>52.909999999999989</v>
      </c>
      <c r="K9" s="481">
        <v>1</v>
      </c>
      <c r="L9" s="473">
        <v>1</v>
      </c>
      <c r="M9" s="474">
        <v>52.909999999999989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13" customWidth="1"/>
    <col min="2" max="2" width="5.44140625" style="208" bestFit="1" customWidth="1"/>
    <col min="3" max="3" width="6.109375" style="208" bestFit="1" customWidth="1"/>
    <col min="4" max="4" width="7.44140625" style="208" bestFit="1" customWidth="1"/>
    <col min="5" max="5" width="6.21875" style="208" bestFit="1" customWidth="1"/>
    <col min="6" max="6" width="6.33203125" style="211" bestFit="1" customWidth="1"/>
    <col min="7" max="7" width="6.109375" style="211" bestFit="1" customWidth="1"/>
    <col min="8" max="8" width="7.44140625" style="211" bestFit="1" customWidth="1"/>
    <col min="9" max="9" width="6.21875" style="211" bestFit="1" customWidth="1"/>
    <col min="10" max="10" width="5.44140625" style="208" bestFit="1" customWidth="1"/>
    <col min="11" max="11" width="6.109375" style="208" bestFit="1" customWidth="1"/>
    <col min="12" max="12" width="7.44140625" style="208" bestFit="1" customWidth="1"/>
    <col min="13" max="13" width="6.21875" style="208" bestFit="1" customWidth="1"/>
    <col min="14" max="14" width="5.33203125" style="211" bestFit="1" customWidth="1"/>
    <col min="15" max="15" width="6.109375" style="211" bestFit="1" customWidth="1"/>
    <col min="16" max="16" width="7.44140625" style="211" bestFit="1" customWidth="1"/>
    <col min="17" max="17" width="6.21875" style="211" bestFit="1" customWidth="1"/>
    <col min="18" max="16384" width="8.88671875" style="130"/>
  </cols>
  <sheetData>
    <row r="1" spans="1:17" ht="18.600000000000001" customHeight="1" thickBot="1" x14ac:dyDescent="0.4">
      <c r="A1" s="363" t="s">
        <v>267</v>
      </c>
      <c r="B1" s="363"/>
      <c r="C1" s="363"/>
      <c r="D1" s="363"/>
      <c r="E1" s="363"/>
      <c r="F1" s="326"/>
      <c r="G1" s="326"/>
      <c r="H1" s="326"/>
      <c r="I1" s="326"/>
      <c r="J1" s="356"/>
      <c r="K1" s="356"/>
      <c r="L1" s="356"/>
      <c r="M1" s="356"/>
      <c r="N1" s="356"/>
      <c r="O1" s="356"/>
      <c r="P1" s="356"/>
      <c r="Q1" s="356"/>
    </row>
    <row r="2" spans="1:17" ht="14.4" customHeight="1" thickBot="1" x14ac:dyDescent="0.35">
      <c r="A2" s="235" t="s">
        <v>281</v>
      </c>
      <c r="B2" s="215"/>
      <c r="C2" s="215"/>
      <c r="D2" s="215"/>
      <c r="E2" s="215"/>
    </row>
    <row r="3" spans="1:17" ht="14.4" customHeight="1" thickBot="1" x14ac:dyDescent="0.35">
      <c r="A3" s="302" t="s">
        <v>3</v>
      </c>
      <c r="B3" s="306">
        <f>SUM(B6:B1048576)</f>
        <v>86</v>
      </c>
      <c r="C3" s="307">
        <f>SUM(C6:C1048576)</f>
        <v>35</v>
      </c>
      <c r="D3" s="307">
        <f>SUM(D6:D1048576)</f>
        <v>0</v>
      </c>
      <c r="E3" s="308">
        <f>SUM(E6:E1048576)</f>
        <v>0</v>
      </c>
      <c r="F3" s="305">
        <f>IF(SUM($B3:$E3)=0,"",B3/SUM($B3:$E3))</f>
        <v>0.71074380165289253</v>
      </c>
      <c r="G3" s="303">
        <f t="shared" ref="G3:I3" si="0">IF(SUM($B3:$E3)=0,"",C3/SUM($B3:$E3))</f>
        <v>0.28925619834710742</v>
      </c>
      <c r="H3" s="303">
        <f t="shared" si="0"/>
        <v>0</v>
      </c>
      <c r="I3" s="304">
        <f t="shared" si="0"/>
        <v>0</v>
      </c>
      <c r="J3" s="307">
        <f>SUM(J6:J1048576)</f>
        <v>49</v>
      </c>
      <c r="K3" s="307">
        <f>SUM(K6:K1048576)</f>
        <v>7</v>
      </c>
      <c r="L3" s="307">
        <f>SUM(L6:L1048576)</f>
        <v>0</v>
      </c>
      <c r="M3" s="308">
        <f>SUM(M6:M1048576)</f>
        <v>0</v>
      </c>
      <c r="N3" s="305">
        <f>IF(SUM($J3:$M3)=0,"",J3/SUM($J3:$M3))</f>
        <v>0.875</v>
      </c>
      <c r="O3" s="303">
        <f t="shared" ref="O3:Q3" si="1">IF(SUM($J3:$M3)=0,"",K3/SUM($J3:$M3))</f>
        <v>0.125</v>
      </c>
      <c r="P3" s="303">
        <f t="shared" si="1"/>
        <v>0</v>
      </c>
      <c r="Q3" s="304">
        <f t="shared" si="1"/>
        <v>0</v>
      </c>
    </row>
    <row r="4" spans="1:17" ht="14.4" customHeight="1" thickBot="1" x14ac:dyDescent="0.35">
      <c r="A4" s="301"/>
      <c r="B4" s="376" t="s">
        <v>269</v>
      </c>
      <c r="C4" s="377"/>
      <c r="D4" s="377"/>
      <c r="E4" s="378"/>
      <c r="F4" s="373" t="s">
        <v>274</v>
      </c>
      <c r="G4" s="374"/>
      <c r="H4" s="374"/>
      <c r="I4" s="375"/>
      <c r="J4" s="376" t="s">
        <v>275</v>
      </c>
      <c r="K4" s="377"/>
      <c r="L4" s="377"/>
      <c r="M4" s="378"/>
      <c r="N4" s="373" t="s">
        <v>276</v>
      </c>
      <c r="O4" s="374"/>
      <c r="P4" s="374"/>
      <c r="Q4" s="375"/>
    </row>
    <row r="5" spans="1:17" ht="14.4" customHeight="1" thickBot="1" x14ac:dyDescent="0.35">
      <c r="A5" s="498" t="s">
        <v>268</v>
      </c>
      <c r="B5" s="499" t="s">
        <v>270</v>
      </c>
      <c r="C5" s="499" t="s">
        <v>271</v>
      </c>
      <c r="D5" s="499" t="s">
        <v>272</v>
      </c>
      <c r="E5" s="500" t="s">
        <v>273</v>
      </c>
      <c r="F5" s="501" t="s">
        <v>270</v>
      </c>
      <c r="G5" s="502" t="s">
        <v>271</v>
      </c>
      <c r="H5" s="502" t="s">
        <v>272</v>
      </c>
      <c r="I5" s="503" t="s">
        <v>273</v>
      </c>
      <c r="J5" s="499" t="s">
        <v>270</v>
      </c>
      <c r="K5" s="499" t="s">
        <v>271</v>
      </c>
      <c r="L5" s="499" t="s">
        <v>272</v>
      </c>
      <c r="M5" s="500" t="s">
        <v>273</v>
      </c>
      <c r="N5" s="501" t="s">
        <v>270</v>
      </c>
      <c r="O5" s="502" t="s">
        <v>271</v>
      </c>
      <c r="P5" s="502" t="s">
        <v>272</v>
      </c>
      <c r="Q5" s="503" t="s">
        <v>273</v>
      </c>
    </row>
    <row r="6" spans="1:17" ht="14.4" customHeight="1" x14ac:dyDescent="0.3">
      <c r="A6" s="507" t="s">
        <v>687</v>
      </c>
      <c r="B6" s="513"/>
      <c r="C6" s="461"/>
      <c r="D6" s="461"/>
      <c r="E6" s="462"/>
      <c r="F6" s="510"/>
      <c r="G6" s="480"/>
      <c r="H6" s="480"/>
      <c r="I6" s="516"/>
      <c r="J6" s="513"/>
      <c r="K6" s="461"/>
      <c r="L6" s="461"/>
      <c r="M6" s="462"/>
      <c r="N6" s="510"/>
      <c r="O6" s="480"/>
      <c r="P6" s="480"/>
      <c r="Q6" s="504"/>
    </row>
    <row r="7" spans="1:17" ht="14.4" customHeight="1" x14ac:dyDescent="0.3">
      <c r="A7" s="508" t="s">
        <v>688</v>
      </c>
      <c r="B7" s="514">
        <v>24</v>
      </c>
      <c r="C7" s="467">
        <v>35</v>
      </c>
      <c r="D7" s="467"/>
      <c r="E7" s="468"/>
      <c r="F7" s="511">
        <v>0.40677966101694918</v>
      </c>
      <c r="G7" s="488">
        <v>0.59322033898305082</v>
      </c>
      <c r="H7" s="488">
        <v>0</v>
      </c>
      <c r="I7" s="517">
        <v>0</v>
      </c>
      <c r="J7" s="514">
        <v>8</v>
      </c>
      <c r="K7" s="467">
        <v>7</v>
      </c>
      <c r="L7" s="467"/>
      <c r="M7" s="468"/>
      <c r="N7" s="511">
        <v>0.53333333333333333</v>
      </c>
      <c r="O7" s="488">
        <v>0.46666666666666667</v>
      </c>
      <c r="P7" s="488">
        <v>0</v>
      </c>
      <c r="Q7" s="505">
        <v>0</v>
      </c>
    </row>
    <row r="8" spans="1:17" ht="14.4" customHeight="1" thickBot="1" x14ac:dyDescent="0.35">
      <c r="A8" s="509" t="s">
        <v>689</v>
      </c>
      <c r="B8" s="515">
        <v>62</v>
      </c>
      <c r="C8" s="473"/>
      <c r="D8" s="473"/>
      <c r="E8" s="474"/>
      <c r="F8" s="512">
        <v>1</v>
      </c>
      <c r="G8" s="481">
        <v>0</v>
      </c>
      <c r="H8" s="481">
        <v>0</v>
      </c>
      <c r="I8" s="518">
        <v>0</v>
      </c>
      <c r="J8" s="515">
        <v>41</v>
      </c>
      <c r="K8" s="473"/>
      <c r="L8" s="473"/>
      <c r="M8" s="474"/>
      <c r="N8" s="512">
        <v>1</v>
      </c>
      <c r="O8" s="481">
        <v>0</v>
      </c>
      <c r="P8" s="481">
        <v>0</v>
      </c>
      <c r="Q8" s="506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3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0" customWidth="1"/>
    <col min="2" max="2" width="34.21875" style="130" customWidth="1"/>
    <col min="3" max="3" width="11.109375" style="130" bestFit="1" customWidth="1"/>
    <col min="4" max="4" width="7.33203125" style="130" bestFit="1" customWidth="1"/>
    <col min="5" max="5" width="11.109375" style="130" bestFit="1" customWidth="1"/>
    <col min="6" max="6" width="5.33203125" style="130" customWidth="1"/>
    <col min="7" max="7" width="7.33203125" style="130" bestFit="1" customWidth="1"/>
    <col min="8" max="8" width="5.33203125" style="130" customWidth="1"/>
    <col min="9" max="9" width="11.109375" style="130" customWidth="1"/>
    <col min="10" max="10" width="5.33203125" style="130" customWidth="1"/>
    <col min="11" max="11" width="7.33203125" style="130" customWidth="1"/>
    <col min="12" max="12" width="5.33203125" style="130" customWidth="1"/>
    <col min="13" max="13" width="0" style="130" hidden="1" customWidth="1"/>
    <col min="14" max="16384" width="8.88671875" style="130"/>
  </cols>
  <sheetData>
    <row r="1" spans="1:14" ht="18.600000000000001" customHeight="1" thickBot="1" x14ac:dyDescent="0.4">
      <c r="A1" s="363" t="s">
        <v>140</v>
      </c>
      <c r="B1" s="363"/>
      <c r="C1" s="363"/>
      <c r="D1" s="363"/>
      <c r="E1" s="363"/>
      <c r="F1" s="363"/>
      <c r="G1" s="363"/>
      <c r="H1" s="363"/>
      <c r="I1" s="326"/>
      <c r="J1" s="326"/>
      <c r="K1" s="326"/>
      <c r="L1" s="326"/>
    </row>
    <row r="2" spans="1:14" ht="14.4" customHeight="1" thickBot="1" x14ac:dyDescent="0.35">
      <c r="A2" s="235" t="s">
        <v>281</v>
      </c>
      <c r="B2" s="207"/>
      <c r="C2" s="207"/>
      <c r="D2" s="207"/>
      <c r="E2" s="207"/>
      <c r="F2" s="207"/>
      <c r="G2" s="207"/>
      <c r="H2" s="207"/>
    </row>
    <row r="3" spans="1:14" ht="14.4" customHeight="1" thickBot="1" x14ac:dyDescent="0.35">
      <c r="A3" s="144"/>
      <c r="B3" s="144"/>
      <c r="C3" s="380" t="s">
        <v>15</v>
      </c>
      <c r="D3" s="379"/>
      <c r="E3" s="379" t="s">
        <v>16</v>
      </c>
      <c r="F3" s="379"/>
      <c r="G3" s="379"/>
      <c r="H3" s="379"/>
      <c r="I3" s="379" t="s">
        <v>150</v>
      </c>
      <c r="J3" s="379"/>
      <c r="K3" s="379"/>
      <c r="L3" s="381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45">
        <v>28</v>
      </c>
      <c r="B5" s="446" t="s">
        <v>668</v>
      </c>
      <c r="C5" s="449">
        <v>25697.740000000005</v>
      </c>
      <c r="D5" s="449">
        <v>50</v>
      </c>
      <c r="E5" s="449">
        <v>3817.4800000000005</v>
      </c>
      <c r="F5" s="519">
        <v>0.14855314124899699</v>
      </c>
      <c r="G5" s="449">
        <v>20</v>
      </c>
      <c r="H5" s="519">
        <v>0.4</v>
      </c>
      <c r="I5" s="449">
        <v>21880.260000000006</v>
      </c>
      <c r="J5" s="519">
        <v>0.85144685875100301</v>
      </c>
      <c r="K5" s="449">
        <v>30</v>
      </c>
      <c r="L5" s="519">
        <v>0.6</v>
      </c>
      <c r="M5" s="449" t="s">
        <v>69</v>
      </c>
      <c r="N5" s="151"/>
    </row>
    <row r="6" spans="1:14" ht="14.4" customHeight="1" x14ac:dyDescent="0.3">
      <c r="A6" s="445">
        <v>28</v>
      </c>
      <c r="B6" s="446" t="s">
        <v>690</v>
      </c>
      <c r="C6" s="449">
        <v>25697.740000000005</v>
      </c>
      <c r="D6" s="449">
        <v>50</v>
      </c>
      <c r="E6" s="449">
        <v>3817.4800000000005</v>
      </c>
      <c r="F6" s="519">
        <v>0.14855314124899699</v>
      </c>
      <c r="G6" s="449">
        <v>20</v>
      </c>
      <c r="H6" s="519">
        <v>0.4</v>
      </c>
      <c r="I6" s="449">
        <v>21880.260000000006</v>
      </c>
      <c r="J6" s="519">
        <v>0.85144685875100301</v>
      </c>
      <c r="K6" s="449">
        <v>30</v>
      </c>
      <c r="L6" s="519">
        <v>0.6</v>
      </c>
      <c r="M6" s="449" t="s">
        <v>1</v>
      </c>
      <c r="N6" s="151"/>
    </row>
    <row r="7" spans="1:14" ht="14.4" customHeight="1" x14ac:dyDescent="0.3">
      <c r="A7" s="445" t="s">
        <v>472</v>
      </c>
      <c r="B7" s="446" t="s">
        <v>3</v>
      </c>
      <c r="C7" s="449">
        <v>25697.740000000005</v>
      </c>
      <c r="D7" s="449">
        <v>50</v>
      </c>
      <c r="E7" s="449">
        <v>3817.4800000000005</v>
      </c>
      <c r="F7" s="519">
        <v>0.14855314124899699</v>
      </c>
      <c r="G7" s="449">
        <v>20</v>
      </c>
      <c r="H7" s="519">
        <v>0.4</v>
      </c>
      <c r="I7" s="449">
        <v>21880.260000000006</v>
      </c>
      <c r="J7" s="519">
        <v>0.85144685875100301</v>
      </c>
      <c r="K7" s="449">
        <v>30</v>
      </c>
      <c r="L7" s="519">
        <v>0.6</v>
      </c>
      <c r="M7" s="449" t="s">
        <v>476</v>
      </c>
      <c r="N7" s="151"/>
    </row>
    <row r="9" spans="1:14" ht="14.4" customHeight="1" x14ac:dyDescent="0.3">
      <c r="A9" s="445">
        <v>28</v>
      </c>
      <c r="B9" s="446" t="s">
        <v>668</v>
      </c>
      <c r="C9" s="449" t="s">
        <v>474</v>
      </c>
      <c r="D9" s="449" t="s">
        <v>474</v>
      </c>
      <c r="E9" s="449" t="s">
        <v>474</v>
      </c>
      <c r="F9" s="519" t="s">
        <v>474</v>
      </c>
      <c r="G9" s="449" t="s">
        <v>474</v>
      </c>
      <c r="H9" s="519" t="s">
        <v>474</v>
      </c>
      <c r="I9" s="449" t="s">
        <v>474</v>
      </c>
      <c r="J9" s="519" t="s">
        <v>474</v>
      </c>
      <c r="K9" s="449" t="s">
        <v>474</v>
      </c>
      <c r="L9" s="519" t="s">
        <v>474</v>
      </c>
      <c r="M9" s="449" t="s">
        <v>69</v>
      </c>
      <c r="N9" s="151"/>
    </row>
    <row r="10" spans="1:14" ht="14.4" customHeight="1" x14ac:dyDescent="0.3">
      <c r="A10" s="445">
        <v>89301282</v>
      </c>
      <c r="B10" s="446" t="s">
        <v>690</v>
      </c>
      <c r="C10" s="449">
        <v>25697.740000000005</v>
      </c>
      <c r="D10" s="449">
        <v>50</v>
      </c>
      <c r="E10" s="449">
        <v>3817.4800000000005</v>
      </c>
      <c r="F10" s="519">
        <v>0.14855314124899699</v>
      </c>
      <c r="G10" s="449">
        <v>20</v>
      </c>
      <c r="H10" s="519">
        <v>0.4</v>
      </c>
      <c r="I10" s="449">
        <v>21880.260000000006</v>
      </c>
      <c r="J10" s="519">
        <v>0.85144685875100301</v>
      </c>
      <c r="K10" s="449">
        <v>30</v>
      </c>
      <c r="L10" s="519">
        <v>0.6</v>
      </c>
      <c r="M10" s="449" t="s">
        <v>1</v>
      </c>
      <c r="N10" s="151"/>
    </row>
    <row r="11" spans="1:14" ht="14.4" customHeight="1" x14ac:dyDescent="0.3">
      <c r="A11" s="445" t="s">
        <v>691</v>
      </c>
      <c r="B11" s="446" t="s">
        <v>692</v>
      </c>
      <c r="C11" s="449">
        <v>25697.740000000005</v>
      </c>
      <c r="D11" s="449">
        <v>50</v>
      </c>
      <c r="E11" s="449">
        <v>3817.4800000000005</v>
      </c>
      <c r="F11" s="519">
        <v>0.14855314124899699</v>
      </c>
      <c r="G11" s="449">
        <v>20</v>
      </c>
      <c r="H11" s="519">
        <v>0.4</v>
      </c>
      <c r="I11" s="449">
        <v>21880.260000000006</v>
      </c>
      <c r="J11" s="519">
        <v>0.85144685875100301</v>
      </c>
      <c r="K11" s="449">
        <v>30</v>
      </c>
      <c r="L11" s="519">
        <v>0.6</v>
      </c>
      <c r="M11" s="449" t="s">
        <v>480</v>
      </c>
      <c r="N11" s="151"/>
    </row>
    <row r="12" spans="1:14" ht="14.4" customHeight="1" x14ac:dyDescent="0.3">
      <c r="A12" s="445" t="s">
        <v>474</v>
      </c>
      <c r="B12" s="446" t="s">
        <v>474</v>
      </c>
      <c r="C12" s="449" t="s">
        <v>474</v>
      </c>
      <c r="D12" s="449" t="s">
        <v>474</v>
      </c>
      <c r="E12" s="449" t="s">
        <v>474</v>
      </c>
      <c r="F12" s="519" t="s">
        <v>474</v>
      </c>
      <c r="G12" s="449" t="s">
        <v>474</v>
      </c>
      <c r="H12" s="519" t="s">
        <v>474</v>
      </c>
      <c r="I12" s="449" t="s">
        <v>474</v>
      </c>
      <c r="J12" s="519" t="s">
        <v>474</v>
      </c>
      <c r="K12" s="449" t="s">
        <v>474</v>
      </c>
      <c r="L12" s="519" t="s">
        <v>474</v>
      </c>
      <c r="M12" s="449" t="s">
        <v>481</v>
      </c>
      <c r="N12" s="151"/>
    </row>
    <row r="13" spans="1:14" ht="14.4" customHeight="1" x14ac:dyDescent="0.3">
      <c r="A13" s="445" t="s">
        <v>472</v>
      </c>
      <c r="B13" s="446" t="s">
        <v>693</v>
      </c>
      <c r="C13" s="449">
        <v>25697.740000000005</v>
      </c>
      <c r="D13" s="449">
        <v>50</v>
      </c>
      <c r="E13" s="449">
        <v>3817.4800000000005</v>
      </c>
      <c r="F13" s="519">
        <v>0.14855314124899699</v>
      </c>
      <c r="G13" s="449">
        <v>20</v>
      </c>
      <c r="H13" s="519">
        <v>0.4</v>
      </c>
      <c r="I13" s="449">
        <v>21880.260000000006</v>
      </c>
      <c r="J13" s="519">
        <v>0.85144685875100301</v>
      </c>
      <c r="K13" s="449">
        <v>30</v>
      </c>
      <c r="L13" s="519">
        <v>0.6</v>
      </c>
      <c r="M13" s="449" t="s">
        <v>476</v>
      </c>
      <c r="N13" s="151"/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7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0" customWidth="1"/>
    <col min="2" max="2" width="11.109375" style="208" bestFit="1" customWidth="1"/>
    <col min="3" max="3" width="11.109375" style="130" hidden="1" customWidth="1"/>
    <col min="4" max="4" width="7.33203125" style="208" bestFit="1" customWidth="1"/>
    <col min="5" max="5" width="7.33203125" style="130" hidden="1" customWidth="1"/>
    <col min="6" max="6" width="11.109375" style="208" bestFit="1" customWidth="1"/>
    <col min="7" max="7" width="5.33203125" style="211" customWidth="1"/>
    <col min="8" max="8" width="7.33203125" style="208" bestFit="1" customWidth="1"/>
    <col min="9" max="9" width="5.33203125" style="211" customWidth="1"/>
    <col min="10" max="10" width="11.109375" style="208" customWidth="1"/>
    <col min="11" max="11" width="5.33203125" style="211" customWidth="1"/>
    <col min="12" max="12" width="7.33203125" style="208" customWidth="1"/>
    <col min="13" max="13" width="5.33203125" style="211" customWidth="1"/>
    <col min="14" max="14" width="0" style="130" hidden="1" customWidth="1"/>
    <col min="15" max="16384" width="8.88671875" style="130"/>
  </cols>
  <sheetData>
    <row r="1" spans="1:13" ht="18.600000000000001" customHeight="1" thickBot="1" x14ac:dyDescent="0.4">
      <c r="A1" s="363" t="s">
        <v>151</v>
      </c>
      <c r="B1" s="363"/>
      <c r="C1" s="363"/>
      <c r="D1" s="363"/>
      <c r="E1" s="363"/>
      <c r="F1" s="363"/>
      <c r="G1" s="363"/>
      <c r="H1" s="363"/>
      <c r="I1" s="363"/>
      <c r="J1" s="326"/>
      <c r="K1" s="326"/>
      <c r="L1" s="326"/>
      <c r="M1" s="326"/>
    </row>
    <row r="2" spans="1:13" ht="14.4" customHeight="1" thickBot="1" x14ac:dyDescent="0.35">
      <c r="A2" s="235" t="s">
        <v>281</v>
      </c>
      <c r="B2" s="215"/>
      <c r="C2" s="207"/>
      <c r="D2" s="215"/>
      <c r="E2" s="207"/>
      <c r="F2" s="215"/>
      <c r="G2" s="216"/>
      <c r="H2" s="215"/>
      <c r="I2" s="216"/>
    </row>
    <row r="3" spans="1:13" ht="14.4" customHeight="1" thickBot="1" x14ac:dyDescent="0.35">
      <c r="A3" s="144"/>
      <c r="B3" s="380" t="s">
        <v>15</v>
      </c>
      <c r="C3" s="382"/>
      <c r="D3" s="379"/>
      <c r="E3" s="143"/>
      <c r="F3" s="379" t="s">
        <v>16</v>
      </c>
      <c r="G3" s="379"/>
      <c r="H3" s="379"/>
      <c r="I3" s="379"/>
      <c r="J3" s="379" t="s">
        <v>150</v>
      </c>
      <c r="K3" s="379"/>
      <c r="L3" s="379"/>
      <c r="M3" s="381"/>
    </row>
    <row r="4" spans="1:13" ht="14.4" customHeight="1" thickBot="1" x14ac:dyDescent="0.35">
      <c r="A4" s="498" t="s">
        <v>137</v>
      </c>
      <c r="B4" s="499" t="s">
        <v>19</v>
      </c>
      <c r="C4" s="523"/>
      <c r="D4" s="499" t="s">
        <v>20</v>
      </c>
      <c r="E4" s="523"/>
      <c r="F4" s="499" t="s">
        <v>19</v>
      </c>
      <c r="G4" s="502" t="s">
        <v>2</v>
      </c>
      <c r="H4" s="499" t="s">
        <v>20</v>
      </c>
      <c r="I4" s="502" t="s">
        <v>2</v>
      </c>
      <c r="J4" s="499" t="s">
        <v>19</v>
      </c>
      <c r="K4" s="502" t="s">
        <v>2</v>
      </c>
      <c r="L4" s="499" t="s">
        <v>20</v>
      </c>
      <c r="M4" s="503" t="s">
        <v>2</v>
      </c>
    </row>
    <row r="5" spans="1:13" ht="14.4" customHeight="1" x14ac:dyDescent="0.3">
      <c r="A5" s="520" t="s">
        <v>694</v>
      </c>
      <c r="B5" s="513">
        <v>1699.33</v>
      </c>
      <c r="C5" s="458">
        <v>1</v>
      </c>
      <c r="D5" s="524">
        <v>9</v>
      </c>
      <c r="E5" s="527" t="s">
        <v>694</v>
      </c>
      <c r="F5" s="513">
        <v>864.98</v>
      </c>
      <c r="G5" s="480">
        <v>0.50901237546562472</v>
      </c>
      <c r="H5" s="461">
        <v>6</v>
      </c>
      <c r="I5" s="504">
        <v>0.66666666666666663</v>
      </c>
      <c r="J5" s="530">
        <v>834.34999999999991</v>
      </c>
      <c r="K5" s="480">
        <v>0.49098762453437528</v>
      </c>
      <c r="L5" s="461">
        <v>3</v>
      </c>
      <c r="M5" s="504">
        <v>0.33333333333333331</v>
      </c>
    </row>
    <row r="6" spans="1:13" ht="14.4" customHeight="1" x14ac:dyDescent="0.3">
      <c r="A6" s="521" t="s">
        <v>695</v>
      </c>
      <c r="B6" s="514">
        <v>23998.410000000003</v>
      </c>
      <c r="C6" s="464">
        <v>1</v>
      </c>
      <c r="D6" s="525">
        <v>40</v>
      </c>
      <c r="E6" s="528" t="s">
        <v>695</v>
      </c>
      <c r="F6" s="514">
        <v>2952.5</v>
      </c>
      <c r="G6" s="488">
        <v>0.12302898400352355</v>
      </c>
      <c r="H6" s="467">
        <v>14</v>
      </c>
      <c r="I6" s="505">
        <v>0.35</v>
      </c>
      <c r="J6" s="531">
        <v>21045.910000000003</v>
      </c>
      <c r="K6" s="488">
        <v>0.87697101599647642</v>
      </c>
      <c r="L6" s="467">
        <v>26</v>
      </c>
      <c r="M6" s="505">
        <v>0.65</v>
      </c>
    </row>
    <row r="7" spans="1:13" ht="14.4" customHeight="1" thickBot="1" x14ac:dyDescent="0.35">
      <c r="A7" s="522" t="s">
        <v>696</v>
      </c>
      <c r="B7" s="515">
        <v>0</v>
      </c>
      <c r="C7" s="470"/>
      <c r="D7" s="526">
        <v>1</v>
      </c>
      <c r="E7" s="529" t="s">
        <v>696</v>
      </c>
      <c r="F7" s="515"/>
      <c r="G7" s="481"/>
      <c r="H7" s="473"/>
      <c r="I7" s="506">
        <v>0</v>
      </c>
      <c r="J7" s="532">
        <v>0</v>
      </c>
      <c r="K7" s="481"/>
      <c r="L7" s="473">
        <v>1</v>
      </c>
      <c r="M7" s="506">
        <v>1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41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0" hidden="1" customWidth="1" outlineLevel="1"/>
    <col min="2" max="2" width="28.33203125" style="130" hidden="1" customWidth="1" outlineLevel="1"/>
    <col min="3" max="3" width="9" style="130" customWidth="1" collapsed="1"/>
    <col min="4" max="4" width="18.77734375" style="219" customWidth="1"/>
    <col min="5" max="5" width="13.5546875" style="209" customWidth="1"/>
    <col min="6" max="6" width="6" style="130" bestFit="1" customWidth="1"/>
    <col min="7" max="7" width="8.77734375" style="130" customWidth="1"/>
    <col min="8" max="8" width="5" style="130" bestFit="1" customWidth="1"/>
    <col min="9" max="9" width="8.5546875" style="130" hidden="1" customWidth="1" outlineLevel="1"/>
    <col min="10" max="10" width="25.77734375" style="130" customWidth="1" collapsed="1"/>
    <col min="11" max="11" width="8.77734375" style="130" customWidth="1"/>
    <col min="12" max="12" width="7.77734375" style="210" customWidth="1"/>
    <col min="13" max="13" width="11.109375" style="210" customWidth="1"/>
    <col min="14" max="14" width="7.77734375" style="130" customWidth="1"/>
    <col min="15" max="15" width="7.77734375" style="220" customWidth="1"/>
    <col min="16" max="16" width="11.109375" style="210" customWidth="1"/>
    <col min="17" max="17" width="5.44140625" style="211" bestFit="1" customWidth="1"/>
    <col min="18" max="18" width="7.77734375" style="130" customWidth="1"/>
    <col min="19" max="19" width="5.44140625" style="211" bestFit="1" customWidth="1"/>
    <col min="20" max="20" width="7.77734375" style="220" customWidth="1"/>
    <col min="21" max="21" width="5.44140625" style="211" bestFit="1" customWidth="1"/>
    <col min="22" max="16384" width="8.88671875" style="130"/>
  </cols>
  <sheetData>
    <row r="1" spans="1:21" ht="18.600000000000001" customHeight="1" thickBot="1" x14ac:dyDescent="0.4">
      <c r="A1" s="354" t="s">
        <v>806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</row>
    <row r="2" spans="1:21" ht="14.4" customHeight="1" thickBot="1" x14ac:dyDescent="0.35">
      <c r="A2" s="235" t="s">
        <v>281</v>
      </c>
      <c r="B2" s="217"/>
      <c r="C2" s="207"/>
      <c r="D2" s="207"/>
      <c r="E2" s="218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</row>
    <row r="3" spans="1:21" ht="14.4" customHeight="1" thickBot="1" x14ac:dyDescent="0.35">
      <c r="A3" s="386"/>
      <c r="B3" s="387"/>
      <c r="C3" s="387"/>
      <c r="D3" s="387"/>
      <c r="E3" s="387"/>
      <c r="F3" s="387"/>
      <c r="G3" s="387"/>
      <c r="H3" s="387"/>
      <c r="I3" s="387"/>
      <c r="J3" s="387"/>
      <c r="K3" s="388" t="s">
        <v>129</v>
      </c>
      <c r="L3" s="389"/>
      <c r="M3" s="66">
        <f>SUBTOTAL(9,M7:M1048576)</f>
        <v>25697.74</v>
      </c>
      <c r="N3" s="66">
        <f>SUBTOTAL(9,N7:N1048576)</f>
        <v>115</v>
      </c>
      <c r="O3" s="66">
        <f>SUBTOTAL(9,O7:O1048576)</f>
        <v>50</v>
      </c>
      <c r="P3" s="66">
        <f>SUBTOTAL(9,P7:P1048576)</f>
        <v>3817.48</v>
      </c>
      <c r="Q3" s="67">
        <f>IF(M3=0,0,P3/M3)</f>
        <v>0.14855314124899699</v>
      </c>
      <c r="R3" s="66">
        <f>SUBTOTAL(9,R7:R1048576)</f>
        <v>42</v>
      </c>
      <c r="S3" s="67">
        <f>IF(N3=0,0,R3/N3)</f>
        <v>0.36521739130434783</v>
      </c>
      <c r="T3" s="66">
        <f>SUBTOTAL(9,T7:T1048576)</f>
        <v>20</v>
      </c>
      <c r="U3" s="68">
        <f>IF(O3=0,0,T3/O3)</f>
        <v>0.4</v>
      </c>
    </row>
    <row r="4" spans="1:21" ht="14.4" customHeight="1" x14ac:dyDescent="0.3">
      <c r="A4" s="69"/>
      <c r="B4" s="70"/>
      <c r="C4" s="70"/>
      <c r="D4" s="71"/>
      <c r="E4" s="144"/>
      <c r="F4" s="70"/>
      <c r="G4" s="70"/>
      <c r="H4" s="70"/>
      <c r="I4" s="70"/>
      <c r="J4" s="70"/>
      <c r="K4" s="70"/>
      <c r="L4" s="70"/>
      <c r="M4" s="390" t="s">
        <v>15</v>
      </c>
      <c r="N4" s="391"/>
      <c r="O4" s="391"/>
      <c r="P4" s="392" t="s">
        <v>21</v>
      </c>
      <c r="Q4" s="391"/>
      <c r="R4" s="391"/>
      <c r="S4" s="391"/>
      <c r="T4" s="391"/>
      <c r="U4" s="393"/>
    </row>
    <row r="5" spans="1:21" ht="14.4" customHeight="1" thickBot="1" x14ac:dyDescent="0.35">
      <c r="A5" s="72"/>
      <c r="B5" s="73"/>
      <c r="C5" s="70"/>
      <c r="D5" s="71"/>
      <c r="E5" s="144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3" t="s">
        <v>22</v>
      </c>
      <c r="Q5" s="384"/>
      <c r="R5" s="383" t="s">
        <v>13</v>
      </c>
      <c r="S5" s="384"/>
      <c r="T5" s="383" t="s">
        <v>20</v>
      </c>
      <c r="U5" s="385"/>
    </row>
    <row r="6" spans="1:21" s="209" customFormat="1" ht="14.4" customHeight="1" thickBot="1" x14ac:dyDescent="0.35">
      <c r="A6" s="533" t="s">
        <v>23</v>
      </c>
      <c r="B6" s="534" t="s">
        <v>5</v>
      </c>
      <c r="C6" s="533" t="s">
        <v>24</v>
      </c>
      <c r="D6" s="534" t="s">
        <v>6</v>
      </c>
      <c r="E6" s="534" t="s">
        <v>153</v>
      </c>
      <c r="F6" s="534" t="s">
        <v>25</v>
      </c>
      <c r="G6" s="534" t="s">
        <v>26</v>
      </c>
      <c r="H6" s="534" t="s">
        <v>8</v>
      </c>
      <c r="I6" s="534" t="s">
        <v>10</v>
      </c>
      <c r="J6" s="534" t="s">
        <v>11</v>
      </c>
      <c r="K6" s="534" t="s">
        <v>12</v>
      </c>
      <c r="L6" s="534" t="s">
        <v>27</v>
      </c>
      <c r="M6" s="535" t="s">
        <v>14</v>
      </c>
      <c r="N6" s="536" t="s">
        <v>28</v>
      </c>
      <c r="O6" s="536" t="s">
        <v>28</v>
      </c>
      <c r="P6" s="536" t="s">
        <v>14</v>
      </c>
      <c r="Q6" s="536" t="s">
        <v>2</v>
      </c>
      <c r="R6" s="536" t="s">
        <v>28</v>
      </c>
      <c r="S6" s="536" t="s">
        <v>2</v>
      </c>
      <c r="T6" s="536" t="s">
        <v>28</v>
      </c>
      <c r="U6" s="537" t="s">
        <v>2</v>
      </c>
    </row>
    <row r="7" spans="1:21" ht="14.4" customHeight="1" x14ac:dyDescent="0.3">
      <c r="A7" s="538">
        <v>28</v>
      </c>
      <c r="B7" s="539" t="s">
        <v>668</v>
      </c>
      <c r="C7" s="539">
        <v>89301282</v>
      </c>
      <c r="D7" s="540" t="s">
        <v>805</v>
      </c>
      <c r="E7" s="541" t="s">
        <v>694</v>
      </c>
      <c r="F7" s="539" t="s">
        <v>690</v>
      </c>
      <c r="G7" s="539" t="s">
        <v>697</v>
      </c>
      <c r="H7" s="539" t="s">
        <v>474</v>
      </c>
      <c r="I7" s="539" t="s">
        <v>698</v>
      </c>
      <c r="J7" s="539" t="s">
        <v>699</v>
      </c>
      <c r="K7" s="539" t="s">
        <v>700</v>
      </c>
      <c r="L7" s="542">
        <v>106.23</v>
      </c>
      <c r="M7" s="542">
        <v>106.23</v>
      </c>
      <c r="N7" s="539">
        <v>1</v>
      </c>
      <c r="O7" s="543">
        <v>1</v>
      </c>
      <c r="P7" s="542">
        <v>106.23</v>
      </c>
      <c r="Q7" s="544">
        <v>1</v>
      </c>
      <c r="R7" s="539">
        <v>1</v>
      </c>
      <c r="S7" s="544">
        <v>1</v>
      </c>
      <c r="T7" s="543">
        <v>1</v>
      </c>
      <c r="U7" s="122">
        <v>1</v>
      </c>
    </row>
    <row r="8" spans="1:21" ht="14.4" customHeight="1" x14ac:dyDescent="0.3">
      <c r="A8" s="545">
        <v>28</v>
      </c>
      <c r="B8" s="546" t="s">
        <v>668</v>
      </c>
      <c r="C8" s="546">
        <v>89301282</v>
      </c>
      <c r="D8" s="547" t="s">
        <v>805</v>
      </c>
      <c r="E8" s="548" t="s">
        <v>694</v>
      </c>
      <c r="F8" s="546" t="s">
        <v>690</v>
      </c>
      <c r="G8" s="546" t="s">
        <v>701</v>
      </c>
      <c r="H8" s="546" t="s">
        <v>474</v>
      </c>
      <c r="I8" s="546" t="s">
        <v>702</v>
      </c>
      <c r="J8" s="546" t="s">
        <v>703</v>
      </c>
      <c r="K8" s="546" t="s">
        <v>704</v>
      </c>
      <c r="L8" s="549">
        <v>483.76</v>
      </c>
      <c r="M8" s="549">
        <v>483.76</v>
      </c>
      <c r="N8" s="546">
        <v>1</v>
      </c>
      <c r="O8" s="550">
        <v>1</v>
      </c>
      <c r="P8" s="549"/>
      <c r="Q8" s="551">
        <v>0</v>
      </c>
      <c r="R8" s="546"/>
      <c r="S8" s="551">
        <v>0</v>
      </c>
      <c r="T8" s="550"/>
      <c r="U8" s="552">
        <v>0</v>
      </c>
    </row>
    <row r="9" spans="1:21" ht="14.4" customHeight="1" x14ac:dyDescent="0.3">
      <c r="A9" s="545">
        <v>28</v>
      </c>
      <c r="B9" s="546" t="s">
        <v>668</v>
      </c>
      <c r="C9" s="546">
        <v>89301282</v>
      </c>
      <c r="D9" s="547" t="s">
        <v>805</v>
      </c>
      <c r="E9" s="548" t="s">
        <v>694</v>
      </c>
      <c r="F9" s="546" t="s">
        <v>690</v>
      </c>
      <c r="G9" s="546" t="s">
        <v>705</v>
      </c>
      <c r="H9" s="546" t="s">
        <v>474</v>
      </c>
      <c r="I9" s="546" t="s">
        <v>706</v>
      </c>
      <c r="J9" s="546" t="s">
        <v>707</v>
      </c>
      <c r="K9" s="546" t="s">
        <v>708</v>
      </c>
      <c r="L9" s="549">
        <v>235.29</v>
      </c>
      <c r="M9" s="549">
        <v>235.29</v>
      </c>
      <c r="N9" s="546">
        <v>1</v>
      </c>
      <c r="O9" s="550">
        <v>1</v>
      </c>
      <c r="P9" s="549"/>
      <c r="Q9" s="551">
        <v>0</v>
      </c>
      <c r="R9" s="546"/>
      <c r="S9" s="551">
        <v>0</v>
      </c>
      <c r="T9" s="550"/>
      <c r="U9" s="552">
        <v>0</v>
      </c>
    </row>
    <row r="10" spans="1:21" ht="14.4" customHeight="1" x14ac:dyDescent="0.3">
      <c r="A10" s="545">
        <v>28</v>
      </c>
      <c r="B10" s="546" t="s">
        <v>668</v>
      </c>
      <c r="C10" s="546">
        <v>89301282</v>
      </c>
      <c r="D10" s="547" t="s">
        <v>805</v>
      </c>
      <c r="E10" s="548" t="s">
        <v>694</v>
      </c>
      <c r="F10" s="546" t="s">
        <v>690</v>
      </c>
      <c r="G10" s="546" t="s">
        <v>709</v>
      </c>
      <c r="H10" s="546" t="s">
        <v>633</v>
      </c>
      <c r="I10" s="546" t="s">
        <v>710</v>
      </c>
      <c r="J10" s="546" t="s">
        <v>711</v>
      </c>
      <c r="K10" s="546" t="s">
        <v>712</v>
      </c>
      <c r="L10" s="549">
        <v>222.25</v>
      </c>
      <c r="M10" s="549">
        <v>222.25</v>
      </c>
      <c r="N10" s="546">
        <v>1</v>
      </c>
      <c r="O10" s="550">
        <v>1</v>
      </c>
      <c r="P10" s="549">
        <v>222.25</v>
      </c>
      <c r="Q10" s="551">
        <v>1</v>
      </c>
      <c r="R10" s="546">
        <v>1</v>
      </c>
      <c r="S10" s="551">
        <v>1</v>
      </c>
      <c r="T10" s="550">
        <v>1</v>
      </c>
      <c r="U10" s="552">
        <v>1</v>
      </c>
    </row>
    <row r="11" spans="1:21" ht="14.4" customHeight="1" x14ac:dyDescent="0.3">
      <c r="A11" s="545">
        <v>28</v>
      </c>
      <c r="B11" s="546" t="s">
        <v>668</v>
      </c>
      <c r="C11" s="546">
        <v>89301282</v>
      </c>
      <c r="D11" s="547" t="s">
        <v>805</v>
      </c>
      <c r="E11" s="548" t="s">
        <v>694</v>
      </c>
      <c r="F11" s="546" t="s">
        <v>690</v>
      </c>
      <c r="G11" s="546" t="s">
        <v>713</v>
      </c>
      <c r="H11" s="546" t="s">
        <v>474</v>
      </c>
      <c r="I11" s="546" t="s">
        <v>714</v>
      </c>
      <c r="J11" s="546" t="s">
        <v>715</v>
      </c>
      <c r="K11" s="546" t="s">
        <v>716</v>
      </c>
      <c r="L11" s="549">
        <v>115.3</v>
      </c>
      <c r="M11" s="549">
        <v>115.3</v>
      </c>
      <c r="N11" s="546">
        <v>1</v>
      </c>
      <c r="O11" s="550">
        <v>0.5</v>
      </c>
      <c r="P11" s="549"/>
      <c r="Q11" s="551">
        <v>0</v>
      </c>
      <c r="R11" s="546"/>
      <c r="S11" s="551">
        <v>0</v>
      </c>
      <c r="T11" s="550"/>
      <c r="U11" s="552">
        <v>0</v>
      </c>
    </row>
    <row r="12" spans="1:21" ht="14.4" customHeight="1" x14ac:dyDescent="0.3">
      <c r="A12" s="545">
        <v>28</v>
      </c>
      <c r="B12" s="546" t="s">
        <v>668</v>
      </c>
      <c r="C12" s="546">
        <v>89301282</v>
      </c>
      <c r="D12" s="547" t="s">
        <v>805</v>
      </c>
      <c r="E12" s="548" t="s">
        <v>694</v>
      </c>
      <c r="F12" s="546" t="s">
        <v>690</v>
      </c>
      <c r="G12" s="546" t="s">
        <v>717</v>
      </c>
      <c r="H12" s="546" t="s">
        <v>474</v>
      </c>
      <c r="I12" s="546" t="s">
        <v>718</v>
      </c>
      <c r="J12" s="546" t="s">
        <v>719</v>
      </c>
      <c r="K12" s="546" t="s">
        <v>720</v>
      </c>
      <c r="L12" s="549">
        <v>117.71</v>
      </c>
      <c r="M12" s="549">
        <v>117.71</v>
      </c>
      <c r="N12" s="546">
        <v>1</v>
      </c>
      <c r="O12" s="550">
        <v>0.5</v>
      </c>
      <c r="P12" s="549">
        <v>117.71</v>
      </c>
      <c r="Q12" s="551">
        <v>1</v>
      </c>
      <c r="R12" s="546">
        <v>1</v>
      </c>
      <c r="S12" s="551">
        <v>1</v>
      </c>
      <c r="T12" s="550">
        <v>0.5</v>
      </c>
      <c r="U12" s="552">
        <v>1</v>
      </c>
    </row>
    <row r="13" spans="1:21" ht="14.4" customHeight="1" x14ac:dyDescent="0.3">
      <c r="A13" s="545">
        <v>28</v>
      </c>
      <c r="B13" s="546" t="s">
        <v>668</v>
      </c>
      <c r="C13" s="546">
        <v>89301282</v>
      </c>
      <c r="D13" s="547" t="s">
        <v>805</v>
      </c>
      <c r="E13" s="548" t="s">
        <v>694</v>
      </c>
      <c r="F13" s="546" t="s">
        <v>690</v>
      </c>
      <c r="G13" s="546" t="s">
        <v>721</v>
      </c>
      <c r="H13" s="546" t="s">
        <v>474</v>
      </c>
      <c r="I13" s="546" t="s">
        <v>722</v>
      </c>
      <c r="J13" s="546" t="s">
        <v>723</v>
      </c>
      <c r="K13" s="546" t="s">
        <v>724</v>
      </c>
      <c r="L13" s="549">
        <v>0</v>
      </c>
      <c r="M13" s="549">
        <v>0</v>
      </c>
      <c r="N13" s="546">
        <v>1</v>
      </c>
      <c r="O13" s="550">
        <v>1</v>
      </c>
      <c r="P13" s="549">
        <v>0</v>
      </c>
      <c r="Q13" s="551"/>
      <c r="R13" s="546">
        <v>1</v>
      </c>
      <c r="S13" s="551">
        <v>1</v>
      </c>
      <c r="T13" s="550">
        <v>1</v>
      </c>
      <c r="U13" s="552">
        <v>1</v>
      </c>
    </row>
    <row r="14" spans="1:21" ht="14.4" customHeight="1" x14ac:dyDescent="0.3">
      <c r="A14" s="545">
        <v>28</v>
      </c>
      <c r="B14" s="546" t="s">
        <v>668</v>
      </c>
      <c r="C14" s="546">
        <v>89301282</v>
      </c>
      <c r="D14" s="547" t="s">
        <v>805</v>
      </c>
      <c r="E14" s="548" t="s">
        <v>694</v>
      </c>
      <c r="F14" s="546" t="s">
        <v>690</v>
      </c>
      <c r="G14" s="546" t="s">
        <v>725</v>
      </c>
      <c r="H14" s="546" t="s">
        <v>474</v>
      </c>
      <c r="I14" s="546" t="s">
        <v>726</v>
      </c>
      <c r="J14" s="546" t="s">
        <v>727</v>
      </c>
      <c r="K14" s="546" t="s">
        <v>728</v>
      </c>
      <c r="L14" s="549">
        <v>163.9</v>
      </c>
      <c r="M14" s="549">
        <v>327.8</v>
      </c>
      <c r="N14" s="546">
        <v>2</v>
      </c>
      <c r="O14" s="550">
        <v>1</v>
      </c>
      <c r="P14" s="549">
        <v>327.8</v>
      </c>
      <c r="Q14" s="551">
        <v>1</v>
      </c>
      <c r="R14" s="546">
        <v>2</v>
      </c>
      <c r="S14" s="551">
        <v>1</v>
      </c>
      <c r="T14" s="550">
        <v>1</v>
      </c>
      <c r="U14" s="552">
        <v>1</v>
      </c>
    </row>
    <row r="15" spans="1:21" ht="14.4" customHeight="1" x14ac:dyDescent="0.3">
      <c r="A15" s="545">
        <v>28</v>
      </c>
      <c r="B15" s="546" t="s">
        <v>668</v>
      </c>
      <c r="C15" s="546">
        <v>89301282</v>
      </c>
      <c r="D15" s="547" t="s">
        <v>805</v>
      </c>
      <c r="E15" s="548" t="s">
        <v>694</v>
      </c>
      <c r="F15" s="546" t="s">
        <v>690</v>
      </c>
      <c r="G15" s="546" t="s">
        <v>729</v>
      </c>
      <c r="H15" s="546" t="s">
        <v>633</v>
      </c>
      <c r="I15" s="546" t="s">
        <v>730</v>
      </c>
      <c r="J15" s="546" t="s">
        <v>731</v>
      </c>
      <c r="K15" s="546" t="s">
        <v>732</v>
      </c>
      <c r="L15" s="549">
        <v>30.33</v>
      </c>
      <c r="M15" s="549">
        <v>90.99</v>
      </c>
      <c r="N15" s="546">
        <v>3</v>
      </c>
      <c r="O15" s="550">
        <v>1.5</v>
      </c>
      <c r="P15" s="549">
        <v>90.99</v>
      </c>
      <c r="Q15" s="551">
        <v>1</v>
      </c>
      <c r="R15" s="546">
        <v>3</v>
      </c>
      <c r="S15" s="551">
        <v>1</v>
      </c>
      <c r="T15" s="550">
        <v>1.5</v>
      </c>
      <c r="U15" s="552">
        <v>1</v>
      </c>
    </row>
    <row r="16" spans="1:21" ht="14.4" customHeight="1" x14ac:dyDescent="0.3">
      <c r="A16" s="545">
        <v>28</v>
      </c>
      <c r="B16" s="546" t="s">
        <v>668</v>
      </c>
      <c r="C16" s="546">
        <v>89301282</v>
      </c>
      <c r="D16" s="547" t="s">
        <v>805</v>
      </c>
      <c r="E16" s="548" t="s">
        <v>694</v>
      </c>
      <c r="F16" s="546" t="s">
        <v>690</v>
      </c>
      <c r="G16" s="546" t="s">
        <v>733</v>
      </c>
      <c r="H16" s="546" t="s">
        <v>633</v>
      </c>
      <c r="I16" s="546" t="s">
        <v>734</v>
      </c>
      <c r="J16" s="546" t="s">
        <v>735</v>
      </c>
      <c r="K16" s="546" t="s">
        <v>736</v>
      </c>
      <c r="L16" s="549">
        <v>0</v>
      </c>
      <c r="M16" s="549">
        <v>0</v>
      </c>
      <c r="N16" s="546">
        <v>1</v>
      </c>
      <c r="O16" s="550">
        <v>0.5</v>
      </c>
      <c r="P16" s="549"/>
      <c r="Q16" s="551"/>
      <c r="R16" s="546"/>
      <c r="S16" s="551">
        <v>0</v>
      </c>
      <c r="T16" s="550"/>
      <c r="U16" s="552">
        <v>0</v>
      </c>
    </row>
    <row r="17" spans="1:21" ht="14.4" customHeight="1" x14ac:dyDescent="0.3">
      <c r="A17" s="545">
        <v>28</v>
      </c>
      <c r="B17" s="546" t="s">
        <v>668</v>
      </c>
      <c r="C17" s="546">
        <v>89301282</v>
      </c>
      <c r="D17" s="547" t="s">
        <v>805</v>
      </c>
      <c r="E17" s="548" t="s">
        <v>695</v>
      </c>
      <c r="F17" s="546" t="s">
        <v>690</v>
      </c>
      <c r="G17" s="546" t="s">
        <v>701</v>
      </c>
      <c r="H17" s="546" t="s">
        <v>474</v>
      </c>
      <c r="I17" s="546" t="s">
        <v>737</v>
      </c>
      <c r="J17" s="546" t="s">
        <v>703</v>
      </c>
      <c r="K17" s="546" t="s">
        <v>704</v>
      </c>
      <c r="L17" s="549">
        <v>483.76</v>
      </c>
      <c r="M17" s="549">
        <v>2902.56</v>
      </c>
      <c r="N17" s="546">
        <v>6</v>
      </c>
      <c r="O17" s="550">
        <v>2</v>
      </c>
      <c r="P17" s="549"/>
      <c r="Q17" s="551">
        <v>0</v>
      </c>
      <c r="R17" s="546"/>
      <c r="S17" s="551">
        <v>0</v>
      </c>
      <c r="T17" s="550"/>
      <c r="U17" s="552">
        <v>0</v>
      </c>
    </row>
    <row r="18" spans="1:21" ht="14.4" customHeight="1" x14ac:dyDescent="0.3">
      <c r="A18" s="545">
        <v>28</v>
      </c>
      <c r="B18" s="546" t="s">
        <v>668</v>
      </c>
      <c r="C18" s="546">
        <v>89301282</v>
      </c>
      <c r="D18" s="547" t="s">
        <v>805</v>
      </c>
      <c r="E18" s="548" t="s">
        <v>695</v>
      </c>
      <c r="F18" s="546" t="s">
        <v>690</v>
      </c>
      <c r="G18" s="546" t="s">
        <v>701</v>
      </c>
      <c r="H18" s="546" t="s">
        <v>474</v>
      </c>
      <c r="I18" s="546" t="s">
        <v>702</v>
      </c>
      <c r="J18" s="546" t="s">
        <v>703</v>
      </c>
      <c r="K18" s="546" t="s">
        <v>704</v>
      </c>
      <c r="L18" s="549">
        <v>483.76</v>
      </c>
      <c r="M18" s="549">
        <v>3386.32</v>
      </c>
      <c r="N18" s="546">
        <v>7</v>
      </c>
      <c r="O18" s="550">
        <v>2.5</v>
      </c>
      <c r="P18" s="549"/>
      <c r="Q18" s="551">
        <v>0</v>
      </c>
      <c r="R18" s="546"/>
      <c r="S18" s="551">
        <v>0</v>
      </c>
      <c r="T18" s="550"/>
      <c r="U18" s="552">
        <v>0</v>
      </c>
    </row>
    <row r="19" spans="1:21" ht="14.4" customHeight="1" x14ac:dyDescent="0.3">
      <c r="A19" s="545">
        <v>28</v>
      </c>
      <c r="B19" s="546" t="s">
        <v>668</v>
      </c>
      <c r="C19" s="546">
        <v>89301282</v>
      </c>
      <c r="D19" s="547" t="s">
        <v>805</v>
      </c>
      <c r="E19" s="548" t="s">
        <v>695</v>
      </c>
      <c r="F19" s="546" t="s">
        <v>690</v>
      </c>
      <c r="G19" s="546" t="s">
        <v>738</v>
      </c>
      <c r="H19" s="546" t="s">
        <v>633</v>
      </c>
      <c r="I19" s="546" t="s">
        <v>739</v>
      </c>
      <c r="J19" s="546" t="s">
        <v>740</v>
      </c>
      <c r="K19" s="546" t="s">
        <v>741</v>
      </c>
      <c r="L19" s="549">
        <v>17.690000000000001</v>
      </c>
      <c r="M19" s="549">
        <v>35.380000000000003</v>
      </c>
      <c r="N19" s="546">
        <v>2</v>
      </c>
      <c r="O19" s="550">
        <v>1</v>
      </c>
      <c r="P19" s="549"/>
      <c r="Q19" s="551">
        <v>0</v>
      </c>
      <c r="R19" s="546"/>
      <c r="S19" s="551">
        <v>0</v>
      </c>
      <c r="T19" s="550"/>
      <c r="U19" s="552">
        <v>0</v>
      </c>
    </row>
    <row r="20" spans="1:21" ht="14.4" customHeight="1" x14ac:dyDescent="0.3">
      <c r="A20" s="545">
        <v>28</v>
      </c>
      <c r="B20" s="546" t="s">
        <v>668</v>
      </c>
      <c r="C20" s="546">
        <v>89301282</v>
      </c>
      <c r="D20" s="547" t="s">
        <v>805</v>
      </c>
      <c r="E20" s="548" t="s">
        <v>695</v>
      </c>
      <c r="F20" s="546" t="s">
        <v>690</v>
      </c>
      <c r="G20" s="546" t="s">
        <v>705</v>
      </c>
      <c r="H20" s="546" t="s">
        <v>474</v>
      </c>
      <c r="I20" s="546" t="s">
        <v>742</v>
      </c>
      <c r="J20" s="546" t="s">
        <v>743</v>
      </c>
      <c r="K20" s="546" t="s">
        <v>744</v>
      </c>
      <c r="L20" s="549">
        <v>156.86000000000001</v>
      </c>
      <c r="M20" s="549">
        <v>313.72000000000003</v>
      </c>
      <c r="N20" s="546">
        <v>2</v>
      </c>
      <c r="O20" s="550">
        <v>1</v>
      </c>
      <c r="P20" s="549">
        <v>313.72000000000003</v>
      </c>
      <c r="Q20" s="551">
        <v>1</v>
      </c>
      <c r="R20" s="546">
        <v>2</v>
      </c>
      <c r="S20" s="551">
        <v>1</v>
      </c>
      <c r="T20" s="550">
        <v>1</v>
      </c>
      <c r="U20" s="552">
        <v>1</v>
      </c>
    </row>
    <row r="21" spans="1:21" ht="14.4" customHeight="1" x14ac:dyDescent="0.3">
      <c r="A21" s="545">
        <v>28</v>
      </c>
      <c r="B21" s="546" t="s">
        <v>668</v>
      </c>
      <c r="C21" s="546">
        <v>89301282</v>
      </c>
      <c r="D21" s="547" t="s">
        <v>805</v>
      </c>
      <c r="E21" s="548" t="s">
        <v>695</v>
      </c>
      <c r="F21" s="546" t="s">
        <v>690</v>
      </c>
      <c r="G21" s="546" t="s">
        <v>705</v>
      </c>
      <c r="H21" s="546" t="s">
        <v>633</v>
      </c>
      <c r="I21" s="546" t="s">
        <v>745</v>
      </c>
      <c r="J21" s="546" t="s">
        <v>707</v>
      </c>
      <c r="K21" s="546" t="s">
        <v>744</v>
      </c>
      <c r="L21" s="549">
        <v>333.31</v>
      </c>
      <c r="M21" s="549">
        <v>333.31</v>
      </c>
      <c r="N21" s="546">
        <v>1</v>
      </c>
      <c r="O21" s="550">
        <v>1</v>
      </c>
      <c r="P21" s="549"/>
      <c r="Q21" s="551">
        <v>0</v>
      </c>
      <c r="R21" s="546"/>
      <c r="S21" s="551">
        <v>0</v>
      </c>
      <c r="T21" s="550"/>
      <c r="U21" s="552">
        <v>0</v>
      </c>
    </row>
    <row r="22" spans="1:21" ht="14.4" customHeight="1" x14ac:dyDescent="0.3">
      <c r="A22" s="545">
        <v>28</v>
      </c>
      <c r="B22" s="546" t="s">
        <v>668</v>
      </c>
      <c r="C22" s="546">
        <v>89301282</v>
      </c>
      <c r="D22" s="547" t="s">
        <v>805</v>
      </c>
      <c r="E22" s="548" t="s">
        <v>695</v>
      </c>
      <c r="F22" s="546" t="s">
        <v>690</v>
      </c>
      <c r="G22" s="546" t="s">
        <v>705</v>
      </c>
      <c r="H22" s="546" t="s">
        <v>633</v>
      </c>
      <c r="I22" s="546" t="s">
        <v>745</v>
      </c>
      <c r="J22" s="546" t="s">
        <v>707</v>
      </c>
      <c r="K22" s="546" t="s">
        <v>744</v>
      </c>
      <c r="L22" s="549">
        <v>156.86000000000001</v>
      </c>
      <c r="M22" s="549">
        <v>313.72000000000003</v>
      </c>
      <c r="N22" s="546">
        <v>2</v>
      </c>
      <c r="O22" s="550">
        <v>1</v>
      </c>
      <c r="P22" s="549"/>
      <c r="Q22" s="551">
        <v>0</v>
      </c>
      <c r="R22" s="546"/>
      <c r="S22" s="551">
        <v>0</v>
      </c>
      <c r="T22" s="550"/>
      <c r="U22" s="552">
        <v>0</v>
      </c>
    </row>
    <row r="23" spans="1:21" ht="14.4" customHeight="1" x14ac:dyDescent="0.3">
      <c r="A23" s="545">
        <v>28</v>
      </c>
      <c r="B23" s="546" t="s">
        <v>668</v>
      </c>
      <c r="C23" s="546">
        <v>89301282</v>
      </c>
      <c r="D23" s="547" t="s">
        <v>805</v>
      </c>
      <c r="E23" s="548" t="s">
        <v>695</v>
      </c>
      <c r="F23" s="546" t="s">
        <v>690</v>
      </c>
      <c r="G23" s="546" t="s">
        <v>746</v>
      </c>
      <c r="H23" s="546" t="s">
        <v>633</v>
      </c>
      <c r="I23" s="546" t="s">
        <v>747</v>
      </c>
      <c r="J23" s="546" t="s">
        <v>748</v>
      </c>
      <c r="K23" s="546" t="s">
        <v>749</v>
      </c>
      <c r="L23" s="549">
        <v>65.3</v>
      </c>
      <c r="M23" s="549">
        <v>1044.8</v>
      </c>
      <c r="N23" s="546">
        <v>16</v>
      </c>
      <c r="O23" s="550">
        <v>7</v>
      </c>
      <c r="P23" s="549">
        <v>522.4</v>
      </c>
      <c r="Q23" s="551">
        <v>0.5</v>
      </c>
      <c r="R23" s="546">
        <v>8</v>
      </c>
      <c r="S23" s="551">
        <v>0.5</v>
      </c>
      <c r="T23" s="550">
        <v>3</v>
      </c>
      <c r="U23" s="552">
        <v>0.42857142857142855</v>
      </c>
    </row>
    <row r="24" spans="1:21" ht="14.4" customHeight="1" x14ac:dyDescent="0.3">
      <c r="A24" s="545">
        <v>28</v>
      </c>
      <c r="B24" s="546" t="s">
        <v>668</v>
      </c>
      <c r="C24" s="546">
        <v>89301282</v>
      </c>
      <c r="D24" s="547" t="s">
        <v>805</v>
      </c>
      <c r="E24" s="548" t="s">
        <v>695</v>
      </c>
      <c r="F24" s="546" t="s">
        <v>690</v>
      </c>
      <c r="G24" s="546" t="s">
        <v>750</v>
      </c>
      <c r="H24" s="546" t="s">
        <v>633</v>
      </c>
      <c r="I24" s="546" t="s">
        <v>751</v>
      </c>
      <c r="J24" s="546" t="s">
        <v>752</v>
      </c>
      <c r="K24" s="546" t="s">
        <v>753</v>
      </c>
      <c r="L24" s="549">
        <v>138.16</v>
      </c>
      <c r="M24" s="549">
        <v>276.32</v>
      </c>
      <c r="N24" s="546">
        <v>2</v>
      </c>
      <c r="O24" s="550">
        <v>1</v>
      </c>
      <c r="P24" s="549">
        <v>276.32</v>
      </c>
      <c r="Q24" s="551">
        <v>1</v>
      </c>
      <c r="R24" s="546">
        <v>2</v>
      </c>
      <c r="S24" s="551">
        <v>1</v>
      </c>
      <c r="T24" s="550">
        <v>1</v>
      </c>
      <c r="U24" s="552">
        <v>1</v>
      </c>
    </row>
    <row r="25" spans="1:21" ht="14.4" customHeight="1" x14ac:dyDescent="0.3">
      <c r="A25" s="545">
        <v>28</v>
      </c>
      <c r="B25" s="546" t="s">
        <v>668</v>
      </c>
      <c r="C25" s="546">
        <v>89301282</v>
      </c>
      <c r="D25" s="547" t="s">
        <v>805</v>
      </c>
      <c r="E25" s="548" t="s">
        <v>695</v>
      </c>
      <c r="F25" s="546" t="s">
        <v>690</v>
      </c>
      <c r="G25" s="546" t="s">
        <v>754</v>
      </c>
      <c r="H25" s="546" t="s">
        <v>633</v>
      </c>
      <c r="I25" s="546" t="s">
        <v>755</v>
      </c>
      <c r="J25" s="546" t="s">
        <v>756</v>
      </c>
      <c r="K25" s="546" t="s">
        <v>757</v>
      </c>
      <c r="L25" s="549">
        <v>413.22</v>
      </c>
      <c r="M25" s="549">
        <v>413.22</v>
      </c>
      <c r="N25" s="546">
        <v>1</v>
      </c>
      <c r="O25" s="550">
        <v>0.5</v>
      </c>
      <c r="P25" s="549"/>
      <c r="Q25" s="551">
        <v>0</v>
      </c>
      <c r="R25" s="546"/>
      <c r="S25" s="551">
        <v>0</v>
      </c>
      <c r="T25" s="550"/>
      <c r="U25" s="552">
        <v>0</v>
      </c>
    </row>
    <row r="26" spans="1:21" ht="14.4" customHeight="1" x14ac:dyDescent="0.3">
      <c r="A26" s="545">
        <v>28</v>
      </c>
      <c r="B26" s="546" t="s">
        <v>668</v>
      </c>
      <c r="C26" s="546">
        <v>89301282</v>
      </c>
      <c r="D26" s="547" t="s">
        <v>805</v>
      </c>
      <c r="E26" s="548" t="s">
        <v>695</v>
      </c>
      <c r="F26" s="546" t="s">
        <v>690</v>
      </c>
      <c r="G26" s="546" t="s">
        <v>754</v>
      </c>
      <c r="H26" s="546" t="s">
        <v>633</v>
      </c>
      <c r="I26" s="546" t="s">
        <v>755</v>
      </c>
      <c r="J26" s="546" t="s">
        <v>756</v>
      </c>
      <c r="K26" s="546" t="s">
        <v>757</v>
      </c>
      <c r="L26" s="549">
        <v>356.47</v>
      </c>
      <c r="M26" s="549">
        <v>1069.4100000000001</v>
      </c>
      <c r="N26" s="546">
        <v>3</v>
      </c>
      <c r="O26" s="550">
        <v>1.5</v>
      </c>
      <c r="P26" s="549"/>
      <c r="Q26" s="551">
        <v>0</v>
      </c>
      <c r="R26" s="546"/>
      <c r="S26" s="551">
        <v>0</v>
      </c>
      <c r="T26" s="550"/>
      <c r="U26" s="552">
        <v>0</v>
      </c>
    </row>
    <row r="27" spans="1:21" ht="14.4" customHeight="1" x14ac:dyDescent="0.3">
      <c r="A27" s="545">
        <v>28</v>
      </c>
      <c r="B27" s="546" t="s">
        <v>668</v>
      </c>
      <c r="C27" s="546">
        <v>89301282</v>
      </c>
      <c r="D27" s="547" t="s">
        <v>805</v>
      </c>
      <c r="E27" s="548" t="s">
        <v>695</v>
      </c>
      <c r="F27" s="546" t="s">
        <v>690</v>
      </c>
      <c r="G27" s="546" t="s">
        <v>758</v>
      </c>
      <c r="H27" s="546" t="s">
        <v>474</v>
      </c>
      <c r="I27" s="546" t="s">
        <v>759</v>
      </c>
      <c r="J27" s="546" t="s">
        <v>760</v>
      </c>
      <c r="K27" s="546" t="s">
        <v>761</v>
      </c>
      <c r="L27" s="549">
        <v>63.67</v>
      </c>
      <c r="M27" s="549">
        <v>636.70000000000005</v>
      </c>
      <c r="N27" s="546">
        <v>10</v>
      </c>
      <c r="O27" s="550">
        <v>4.5</v>
      </c>
      <c r="P27" s="549">
        <v>636.70000000000005</v>
      </c>
      <c r="Q27" s="551">
        <v>1</v>
      </c>
      <c r="R27" s="546">
        <v>10</v>
      </c>
      <c r="S27" s="551">
        <v>1</v>
      </c>
      <c r="T27" s="550">
        <v>4.5</v>
      </c>
      <c r="U27" s="552">
        <v>1</v>
      </c>
    </row>
    <row r="28" spans="1:21" ht="14.4" customHeight="1" x14ac:dyDescent="0.3">
      <c r="A28" s="545">
        <v>28</v>
      </c>
      <c r="B28" s="546" t="s">
        <v>668</v>
      </c>
      <c r="C28" s="546">
        <v>89301282</v>
      </c>
      <c r="D28" s="547" t="s">
        <v>805</v>
      </c>
      <c r="E28" s="548" t="s">
        <v>695</v>
      </c>
      <c r="F28" s="546" t="s">
        <v>690</v>
      </c>
      <c r="G28" s="546" t="s">
        <v>762</v>
      </c>
      <c r="H28" s="546" t="s">
        <v>474</v>
      </c>
      <c r="I28" s="546" t="s">
        <v>763</v>
      </c>
      <c r="J28" s="546" t="s">
        <v>764</v>
      </c>
      <c r="K28" s="546" t="s">
        <v>765</v>
      </c>
      <c r="L28" s="549">
        <v>50.27</v>
      </c>
      <c r="M28" s="549">
        <v>201.08</v>
      </c>
      <c r="N28" s="546">
        <v>4</v>
      </c>
      <c r="O28" s="550">
        <v>1</v>
      </c>
      <c r="P28" s="549">
        <v>100.54</v>
      </c>
      <c r="Q28" s="551">
        <v>0.5</v>
      </c>
      <c r="R28" s="546">
        <v>2</v>
      </c>
      <c r="S28" s="551">
        <v>0.5</v>
      </c>
      <c r="T28" s="550">
        <v>0.5</v>
      </c>
      <c r="U28" s="552">
        <v>0.5</v>
      </c>
    </row>
    <row r="29" spans="1:21" ht="14.4" customHeight="1" x14ac:dyDescent="0.3">
      <c r="A29" s="545">
        <v>28</v>
      </c>
      <c r="B29" s="546" t="s">
        <v>668</v>
      </c>
      <c r="C29" s="546">
        <v>89301282</v>
      </c>
      <c r="D29" s="547" t="s">
        <v>805</v>
      </c>
      <c r="E29" s="548" t="s">
        <v>695</v>
      </c>
      <c r="F29" s="546" t="s">
        <v>690</v>
      </c>
      <c r="G29" s="546" t="s">
        <v>762</v>
      </c>
      <c r="H29" s="546" t="s">
        <v>474</v>
      </c>
      <c r="I29" s="546" t="s">
        <v>766</v>
      </c>
      <c r="J29" s="546" t="s">
        <v>764</v>
      </c>
      <c r="K29" s="546" t="s">
        <v>767</v>
      </c>
      <c r="L29" s="549">
        <v>58.1</v>
      </c>
      <c r="M29" s="549">
        <v>58.1</v>
      </c>
      <c r="N29" s="546">
        <v>1</v>
      </c>
      <c r="O29" s="550">
        <v>0.5</v>
      </c>
      <c r="P29" s="549">
        <v>58.1</v>
      </c>
      <c r="Q29" s="551">
        <v>1</v>
      </c>
      <c r="R29" s="546">
        <v>1</v>
      </c>
      <c r="S29" s="551">
        <v>1</v>
      </c>
      <c r="T29" s="550">
        <v>0.5</v>
      </c>
      <c r="U29" s="552">
        <v>1</v>
      </c>
    </row>
    <row r="30" spans="1:21" ht="14.4" customHeight="1" x14ac:dyDescent="0.3">
      <c r="A30" s="545">
        <v>28</v>
      </c>
      <c r="B30" s="546" t="s">
        <v>668</v>
      </c>
      <c r="C30" s="546">
        <v>89301282</v>
      </c>
      <c r="D30" s="547" t="s">
        <v>805</v>
      </c>
      <c r="E30" s="548" t="s">
        <v>695</v>
      </c>
      <c r="F30" s="546" t="s">
        <v>690</v>
      </c>
      <c r="G30" s="546" t="s">
        <v>768</v>
      </c>
      <c r="H30" s="546" t="s">
        <v>633</v>
      </c>
      <c r="I30" s="546" t="s">
        <v>769</v>
      </c>
      <c r="J30" s="546" t="s">
        <v>770</v>
      </c>
      <c r="K30" s="546" t="s">
        <v>771</v>
      </c>
      <c r="L30" s="549">
        <v>116.8</v>
      </c>
      <c r="M30" s="549">
        <v>467.2</v>
      </c>
      <c r="N30" s="546">
        <v>4</v>
      </c>
      <c r="O30" s="550">
        <v>1</v>
      </c>
      <c r="P30" s="549"/>
      <c r="Q30" s="551">
        <v>0</v>
      </c>
      <c r="R30" s="546"/>
      <c r="S30" s="551">
        <v>0</v>
      </c>
      <c r="T30" s="550"/>
      <c r="U30" s="552">
        <v>0</v>
      </c>
    </row>
    <row r="31" spans="1:21" ht="14.4" customHeight="1" x14ac:dyDescent="0.3">
      <c r="A31" s="545">
        <v>28</v>
      </c>
      <c r="B31" s="546" t="s">
        <v>668</v>
      </c>
      <c r="C31" s="546">
        <v>89301282</v>
      </c>
      <c r="D31" s="547" t="s">
        <v>805</v>
      </c>
      <c r="E31" s="548" t="s">
        <v>695</v>
      </c>
      <c r="F31" s="546" t="s">
        <v>690</v>
      </c>
      <c r="G31" s="546" t="s">
        <v>772</v>
      </c>
      <c r="H31" s="546" t="s">
        <v>474</v>
      </c>
      <c r="I31" s="546" t="s">
        <v>773</v>
      </c>
      <c r="J31" s="546" t="s">
        <v>774</v>
      </c>
      <c r="K31" s="546" t="s">
        <v>775</v>
      </c>
      <c r="L31" s="549">
        <v>0</v>
      </c>
      <c r="M31" s="549">
        <v>0</v>
      </c>
      <c r="N31" s="546">
        <v>2</v>
      </c>
      <c r="O31" s="550">
        <v>0.5</v>
      </c>
      <c r="P31" s="549">
        <v>0</v>
      </c>
      <c r="Q31" s="551"/>
      <c r="R31" s="546">
        <v>2</v>
      </c>
      <c r="S31" s="551">
        <v>1</v>
      </c>
      <c r="T31" s="550">
        <v>0.5</v>
      </c>
      <c r="U31" s="552">
        <v>1</v>
      </c>
    </row>
    <row r="32" spans="1:21" ht="14.4" customHeight="1" x14ac:dyDescent="0.3">
      <c r="A32" s="545">
        <v>28</v>
      </c>
      <c r="B32" s="546" t="s">
        <v>668</v>
      </c>
      <c r="C32" s="546">
        <v>89301282</v>
      </c>
      <c r="D32" s="547" t="s">
        <v>805</v>
      </c>
      <c r="E32" s="548" t="s">
        <v>695</v>
      </c>
      <c r="F32" s="546" t="s">
        <v>690</v>
      </c>
      <c r="G32" s="546" t="s">
        <v>776</v>
      </c>
      <c r="H32" s="546" t="s">
        <v>474</v>
      </c>
      <c r="I32" s="546" t="s">
        <v>777</v>
      </c>
      <c r="J32" s="546" t="s">
        <v>778</v>
      </c>
      <c r="K32" s="546" t="s">
        <v>779</v>
      </c>
      <c r="L32" s="549">
        <v>314.89999999999998</v>
      </c>
      <c r="M32" s="549">
        <v>944.69999999999993</v>
      </c>
      <c r="N32" s="546">
        <v>3</v>
      </c>
      <c r="O32" s="550">
        <v>1</v>
      </c>
      <c r="P32" s="549"/>
      <c r="Q32" s="551">
        <v>0</v>
      </c>
      <c r="R32" s="546"/>
      <c r="S32" s="551">
        <v>0</v>
      </c>
      <c r="T32" s="550"/>
      <c r="U32" s="552">
        <v>0</v>
      </c>
    </row>
    <row r="33" spans="1:21" ht="14.4" customHeight="1" x14ac:dyDescent="0.3">
      <c r="A33" s="545">
        <v>28</v>
      </c>
      <c r="B33" s="546" t="s">
        <v>668</v>
      </c>
      <c r="C33" s="546">
        <v>89301282</v>
      </c>
      <c r="D33" s="547" t="s">
        <v>805</v>
      </c>
      <c r="E33" s="548" t="s">
        <v>695</v>
      </c>
      <c r="F33" s="546" t="s">
        <v>690</v>
      </c>
      <c r="G33" s="546" t="s">
        <v>776</v>
      </c>
      <c r="H33" s="546" t="s">
        <v>474</v>
      </c>
      <c r="I33" s="546" t="s">
        <v>780</v>
      </c>
      <c r="J33" s="546" t="s">
        <v>781</v>
      </c>
      <c r="K33" s="546" t="s">
        <v>782</v>
      </c>
      <c r="L33" s="549">
        <v>0</v>
      </c>
      <c r="M33" s="549">
        <v>0</v>
      </c>
      <c r="N33" s="546">
        <v>1</v>
      </c>
      <c r="O33" s="550">
        <v>0.5</v>
      </c>
      <c r="P33" s="549"/>
      <c r="Q33" s="551"/>
      <c r="R33" s="546"/>
      <c r="S33" s="551">
        <v>0</v>
      </c>
      <c r="T33" s="550"/>
      <c r="U33" s="552">
        <v>0</v>
      </c>
    </row>
    <row r="34" spans="1:21" ht="14.4" customHeight="1" x14ac:dyDescent="0.3">
      <c r="A34" s="545">
        <v>28</v>
      </c>
      <c r="B34" s="546" t="s">
        <v>668</v>
      </c>
      <c r="C34" s="546">
        <v>89301282</v>
      </c>
      <c r="D34" s="547" t="s">
        <v>805</v>
      </c>
      <c r="E34" s="548" t="s">
        <v>695</v>
      </c>
      <c r="F34" s="546" t="s">
        <v>690</v>
      </c>
      <c r="G34" s="546" t="s">
        <v>776</v>
      </c>
      <c r="H34" s="546" t="s">
        <v>474</v>
      </c>
      <c r="I34" s="546" t="s">
        <v>783</v>
      </c>
      <c r="J34" s="546" t="s">
        <v>784</v>
      </c>
      <c r="K34" s="546" t="s">
        <v>785</v>
      </c>
      <c r="L34" s="549">
        <v>314.89999999999998</v>
      </c>
      <c r="M34" s="549">
        <v>314.89999999999998</v>
      </c>
      <c r="N34" s="546">
        <v>1</v>
      </c>
      <c r="O34" s="550">
        <v>0.5</v>
      </c>
      <c r="P34" s="549"/>
      <c r="Q34" s="551">
        <v>0</v>
      </c>
      <c r="R34" s="546"/>
      <c r="S34" s="551">
        <v>0</v>
      </c>
      <c r="T34" s="550"/>
      <c r="U34" s="552">
        <v>0</v>
      </c>
    </row>
    <row r="35" spans="1:21" ht="14.4" customHeight="1" x14ac:dyDescent="0.3">
      <c r="A35" s="545">
        <v>28</v>
      </c>
      <c r="B35" s="546" t="s">
        <v>668</v>
      </c>
      <c r="C35" s="546">
        <v>89301282</v>
      </c>
      <c r="D35" s="547" t="s">
        <v>805</v>
      </c>
      <c r="E35" s="548" t="s">
        <v>695</v>
      </c>
      <c r="F35" s="546" t="s">
        <v>690</v>
      </c>
      <c r="G35" s="546" t="s">
        <v>786</v>
      </c>
      <c r="H35" s="546" t="s">
        <v>633</v>
      </c>
      <c r="I35" s="546" t="s">
        <v>787</v>
      </c>
      <c r="J35" s="546" t="s">
        <v>788</v>
      </c>
      <c r="K35" s="546" t="s">
        <v>749</v>
      </c>
      <c r="L35" s="549">
        <v>130.59</v>
      </c>
      <c r="M35" s="549">
        <v>783.54000000000008</v>
      </c>
      <c r="N35" s="546">
        <v>6</v>
      </c>
      <c r="O35" s="550">
        <v>3</v>
      </c>
      <c r="P35" s="549">
        <v>652.95000000000005</v>
      </c>
      <c r="Q35" s="551">
        <v>0.83333333333333326</v>
      </c>
      <c r="R35" s="546">
        <v>5</v>
      </c>
      <c r="S35" s="551">
        <v>0.83333333333333337</v>
      </c>
      <c r="T35" s="550">
        <v>2</v>
      </c>
      <c r="U35" s="552">
        <v>0.66666666666666663</v>
      </c>
    </row>
    <row r="36" spans="1:21" ht="14.4" customHeight="1" x14ac:dyDescent="0.3">
      <c r="A36" s="545">
        <v>28</v>
      </c>
      <c r="B36" s="546" t="s">
        <v>668</v>
      </c>
      <c r="C36" s="546">
        <v>89301282</v>
      </c>
      <c r="D36" s="547" t="s">
        <v>805</v>
      </c>
      <c r="E36" s="548" t="s">
        <v>695</v>
      </c>
      <c r="F36" s="546" t="s">
        <v>690</v>
      </c>
      <c r="G36" s="546" t="s">
        <v>786</v>
      </c>
      <c r="H36" s="546" t="s">
        <v>633</v>
      </c>
      <c r="I36" s="546" t="s">
        <v>789</v>
      </c>
      <c r="J36" s="546" t="s">
        <v>788</v>
      </c>
      <c r="K36" s="546" t="s">
        <v>757</v>
      </c>
      <c r="L36" s="549">
        <v>391.77</v>
      </c>
      <c r="M36" s="549">
        <v>783.54</v>
      </c>
      <c r="N36" s="546">
        <v>2</v>
      </c>
      <c r="O36" s="550">
        <v>2</v>
      </c>
      <c r="P36" s="549">
        <v>391.77</v>
      </c>
      <c r="Q36" s="551">
        <v>0.5</v>
      </c>
      <c r="R36" s="546">
        <v>1</v>
      </c>
      <c r="S36" s="551">
        <v>0.5</v>
      </c>
      <c r="T36" s="550">
        <v>1</v>
      </c>
      <c r="U36" s="552">
        <v>0.5</v>
      </c>
    </row>
    <row r="37" spans="1:21" ht="14.4" customHeight="1" x14ac:dyDescent="0.3">
      <c r="A37" s="545">
        <v>28</v>
      </c>
      <c r="B37" s="546" t="s">
        <v>668</v>
      </c>
      <c r="C37" s="546">
        <v>89301282</v>
      </c>
      <c r="D37" s="547" t="s">
        <v>805</v>
      </c>
      <c r="E37" s="548" t="s">
        <v>695</v>
      </c>
      <c r="F37" s="546" t="s">
        <v>690</v>
      </c>
      <c r="G37" s="546" t="s">
        <v>786</v>
      </c>
      <c r="H37" s="546" t="s">
        <v>633</v>
      </c>
      <c r="I37" s="546" t="s">
        <v>790</v>
      </c>
      <c r="J37" s="546" t="s">
        <v>791</v>
      </c>
      <c r="K37" s="546" t="s">
        <v>792</v>
      </c>
      <c r="L37" s="549">
        <v>605.65</v>
      </c>
      <c r="M37" s="549">
        <v>605.65</v>
      </c>
      <c r="N37" s="546">
        <v>1</v>
      </c>
      <c r="O37" s="550">
        <v>1</v>
      </c>
      <c r="P37" s="549"/>
      <c r="Q37" s="551">
        <v>0</v>
      </c>
      <c r="R37" s="546"/>
      <c r="S37" s="551">
        <v>0</v>
      </c>
      <c r="T37" s="550"/>
      <c r="U37" s="552">
        <v>0</v>
      </c>
    </row>
    <row r="38" spans="1:21" ht="14.4" customHeight="1" x14ac:dyDescent="0.3">
      <c r="A38" s="545">
        <v>28</v>
      </c>
      <c r="B38" s="546" t="s">
        <v>668</v>
      </c>
      <c r="C38" s="546">
        <v>89301282</v>
      </c>
      <c r="D38" s="547" t="s">
        <v>805</v>
      </c>
      <c r="E38" s="548" t="s">
        <v>695</v>
      </c>
      <c r="F38" s="546" t="s">
        <v>690</v>
      </c>
      <c r="G38" s="546" t="s">
        <v>793</v>
      </c>
      <c r="H38" s="546" t="s">
        <v>633</v>
      </c>
      <c r="I38" s="546" t="s">
        <v>794</v>
      </c>
      <c r="J38" s="546" t="s">
        <v>795</v>
      </c>
      <c r="K38" s="546" t="s">
        <v>796</v>
      </c>
      <c r="L38" s="549">
        <v>678.26</v>
      </c>
      <c r="M38" s="549">
        <v>4069.56</v>
      </c>
      <c r="N38" s="546">
        <v>6</v>
      </c>
      <c r="O38" s="550">
        <v>0.5</v>
      </c>
      <c r="P38" s="549"/>
      <c r="Q38" s="551">
        <v>0</v>
      </c>
      <c r="R38" s="546"/>
      <c r="S38" s="551">
        <v>0</v>
      </c>
      <c r="T38" s="550"/>
      <c r="U38" s="552">
        <v>0</v>
      </c>
    </row>
    <row r="39" spans="1:21" ht="14.4" customHeight="1" x14ac:dyDescent="0.3">
      <c r="A39" s="545">
        <v>28</v>
      </c>
      <c r="B39" s="546" t="s">
        <v>668</v>
      </c>
      <c r="C39" s="546">
        <v>89301282</v>
      </c>
      <c r="D39" s="547" t="s">
        <v>805</v>
      </c>
      <c r="E39" s="548" t="s">
        <v>695</v>
      </c>
      <c r="F39" s="546" t="s">
        <v>690</v>
      </c>
      <c r="G39" s="546" t="s">
        <v>793</v>
      </c>
      <c r="H39" s="546" t="s">
        <v>633</v>
      </c>
      <c r="I39" s="546" t="s">
        <v>794</v>
      </c>
      <c r="J39" s="546" t="s">
        <v>795</v>
      </c>
      <c r="K39" s="546" t="s">
        <v>796</v>
      </c>
      <c r="L39" s="549">
        <v>276</v>
      </c>
      <c r="M39" s="549">
        <v>4416</v>
      </c>
      <c r="N39" s="546">
        <v>16</v>
      </c>
      <c r="O39" s="550">
        <v>4</v>
      </c>
      <c r="P39" s="549"/>
      <c r="Q39" s="551">
        <v>0</v>
      </c>
      <c r="R39" s="546"/>
      <c r="S39" s="551">
        <v>0</v>
      </c>
      <c r="T39" s="550"/>
      <c r="U39" s="552">
        <v>0</v>
      </c>
    </row>
    <row r="40" spans="1:21" ht="14.4" customHeight="1" x14ac:dyDescent="0.3">
      <c r="A40" s="545">
        <v>28</v>
      </c>
      <c r="B40" s="546" t="s">
        <v>668</v>
      </c>
      <c r="C40" s="546">
        <v>89301282</v>
      </c>
      <c r="D40" s="547" t="s">
        <v>805</v>
      </c>
      <c r="E40" s="548" t="s">
        <v>695</v>
      </c>
      <c r="F40" s="546" t="s">
        <v>690</v>
      </c>
      <c r="G40" s="546" t="s">
        <v>797</v>
      </c>
      <c r="H40" s="546" t="s">
        <v>633</v>
      </c>
      <c r="I40" s="546" t="s">
        <v>798</v>
      </c>
      <c r="J40" s="546" t="s">
        <v>799</v>
      </c>
      <c r="K40" s="546" t="s">
        <v>800</v>
      </c>
      <c r="L40" s="549">
        <v>314.33999999999997</v>
      </c>
      <c r="M40" s="549">
        <v>628.67999999999995</v>
      </c>
      <c r="N40" s="546">
        <v>2</v>
      </c>
      <c r="O40" s="550">
        <v>1.5</v>
      </c>
      <c r="P40" s="549"/>
      <c r="Q40" s="551">
        <v>0</v>
      </c>
      <c r="R40" s="546"/>
      <c r="S40" s="551">
        <v>0</v>
      </c>
      <c r="T40" s="550"/>
      <c r="U40" s="552">
        <v>0</v>
      </c>
    </row>
    <row r="41" spans="1:21" ht="14.4" customHeight="1" thickBot="1" x14ac:dyDescent="0.35">
      <c r="A41" s="553">
        <v>28</v>
      </c>
      <c r="B41" s="554" t="s">
        <v>668</v>
      </c>
      <c r="C41" s="554">
        <v>89301282</v>
      </c>
      <c r="D41" s="555" t="s">
        <v>805</v>
      </c>
      <c r="E41" s="556" t="s">
        <v>696</v>
      </c>
      <c r="F41" s="554" t="s">
        <v>690</v>
      </c>
      <c r="G41" s="554" t="s">
        <v>801</v>
      </c>
      <c r="H41" s="554" t="s">
        <v>474</v>
      </c>
      <c r="I41" s="554" t="s">
        <v>802</v>
      </c>
      <c r="J41" s="554" t="s">
        <v>803</v>
      </c>
      <c r="K41" s="554" t="s">
        <v>804</v>
      </c>
      <c r="L41" s="557">
        <v>0</v>
      </c>
      <c r="M41" s="557">
        <v>0</v>
      </c>
      <c r="N41" s="554">
        <v>1</v>
      </c>
      <c r="O41" s="558">
        <v>1</v>
      </c>
      <c r="P41" s="557"/>
      <c r="Q41" s="559"/>
      <c r="R41" s="554"/>
      <c r="S41" s="559">
        <v>0</v>
      </c>
      <c r="T41" s="558"/>
      <c r="U41" s="560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21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8" customWidth="1"/>
    <col min="3" max="3" width="5.5546875" style="211" customWidth="1"/>
    <col min="4" max="4" width="10" style="208" customWidth="1"/>
    <col min="5" max="5" width="5.5546875" style="211" customWidth="1"/>
    <col min="6" max="6" width="10" style="208" customWidth="1"/>
    <col min="7" max="7" width="8.88671875" style="130" customWidth="1"/>
    <col min="8" max="16384" width="8.88671875" style="130"/>
  </cols>
  <sheetData>
    <row r="1" spans="1:6" ht="37.799999999999997" customHeight="1" thickBot="1" x14ac:dyDescent="0.4">
      <c r="A1" s="362" t="s">
        <v>807</v>
      </c>
      <c r="B1" s="363"/>
      <c r="C1" s="363"/>
      <c r="D1" s="363"/>
      <c r="E1" s="363"/>
      <c r="F1" s="363"/>
    </row>
    <row r="2" spans="1:6" ht="14.4" customHeight="1" thickBot="1" x14ac:dyDescent="0.35">
      <c r="A2" s="235" t="s">
        <v>281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4" t="s">
        <v>131</v>
      </c>
      <c r="C3" s="365"/>
      <c r="D3" s="366" t="s">
        <v>130</v>
      </c>
      <c r="E3" s="365"/>
      <c r="F3" s="80" t="s">
        <v>3</v>
      </c>
    </row>
    <row r="4" spans="1:6" ht="14.4" customHeight="1" thickBot="1" x14ac:dyDescent="0.35">
      <c r="A4" s="561" t="s">
        <v>189</v>
      </c>
      <c r="B4" s="476" t="s">
        <v>14</v>
      </c>
      <c r="C4" s="477" t="s">
        <v>2</v>
      </c>
      <c r="D4" s="476" t="s">
        <v>14</v>
      </c>
      <c r="E4" s="477" t="s">
        <v>2</v>
      </c>
      <c r="F4" s="478" t="s">
        <v>14</v>
      </c>
    </row>
    <row r="5" spans="1:6" ht="14.4" customHeight="1" x14ac:dyDescent="0.3">
      <c r="A5" s="570" t="s">
        <v>695</v>
      </c>
      <c r="B5" s="116"/>
      <c r="C5" s="544">
        <v>0</v>
      </c>
      <c r="D5" s="116">
        <v>14926.609999999995</v>
      </c>
      <c r="E5" s="544">
        <v>1</v>
      </c>
      <c r="F5" s="562">
        <v>14926.609999999995</v>
      </c>
    </row>
    <row r="6" spans="1:6" ht="14.4" customHeight="1" thickBot="1" x14ac:dyDescent="0.35">
      <c r="A6" s="571" t="s">
        <v>694</v>
      </c>
      <c r="B6" s="567"/>
      <c r="C6" s="568">
        <v>0</v>
      </c>
      <c r="D6" s="567">
        <v>313.24</v>
      </c>
      <c r="E6" s="568">
        <v>1</v>
      </c>
      <c r="F6" s="569">
        <v>313.24</v>
      </c>
    </row>
    <row r="7" spans="1:6" ht="14.4" customHeight="1" thickBot="1" x14ac:dyDescent="0.35">
      <c r="A7" s="482" t="s">
        <v>3</v>
      </c>
      <c r="B7" s="483"/>
      <c r="C7" s="484">
        <v>0</v>
      </c>
      <c r="D7" s="483">
        <v>15239.849999999995</v>
      </c>
      <c r="E7" s="484">
        <v>1</v>
      </c>
      <c r="F7" s="485">
        <v>15239.849999999995</v>
      </c>
    </row>
    <row r="8" spans="1:6" ht="14.4" customHeight="1" thickBot="1" x14ac:dyDescent="0.35"/>
    <row r="9" spans="1:6" ht="14.4" customHeight="1" x14ac:dyDescent="0.3">
      <c r="A9" s="570" t="s">
        <v>808</v>
      </c>
      <c r="B9" s="116"/>
      <c r="C9" s="544">
        <v>0</v>
      </c>
      <c r="D9" s="116">
        <v>35.380000000000003</v>
      </c>
      <c r="E9" s="544">
        <v>1</v>
      </c>
      <c r="F9" s="562">
        <v>35.380000000000003</v>
      </c>
    </row>
    <row r="10" spans="1:6" ht="14.4" customHeight="1" x14ac:dyDescent="0.3">
      <c r="A10" s="572" t="s">
        <v>809</v>
      </c>
      <c r="B10" s="563"/>
      <c r="C10" s="551">
        <v>0</v>
      </c>
      <c r="D10" s="563">
        <v>1482.63</v>
      </c>
      <c r="E10" s="551">
        <v>1</v>
      </c>
      <c r="F10" s="564">
        <v>1482.63</v>
      </c>
    </row>
    <row r="11" spans="1:6" ht="14.4" customHeight="1" x14ac:dyDescent="0.3">
      <c r="A11" s="572" t="s">
        <v>810</v>
      </c>
      <c r="B11" s="563"/>
      <c r="C11" s="551"/>
      <c r="D11" s="563">
        <v>0</v>
      </c>
      <c r="E11" s="551"/>
      <c r="F11" s="564">
        <v>0</v>
      </c>
    </row>
    <row r="12" spans="1:6" ht="14.4" customHeight="1" x14ac:dyDescent="0.3">
      <c r="A12" s="572" t="s">
        <v>811</v>
      </c>
      <c r="B12" s="563"/>
      <c r="C12" s="551">
        <v>0</v>
      </c>
      <c r="D12" s="563">
        <v>2172.73</v>
      </c>
      <c r="E12" s="551">
        <v>1</v>
      </c>
      <c r="F12" s="564">
        <v>2172.73</v>
      </c>
    </row>
    <row r="13" spans="1:6" ht="14.4" customHeight="1" x14ac:dyDescent="0.3">
      <c r="A13" s="572" t="s">
        <v>812</v>
      </c>
      <c r="B13" s="563"/>
      <c r="C13" s="551">
        <v>0</v>
      </c>
      <c r="D13" s="563">
        <v>628.67999999999995</v>
      </c>
      <c r="E13" s="551">
        <v>1</v>
      </c>
      <c r="F13" s="564">
        <v>628.67999999999995</v>
      </c>
    </row>
    <row r="14" spans="1:6" ht="14.4" customHeight="1" x14ac:dyDescent="0.3">
      <c r="A14" s="572" t="s">
        <v>813</v>
      </c>
      <c r="B14" s="563"/>
      <c r="C14" s="551">
        <v>0</v>
      </c>
      <c r="D14" s="563">
        <v>333.31</v>
      </c>
      <c r="E14" s="551">
        <v>1</v>
      </c>
      <c r="F14" s="564">
        <v>333.31</v>
      </c>
    </row>
    <row r="15" spans="1:6" ht="14.4" customHeight="1" x14ac:dyDescent="0.3">
      <c r="A15" s="572" t="s">
        <v>814</v>
      </c>
      <c r="B15" s="563"/>
      <c r="C15" s="551">
        <v>0</v>
      </c>
      <c r="D15" s="563">
        <v>8485.56</v>
      </c>
      <c r="E15" s="551">
        <v>1</v>
      </c>
      <c r="F15" s="564">
        <v>8485.56</v>
      </c>
    </row>
    <row r="16" spans="1:6" ht="14.4" customHeight="1" x14ac:dyDescent="0.3">
      <c r="A16" s="572" t="s">
        <v>815</v>
      </c>
      <c r="B16" s="563"/>
      <c r="C16" s="551">
        <v>0</v>
      </c>
      <c r="D16" s="563">
        <v>276.32</v>
      </c>
      <c r="E16" s="551">
        <v>1</v>
      </c>
      <c r="F16" s="564">
        <v>276.32</v>
      </c>
    </row>
    <row r="17" spans="1:6" ht="14.4" customHeight="1" x14ac:dyDescent="0.3">
      <c r="A17" s="572" t="s">
        <v>673</v>
      </c>
      <c r="B17" s="563"/>
      <c r="C17" s="551">
        <v>0</v>
      </c>
      <c r="D17" s="563">
        <v>90.99</v>
      </c>
      <c r="E17" s="551">
        <v>1</v>
      </c>
      <c r="F17" s="564">
        <v>90.99</v>
      </c>
    </row>
    <row r="18" spans="1:6" ht="14.4" customHeight="1" x14ac:dyDescent="0.3">
      <c r="A18" s="572" t="s">
        <v>816</v>
      </c>
      <c r="B18" s="563"/>
      <c r="C18" s="551">
        <v>0</v>
      </c>
      <c r="D18" s="563">
        <v>467.2</v>
      </c>
      <c r="E18" s="551">
        <v>1</v>
      </c>
      <c r="F18" s="564">
        <v>467.2</v>
      </c>
    </row>
    <row r="19" spans="1:6" ht="14.4" customHeight="1" x14ac:dyDescent="0.3">
      <c r="A19" s="572" t="s">
        <v>817</v>
      </c>
      <c r="B19" s="563"/>
      <c r="C19" s="551">
        <v>0</v>
      </c>
      <c r="D19" s="563">
        <v>1044.8</v>
      </c>
      <c r="E19" s="551">
        <v>1</v>
      </c>
      <c r="F19" s="564">
        <v>1044.8</v>
      </c>
    </row>
    <row r="20" spans="1:6" ht="14.4" customHeight="1" thickBot="1" x14ac:dyDescent="0.35">
      <c r="A20" s="571" t="s">
        <v>818</v>
      </c>
      <c r="B20" s="567"/>
      <c r="C20" s="568">
        <v>0</v>
      </c>
      <c r="D20" s="567">
        <v>222.25</v>
      </c>
      <c r="E20" s="568">
        <v>1</v>
      </c>
      <c r="F20" s="569">
        <v>222.25</v>
      </c>
    </row>
    <row r="21" spans="1:6" ht="14.4" customHeight="1" thickBot="1" x14ac:dyDescent="0.35">
      <c r="A21" s="482" t="s">
        <v>3</v>
      </c>
      <c r="B21" s="483"/>
      <c r="C21" s="484">
        <v>0</v>
      </c>
      <c r="D21" s="483">
        <v>15239.849999999999</v>
      </c>
      <c r="E21" s="484">
        <v>1</v>
      </c>
      <c r="F21" s="485">
        <v>15239.849999999999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6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{7BBC1F44-E781-41B3-A1A1-20855DDD7199}</x14:id>
        </ext>
      </extLst>
    </cfRule>
  </conditionalFormatting>
  <conditionalFormatting sqref="F9:F20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{D79E1284-D73A-4E10-B045-12F843CE409C}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BBC1F44-E781-41B3-A1A1-20855DDD71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F5:F6</xm:sqref>
        </x14:conditionalFormatting>
        <x14:conditionalFormatting xmlns:xm="http://schemas.microsoft.com/office/excel/2006/main">
          <x14:cfRule type="dataBar" id="{D79E1284-D73A-4E10-B045-12F843CE409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F9:F20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0" customWidth="1"/>
    <col min="2" max="2" width="8.88671875" style="130" bestFit="1" customWidth="1"/>
    <col min="3" max="3" width="7" style="130" bestFit="1" customWidth="1"/>
    <col min="4" max="5" width="22.21875" style="130" customWidth="1"/>
    <col min="6" max="6" width="6.6640625" style="208" customWidth="1"/>
    <col min="7" max="7" width="10" style="208" customWidth="1"/>
    <col min="8" max="8" width="6.77734375" style="211" customWidth="1"/>
    <col min="9" max="9" width="6.6640625" style="208" customWidth="1"/>
    <col min="10" max="10" width="10" style="208" customWidth="1"/>
    <col min="11" max="11" width="6.77734375" style="211" customWidth="1"/>
    <col min="12" max="12" width="6.6640625" style="208" customWidth="1"/>
    <col min="13" max="13" width="10" style="208" customWidth="1"/>
    <col min="14" max="16384" width="8.88671875" style="130"/>
  </cols>
  <sheetData>
    <row r="1" spans="1:13" ht="18.600000000000001" customHeight="1" thickBot="1" x14ac:dyDescent="0.4">
      <c r="A1" s="363" t="s">
        <v>830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25"/>
      <c r="M1" s="325"/>
    </row>
    <row r="2" spans="1:13" ht="14.4" customHeight="1" thickBot="1" x14ac:dyDescent="0.35">
      <c r="A2" s="235" t="s">
        <v>281</v>
      </c>
      <c r="B2" s="207"/>
      <c r="C2" s="207"/>
      <c r="D2" s="207"/>
      <c r="E2" s="207"/>
      <c r="F2" s="215"/>
      <c r="G2" s="215"/>
      <c r="H2" s="216"/>
      <c r="I2" s="215"/>
      <c r="J2" s="215"/>
      <c r="K2" s="216"/>
      <c r="L2" s="215"/>
    </row>
    <row r="3" spans="1:13" ht="14.4" customHeight="1" thickBot="1" x14ac:dyDescent="0.35">
      <c r="E3" s="79" t="s">
        <v>129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67</v>
      </c>
      <c r="J3" s="43">
        <f>SUBTOTAL(9,J6:J1048576)</f>
        <v>15239.849999999999</v>
      </c>
      <c r="K3" s="44">
        <f>IF(M3=0,0,J3/M3)</f>
        <v>1</v>
      </c>
      <c r="L3" s="43">
        <f>SUBTOTAL(9,L6:L1048576)</f>
        <v>67</v>
      </c>
      <c r="M3" s="45">
        <f>SUBTOTAL(9,M6:M1048576)</f>
        <v>15239.849999999999</v>
      </c>
    </row>
    <row r="4" spans="1:13" ht="14.4" customHeight="1" thickBot="1" x14ac:dyDescent="0.35">
      <c r="A4" s="41"/>
      <c r="B4" s="41"/>
      <c r="C4" s="41"/>
      <c r="D4" s="41"/>
      <c r="E4" s="42"/>
      <c r="F4" s="367" t="s">
        <v>131</v>
      </c>
      <c r="G4" s="368"/>
      <c r="H4" s="369"/>
      <c r="I4" s="370" t="s">
        <v>130</v>
      </c>
      <c r="J4" s="368"/>
      <c r="K4" s="369"/>
      <c r="L4" s="371" t="s">
        <v>3</v>
      </c>
      <c r="M4" s="372"/>
    </row>
    <row r="5" spans="1:13" ht="14.4" customHeight="1" thickBot="1" x14ac:dyDescent="0.35">
      <c r="A5" s="561" t="s">
        <v>137</v>
      </c>
      <c r="B5" s="573" t="s">
        <v>133</v>
      </c>
      <c r="C5" s="573" t="s">
        <v>71</v>
      </c>
      <c r="D5" s="573" t="s">
        <v>134</v>
      </c>
      <c r="E5" s="573" t="s">
        <v>135</v>
      </c>
      <c r="F5" s="496" t="s">
        <v>28</v>
      </c>
      <c r="G5" s="496" t="s">
        <v>14</v>
      </c>
      <c r="H5" s="477" t="s">
        <v>136</v>
      </c>
      <c r="I5" s="476" t="s">
        <v>28</v>
      </c>
      <c r="J5" s="496" t="s">
        <v>14</v>
      </c>
      <c r="K5" s="477" t="s">
        <v>136</v>
      </c>
      <c r="L5" s="476" t="s">
        <v>28</v>
      </c>
      <c r="M5" s="497" t="s">
        <v>14</v>
      </c>
    </row>
    <row r="6" spans="1:13" ht="14.4" customHeight="1" x14ac:dyDescent="0.3">
      <c r="A6" s="538" t="s">
        <v>694</v>
      </c>
      <c r="B6" s="539" t="s">
        <v>819</v>
      </c>
      <c r="C6" s="539" t="s">
        <v>710</v>
      </c>
      <c r="D6" s="539" t="s">
        <v>711</v>
      </c>
      <c r="E6" s="539" t="s">
        <v>712</v>
      </c>
      <c r="F6" s="116"/>
      <c r="G6" s="116"/>
      <c r="H6" s="544">
        <v>0</v>
      </c>
      <c r="I6" s="116">
        <v>1</v>
      </c>
      <c r="J6" s="116">
        <v>222.25</v>
      </c>
      <c r="K6" s="544">
        <v>1</v>
      </c>
      <c r="L6" s="116">
        <v>1</v>
      </c>
      <c r="M6" s="562">
        <v>222.25</v>
      </c>
    </row>
    <row r="7" spans="1:13" ht="14.4" customHeight="1" x14ac:dyDescent="0.3">
      <c r="A7" s="545" t="s">
        <v>694</v>
      </c>
      <c r="B7" s="546" t="s">
        <v>820</v>
      </c>
      <c r="C7" s="546" t="s">
        <v>734</v>
      </c>
      <c r="D7" s="546" t="s">
        <v>735</v>
      </c>
      <c r="E7" s="546" t="s">
        <v>736</v>
      </c>
      <c r="F7" s="563"/>
      <c r="G7" s="563"/>
      <c r="H7" s="551"/>
      <c r="I7" s="563">
        <v>1</v>
      </c>
      <c r="J7" s="563">
        <v>0</v>
      </c>
      <c r="K7" s="551"/>
      <c r="L7" s="563">
        <v>1</v>
      </c>
      <c r="M7" s="564">
        <v>0</v>
      </c>
    </row>
    <row r="8" spans="1:13" ht="14.4" customHeight="1" x14ac:dyDescent="0.3">
      <c r="A8" s="545" t="s">
        <v>694</v>
      </c>
      <c r="B8" s="546" t="s">
        <v>684</v>
      </c>
      <c r="C8" s="546" t="s">
        <v>730</v>
      </c>
      <c r="D8" s="546" t="s">
        <v>731</v>
      </c>
      <c r="E8" s="546" t="s">
        <v>732</v>
      </c>
      <c r="F8" s="563"/>
      <c r="G8" s="563"/>
      <c r="H8" s="551">
        <v>0</v>
      </c>
      <c r="I8" s="563">
        <v>3</v>
      </c>
      <c r="J8" s="563">
        <v>90.99</v>
      </c>
      <c r="K8" s="551">
        <v>1</v>
      </c>
      <c r="L8" s="563">
        <v>3</v>
      </c>
      <c r="M8" s="564">
        <v>90.99</v>
      </c>
    </row>
    <row r="9" spans="1:13" ht="14.4" customHeight="1" x14ac:dyDescent="0.3">
      <c r="A9" s="545" t="s">
        <v>695</v>
      </c>
      <c r="B9" s="546" t="s">
        <v>821</v>
      </c>
      <c r="C9" s="546" t="s">
        <v>747</v>
      </c>
      <c r="D9" s="546" t="s">
        <v>748</v>
      </c>
      <c r="E9" s="546" t="s">
        <v>749</v>
      </c>
      <c r="F9" s="563"/>
      <c r="G9" s="563"/>
      <c r="H9" s="551">
        <v>0</v>
      </c>
      <c r="I9" s="563">
        <v>16</v>
      </c>
      <c r="J9" s="563">
        <v>1044.8</v>
      </c>
      <c r="K9" s="551">
        <v>1</v>
      </c>
      <c r="L9" s="563">
        <v>16</v>
      </c>
      <c r="M9" s="564">
        <v>1044.8</v>
      </c>
    </row>
    <row r="10" spans="1:13" ht="14.4" customHeight="1" x14ac:dyDescent="0.3">
      <c r="A10" s="545" t="s">
        <v>695</v>
      </c>
      <c r="B10" s="546" t="s">
        <v>822</v>
      </c>
      <c r="C10" s="546" t="s">
        <v>787</v>
      </c>
      <c r="D10" s="546" t="s">
        <v>788</v>
      </c>
      <c r="E10" s="546" t="s">
        <v>749</v>
      </c>
      <c r="F10" s="563"/>
      <c r="G10" s="563"/>
      <c r="H10" s="551">
        <v>0</v>
      </c>
      <c r="I10" s="563">
        <v>6</v>
      </c>
      <c r="J10" s="563">
        <v>783.54</v>
      </c>
      <c r="K10" s="551">
        <v>1</v>
      </c>
      <c r="L10" s="563">
        <v>6</v>
      </c>
      <c r="M10" s="564">
        <v>783.54</v>
      </c>
    </row>
    <row r="11" spans="1:13" ht="14.4" customHeight="1" x14ac:dyDescent="0.3">
      <c r="A11" s="545" t="s">
        <v>695</v>
      </c>
      <c r="B11" s="546" t="s">
        <v>822</v>
      </c>
      <c r="C11" s="546" t="s">
        <v>789</v>
      </c>
      <c r="D11" s="546" t="s">
        <v>788</v>
      </c>
      <c r="E11" s="546" t="s">
        <v>757</v>
      </c>
      <c r="F11" s="563"/>
      <c r="G11" s="563"/>
      <c r="H11" s="551">
        <v>0</v>
      </c>
      <c r="I11" s="563">
        <v>2</v>
      </c>
      <c r="J11" s="563">
        <v>783.54</v>
      </c>
      <c r="K11" s="551">
        <v>1</v>
      </c>
      <c r="L11" s="563">
        <v>2</v>
      </c>
      <c r="M11" s="564">
        <v>783.54</v>
      </c>
    </row>
    <row r="12" spans="1:13" ht="14.4" customHeight="1" x14ac:dyDescent="0.3">
      <c r="A12" s="545" t="s">
        <v>695</v>
      </c>
      <c r="B12" s="546" t="s">
        <v>822</v>
      </c>
      <c r="C12" s="546" t="s">
        <v>790</v>
      </c>
      <c r="D12" s="546" t="s">
        <v>791</v>
      </c>
      <c r="E12" s="546" t="s">
        <v>792</v>
      </c>
      <c r="F12" s="563"/>
      <c r="G12" s="563"/>
      <c r="H12" s="551">
        <v>0</v>
      </c>
      <c r="I12" s="563">
        <v>1</v>
      </c>
      <c r="J12" s="563">
        <v>605.65</v>
      </c>
      <c r="K12" s="551">
        <v>1</v>
      </c>
      <c r="L12" s="563">
        <v>1</v>
      </c>
      <c r="M12" s="564">
        <v>605.65</v>
      </c>
    </row>
    <row r="13" spans="1:13" ht="14.4" customHeight="1" x14ac:dyDescent="0.3">
      <c r="A13" s="545" t="s">
        <v>695</v>
      </c>
      <c r="B13" s="546" t="s">
        <v>823</v>
      </c>
      <c r="C13" s="546" t="s">
        <v>745</v>
      </c>
      <c r="D13" s="546" t="s">
        <v>707</v>
      </c>
      <c r="E13" s="546" t="s">
        <v>744</v>
      </c>
      <c r="F13" s="563"/>
      <c r="G13" s="563"/>
      <c r="H13" s="551">
        <v>0</v>
      </c>
      <c r="I13" s="563">
        <v>1</v>
      </c>
      <c r="J13" s="563">
        <v>333.31</v>
      </c>
      <c r="K13" s="551">
        <v>1</v>
      </c>
      <c r="L13" s="563">
        <v>1</v>
      </c>
      <c r="M13" s="564">
        <v>333.31</v>
      </c>
    </row>
    <row r="14" spans="1:13" ht="14.4" customHeight="1" x14ac:dyDescent="0.3">
      <c r="A14" s="545" t="s">
        <v>695</v>
      </c>
      <c r="B14" s="546" t="s">
        <v>824</v>
      </c>
      <c r="C14" s="546" t="s">
        <v>751</v>
      </c>
      <c r="D14" s="546" t="s">
        <v>752</v>
      </c>
      <c r="E14" s="546" t="s">
        <v>753</v>
      </c>
      <c r="F14" s="563"/>
      <c r="G14" s="563"/>
      <c r="H14" s="551">
        <v>0</v>
      </c>
      <c r="I14" s="563">
        <v>2</v>
      </c>
      <c r="J14" s="563">
        <v>276.32</v>
      </c>
      <c r="K14" s="551">
        <v>1</v>
      </c>
      <c r="L14" s="563">
        <v>2</v>
      </c>
      <c r="M14" s="564">
        <v>276.32</v>
      </c>
    </row>
    <row r="15" spans="1:13" ht="14.4" customHeight="1" x14ac:dyDescent="0.3">
      <c r="A15" s="545" t="s">
        <v>695</v>
      </c>
      <c r="B15" s="546" t="s">
        <v>825</v>
      </c>
      <c r="C15" s="546" t="s">
        <v>769</v>
      </c>
      <c r="D15" s="546" t="s">
        <v>770</v>
      </c>
      <c r="E15" s="546" t="s">
        <v>771</v>
      </c>
      <c r="F15" s="563"/>
      <c r="G15" s="563"/>
      <c r="H15" s="551">
        <v>0</v>
      </c>
      <c r="I15" s="563">
        <v>4</v>
      </c>
      <c r="J15" s="563">
        <v>467.2</v>
      </c>
      <c r="K15" s="551">
        <v>1</v>
      </c>
      <c r="L15" s="563">
        <v>4</v>
      </c>
      <c r="M15" s="564">
        <v>467.2</v>
      </c>
    </row>
    <row r="16" spans="1:13" ht="14.4" customHeight="1" x14ac:dyDescent="0.3">
      <c r="A16" s="545" t="s">
        <v>695</v>
      </c>
      <c r="B16" s="546" t="s">
        <v>826</v>
      </c>
      <c r="C16" s="546" t="s">
        <v>798</v>
      </c>
      <c r="D16" s="546" t="s">
        <v>799</v>
      </c>
      <c r="E16" s="546" t="s">
        <v>800</v>
      </c>
      <c r="F16" s="563"/>
      <c r="G16" s="563"/>
      <c r="H16" s="551">
        <v>0</v>
      </c>
      <c r="I16" s="563">
        <v>2</v>
      </c>
      <c r="J16" s="563">
        <v>628.67999999999995</v>
      </c>
      <c r="K16" s="551">
        <v>1</v>
      </c>
      <c r="L16" s="563">
        <v>2</v>
      </c>
      <c r="M16" s="564">
        <v>628.67999999999995</v>
      </c>
    </row>
    <row r="17" spans="1:13" ht="14.4" customHeight="1" x14ac:dyDescent="0.3">
      <c r="A17" s="545" t="s">
        <v>695</v>
      </c>
      <c r="B17" s="546" t="s">
        <v>827</v>
      </c>
      <c r="C17" s="546" t="s">
        <v>739</v>
      </c>
      <c r="D17" s="546" t="s">
        <v>740</v>
      </c>
      <c r="E17" s="546" t="s">
        <v>741</v>
      </c>
      <c r="F17" s="563"/>
      <c r="G17" s="563"/>
      <c r="H17" s="551">
        <v>0</v>
      </c>
      <c r="I17" s="563">
        <v>2</v>
      </c>
      <c r="J17" s="563">
        <v>35.380000000000003</v>
      </c>
      <c r="K17" s="551">
        <v>1</v>
      </c>
      <c r="L17" s="563">
        <v>2</v>
      </c>
      <c r="M17" s="564">
        <v>35.380000000000003</v>
      </c>
    </row>
    <row r="18" spans="1:13" ht="14.4" customHeight="1" x14ac:dyDescent="0.3">
      <c r="A18" s="545" t="s">
        <v>695</v>
      </c>
      <c r="B18" s="546" t="s">
        <v>828</v>
      </c>
      <c r="C18" s="546" t="s">
        <v>794</v>
      </c>
      <c r="D18" s="546" t="s">
        <v>795</v>
      </c>
      <c r="E18" s="546" t="s">
        <v>796</v>
      </c>
      <c r="F18" s="563"/>
      <c r="G18" s="563"/>
      <c r="H18" s="551">
        <v>0</v>
      </c>
      <c r="I18" s="563">
        <v>22</v>
      </c>
      <c r="J18" s="563">
        <v>8485.56</v>
      </c>
      <c r="K18" s="551">
        <v>1</v>
      </c>
      <c r="L18" s="563">
        <v>22</v>
      </c>
      <c r="M18" s="564">
        <v>8485.56</v>
      </c>
    </row>
    <row r="19" spans="1:13" ht="14.4" customHeight="1" thickBot="1" x14ac:dyDescent="0.35">
      <c r="A19" s="553" t="s">
        <v>695</v>
      </c>
      <c r="B19" s="554" t="s">
        <v>829</v>
      </c>
      <c r="C19" s="554" t="s">
        <v>755</v>
      </c>
      <c r="D19" s="554" t="s">
        <v>756</v>
      </c>
      <c r="E19" s="554" t="s">
        <v>757</v>
      </c>
      <c r="F19" s="565"/>
      <c r="G19" s="565"/>
      <c r="H19" s="559">
        <v>0</v>
      </c>
      <c r="I19" s="565">
        <v>4</v>
      </c>
      <c r="J19" s="565">
        <v>1482.63</v>
      </c>
      <c r="K19" s="559">
        <v>1</v>
      </c>
      <c r="L19" s="565">
        <v>4</v>
      </c>
      <c r="M19" s="566">
        <v>1482.63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9" customWidth="1"/>
    <col min="2" max="2" width="61.109375" style="209" customWidth="1"/>
    <col min="3" max="3" width="9.5546875" style="130" customWidth="1"/>
    <col min="4" max="4" width="9.5546875" style="210" customWidth="1"/>
    <col min="5" max="5" width="2.21875" style="210" customWidth="1"/>
    <col min="6" max="6" width="9.5546875" style="211" customWidth="1"/>
    <col min="7" max="7" width="9.5546875" style="208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4" t="s">
        <v>141</v>
      </c>
      <c r="B1" s="355"/>
      <c r="C1" s="355"/>
      <c r="D1" s="355"/>
      <c r="E1" s="355"/>
      <c r="F1" s="355"/>
      <c r="G1" s="326"/>
      <c r="H1" s="356"/>
      <c r="I1" s="356"/>
    </row>
    <row r="2" spans="1:10" ht="14.4" customHeight="1" thickBot="1" x14ac:dyDescent="0.35">
      <c r="A2" s="235" t="s">
        <v>281</v>
      </c>
      <c r="B2" s="207"/>
      <c r="C2" s="207"/>
      <c r="D2" s="207"/>
      <c r="E2" s="207"/>
      <c r="F2" s="207"/>
    </row>
    <row r="3" spans="1:10" ht="14.4" customHeight="1" thickBot="1" x14ac:dyDescent="0.35">
      <c r="A3" s="235"/>
      <c r="B3" s="207"/>
      <c r="C3" s="293">
        <v>2012</v>
      </c>
      <c r="D3" s="294">
        <v>2013</v>
      </c>
      <c r="E3" s="7"/>
      <c r="F3" s="349">
        <v>2014</v>
      </c>
      <c r="G3" s="350"/>
      <c r="H3" s="350"/>
      <c r="I3" s="351"/>
    </row>
    <row r="4" spans="1:10" ht="14.4" customHeight="1" thickBot="1" x14ac:dyDescent="0.35">
      <c r="A4" s="298" t="s">
        <v>0</v>
      </c>
      <c r="B4" s="299" t="s">
        <v>266</v>
      </c>
      <c r="C4" s="352" t="s">
        <v>73</v>
      </c>
      <c r="D4" s="353"/>
      <c r="E4" s="300"/>
      <c r="F4" s="295" t="s">
        <v>73</v>
      </c>
      <c r="G4" s="296" t="s">
        <v>74</v>
      </c>
      <c r="H4" s="296" t="s">
        <v>68</v>
      </c>
      <c r="I4" s="297" t="s">
        <v>75</v>
      </c>
    </row>
    <row r="5" spans="1:10" ht="14.4" customHeight="1" x14ac:dyDescent="0.3">
      <c r="A5" s="445" t="s">
        <v>472</v>
      </c>
      <c r="B5" s="446" t="s">
        <v>473</v>
      </c>
      <c r="C5" s="447" t="s">
        <v>474</v>
      </c>
      <c r="D5" s="447" t="s">
        <v>474</v>
      </c>
      <c r="E5" s="447"/>
      <c r="F5" s="447" t="s">
        <v>474</v>
      </c>
      <c r="G5" s="447" t="s">
        <v>474</v>
      </c>
      <c r="H5" s="447" t="s">
        <v>474</v>
      </c>
      <c r="I5" s="448" t="s">
        <v>474</v>
      </c>
      <c r="J5" s="449" t="s">
        <v>69</v>
      </c>
    </row>
    <row r="6" spans="1:10" ht="14.4" customHeight="1" x14ac:dyDescent="0.3">
      <c r="A6" s="445" t="s">
        <v>472</v>
      </c>
      <c r="B6" s="446" t="s">
        <v>295</v>
      </c>
      <c r="C6" s="447">
        <v>1362.2328699999998</v>
      </c>
      <c r="D6" s="447">
        <v>2117.5948500000018</v>
      </c>
      <c r="E6" s="447"/>
      <c r="F6" s="447">
        <v>4101.7459200000012</v>
      </c>
      <c r="G6" s="447">
        <v>3917.8563265389103</v>
      </c>
      <c r="H6" s="447">
        <v>183.88959346109095</v>
      </c>
      <c r="I6" s="448">
        <v>1.0469362779373641</v>
      </c>
      <c r="J6" s="449" t="s">
        <v>1</v>
      </c>
    </row>
    <row r="7" spans="1:10" ht="14.4" customHeight="1" x14ac:dyDescent="0.3">
      <c r="A7" s="445" t="s">
        <v>472</v>
      </c>
      <c r="B7" s="446" t="s">
        <v>296</v>
      </c>
      <c r="C7" s="447">
        <v>122.95510000000003</v>
      </c>
      <c r="D7" s="447">
        <v>94.560779999999994</v>
      </c>
      <c r="E7" s="447"/>
      <c r="F7" s="447">
        <v>168.77742999999998</v>
      </c>
      <c r="G7" s="447">
        <v>122.889438850548</v>
      </c>
      <c r="H7" s="447">
        <v>45.887991149451977</v>
      </c>
      <c r="I7" s="448">
        <v>1.3734087451181112</v>
      </c>
      <c r="J7" s="449" t="s">
        <v>1</v>
      </c>
    </row>
    <row r="8" spans="1:10" ht="14.4" customHeight="1" x14ac:dyDescent="0.3">
      <c r="A8" s="445" t="s">
        <v>472</v>
      </c>
      <c r="B8" s="446" t="s">
        <v>297</v>
      </c>
      <c r="C8" s="447">
        <v>25.822839999999999</v>
      </c>
      <c r="D8" s="447">
        <v>23.703459999999001</v>
      </c>
      <c r="E8" s="447"/>
      <c r="F8" s="447">
        <v>11.84942</v>
      </c>
      <c r="G8" s="447">
        <v>29.757362349459001</v>
      </c>
      <c r="H8" s="447">
        <v>-17.907942349458999</v>
      </c>
      <c r="I8" s="448">
        <v>0.39820128749467026</v>
      </c>
      <c r="J8" s="449" t="s">
        <v>1</v>
      </c>
    </row>
    <row r="9" spans="1:10" ht="14.4" customHeight="1" x14ac:dyDescent="0.3">
      <c r="A9" s="445" t="s">
        <v>472</v>
      </c>
      <c r="B9" s="446" t="s">
        <v>298</v>
      </c>
      <c r="C9" s="447">
        <v>55.611320000000006</v>
      </c>
      <c r="D9" s="447">
        <v>135.62767000000002</v>
      </c>
      <c r="E9" s="447"/>
      <c r="F9" s="447">
        <v>153.68685999999997</v>
      </c>
      <c r="G9" s="447">
        <v>285.41284547706698</v>
      </c>
      <c r="H9" s="447">
        <v>-131.72598547706701</v>
      </c>
      <c r="I9" s="448">
        <v>0.53847212007263623</v>
      </c>
      <c r="J9" s="449" t="s">
        <v>1</v>
      </c>
    </row>
    <row r="10" spans="1:10" ht="14.4" customHeight="1" x14ac:dyDescent="0.3">
      <c r="A10" s="445" t="s">
        <v>472</v>
      </c>
      <c r="B10" s="446" t="s">
        <v>299</v>
      </c>
      <c r="C10" s="447">
        <v>7.6899999999999996E-2</v>
      </c>
      <c r="D10" s="447" t="s">
        <v>474</v>
      </c>
      <c r="E10" s="447"/>
      <c r="F10" s="447">
        <v>8.1699999999999995E-2</v>
      </c>
      <c r="G10" s="447">
        <v>0</v>
      </c>
      <c r="H10" s="447">
        <v>8.1699999999999995E-2</v>
      </c>
      <c r="I10" s="448" t="s">
        <v>474</v>
      </c>
      <c r="J10" s="449" t="s">
        <v>1</v>
      </c>
    </row>
    <row r="11" spans="1:10" ht="14.4" customHeight="1" x14ac:dyDescent="0.3">
      <c r="A11" s="445" t="s">
        <v>472</v>
      </c>
      <c r="B11" s="446" t="s">
        <v>300</v>
      </c>
      <c r="C11" s="447">
        <v>22.256109999999996</v>
      </c>
      <c r="D11" s="447">
        <v>14.007779999999</v>
      </c>
      <c r="E11" s="447"/>
      <c r="F11" s="447">
        <v>7.3203199999999997</v>
      </c>
      <c r="G11" s="447">
        <v>16.369401562175</v>
      </c>
      <c r="H11" s="447">
        <v>-9.0490815621750009</v>
      </c>
      <c r="I11" s="448">
        <v>0.4471953340624964</v>
      </c>
      <c r="J11" s="449" t="s">
        <v>1</v>
      </c>
    </row>
    <row r="12" spans="1:10" ht="14.4" customHeight="1" x14ac:dyDescent="0.3">
      <c r="A12" s="445" t="s">
        <v>472</v>
      </c>
      <c r="B12" s="446" t="s">
        <v>301</v>
      </c>
      <c r="C12" s="447">
        <v>12.67961</v>
      </c>
      <c r="D12" s="447">
        <v>15.938039999998001</v>
      </c>
      <c r="E12" s="447"/>
      <c r="F12" s="447">
        <v>12.94444</v>
      </c>
      <c r="G12" s="447">
        <v>31.163570938414004</v>
      </c>
      <c r="H12" s="447">
        <v>-18.219130938414004</v>
      </c>
      <c r="I12" s="448">
        <v>0.4153708837020324</v>
      </c>
      <c r="J12" s="449" t="s">
        <v>1</v>
      </c>
    </row>
    <row r="13" spans="1:10" ht="14.4" customHeight="1" x14ac:dyDescent="0.3">
      <c r="A13" s="445" t="s">
        <v>472</v>
      </c>
      <c r="B13" s="446" t="s">
        <v>475</v>
      </c>
      <c r="C13" s="447">
        <v>1601.6347499999999</v>
      </c>
      <c r="D13" s="447">
        <v>2401.4325799999974</v>
      </c>
      <c r="E13" s="447"/>
      <c r="F13" s="447">
        <v>4456.4060900000004</v>
      </c>
      <c r="G13" s="447">
        <v>4403.4489457165728</v>
      </c>
      <c r="H13" s="447">
        <v>52.957144283427624</v>
      </c>
      <c r="I13" s="448">
        <v>1.012026287788562</v>
      </c>
      <c r="J13" s="449" t="s">
        <v>476</v>
      </c>
    </row>
    <row r="15" spans="1:10" ht="14.4" customHeight="1" x14ac:dyDescent="0.3">
      <c r="A15" s="445" t="s">
        <v>472</v>
      </c>
      <c r="B15" s="446" t="s">
        <v>473</v>
      </c>
      <c r="C15" s="447" t="s">
        <v>474</v>
      </c>
      <c r="D15" s="447" t="s">
        <v>474</v>
      </c>
      <c r="E15" s="447"/>
      <c r="F15" s="447" t="s">
        <v>474</v>
      </c>
      <c r="G15" s="447" t="s">
        <v>474</v>
      </c>
      <c r="H15" s="447" t="s">
        <v>474</v>
      </c>
      <c r="I15" s="448" t="s">
        <v>474</v>
      </c>
      <c r="J15" s="449" t="s">
        <v>69</v>
      </c>
    </row>
    <row r="16" spans="1:10" ht="14.4" customHeight="1" x14ac:dyDescent="0.3">
      <c r="A16" s="445" t="s">
        <v>482</v>
      </c>
      <c r="B16" s="446" t="s">
        <v>483</v>
      </c>
      <c r="C16" s="447" t="s">
        <v>474</v>
      </c>
      <c r="D16" s="447" t="s">
        <v>474</v>
      </c>
      <c r="E16" s="447"/>
      <c r="F16" s="447" t="s">
        <v>474</v>
      </c>
      <c r="G16" s="447" t="s">
        <v>474</v>
      </c>
      <c r="H16" s="447" t="s">
        <v>474</v>
      </c>
      <c r="I16" s="448" t="s">
        <v>474</v>
      </c>
      <c r="J16" s="449" t="s">
        <v>0</v>
      </c>
    </row>
    <row r="17" spans="1:10" ht="14.4" customHeight="1" x14ac:dyDescent="0.3">
      <c r="A17" s="445" t="s">
        <v>482</v>
      </c>
      <c r="B17" s="446" t="s">
        <v>295</v>
      </c>
      <c r="C17" s="447">
        <v>0</v>
      </c>
      <c r="D17" s="447">
        <v>5.8669200000000004</v>
      </c>
      <c r="E17" s="447"/>
      <c r="F17" s="447">
        <v>0</v>
      </c>
      <c r="G17" s="447">
        <v>5.8669137860399996</v>
      </c>
      <c r="H17" s="447">
        <v>-5.8669137860399996</v>
      </c>
      <c r="I17" s="448">
        <v>0</v>
      </c>
      <c r="J17" s="449" t="s">
        <v>1</v>
      </c>
    </row>
    <row r="18" spans="1:10" ht="14.4" customHeight="1" x14ac:dyDescent="0.3">
      <c r="A18" s="445" t="s">
        <v>482</v>
      </c>
      <c r="B18" s="446" t="s">
        <v>296</v>
      </c>
      <c r="C18" s="447">
        <v>3.08</v>
      </c>
      <c r="D18" s="447" t="s">
        <v>474</v>
      </c>
      <c r="E18" s="447"/>
      <c r="F18" s="447" t="s">
        <v>474</v>
      </c>
      <c r="G18" s="447" t="s">
        <v>474</v>
      </c>
      <c r="H18" s="447" t="s">
        <v>474</v>
      </c>
      <c r="I18" s="448" t="s">
        <v>474</v>
      </c>
      <c r="J18" s="449" t="s">
        <v>1</v>
      </c>
    </row>
    <row r="19" spans="1:10" ht="14.4" customHeight="1" x14ac:dyDescent="0.3">
      <c r="A19" s="445" t="s">
        <v>482</v>
      </c>
      <c r="B19" s="446" t="s">
        <v>297</v>
      </c>
      <c r="C19" s="447">
        <v>20.97448</v>
      </c>
      <c r="D19" s="447">
        <v>20.98657</v>
      </c>
      <c r="E19" s="447"/>
      <c r="F19" s="447">
        <v>8.6763300000000001</v>
      </c>
      <c r="G19" s="447">
        <v>21.034294540219001</v>
      </c>
      <c r="H19" s="447">
        <v>-12.357964540219001</v>
      </c>
      <c r="I19" s="448">
        <v>0.4124849532467213</v>
      </c>
      <c r="J19" s="449" t="s">
        <v>1</v>
      </c>
    </row>
    <row r="20" spans="1:10" ht="14.4" customHeight="1" x14ac:dyDescent="0.3">
      <c r="A20" s="445" t="s">
        <v>482</v>
      </c>
      <c r="B20" s="446" t="s">
        <v>298</v>
      </c>
      <c r="C20" s="447">
        <v>31.580280000000002</v>
      </c>
      <c r="D20" s="447">
        <v>35.061360000000001</v>
      </c>
      <c r="E20" s="447"/>
      <c r="F20" s="447">
        <v>19.609399999999997</v>
      </c>
      <c r="G20" s="447">
        <v>35.061095870846998</v>
      </c>
      <c r="H20" s="447">
        <v>-15.451695870847001</v>
      </c>
      <c r="I20" s="448">
        <v>0.55929227290083217</v>
      </c>
      <c r="J20" s="449" t="s">
        <v>1</v>
      </c>
    </row>
    <row r="21" spans="1:10" ht="14.4" customHeight="1" x14ac:dyDescent="0.3">
      <c r="A21" s="445" t="s">
        <v>482</v>
      </c>
      <c r="B21" s="446" t="s">
        <v>299</v>
      </c>
      <c r="C21" s="447">
        <v>7.6899999999999996E-2</v>
      </c>
      <c r="D21" s="447" t="s">
        <v>474</v>
      </c>
      <c r="E21" s="447"/>
      <c r="F21" s="447">
        <v>8.1699999999999995E-2</v>
      </c>
      <c r="G21" s="447">
        <v>0</v>
      </c>
      <c r="H21" s="447">
        <v>8.1699999999999995E-2</v>
      </c>
      <c r="I21" s="448" t="s">
        <v>474</v>
      </c>
      <c r="J21" s="449" t="s">
        <v>1</v>
      </c>
    </row>
    <row r="22" spans="1:10" ht="14.4" customHeight="1" x14ac:dyDescent="0.3">
      <c r="A22" s="445" t="s">
        <v>482</v>
      </c>
      <c r="B22" s="446" t="s">
        <v>300</v>
      </c>
      <c r="C22" s="447">
        <v>21.706109999999995</v>
      </c>
      <c r="D22" s="447">
        <v>13.40978</v>
      </c>
      <c r="E22" s="447"/>
      <c r="F22" s="447">
        <v>6.7423199999999994</v>
      </c>
      <c r="G22" s="447">
        <v>13.755963734470001</v>
      </c>
      <c r="H22" s="447">
        <v>-7.0136437344700013</v>
      </c>
      <c r="I22" s="448">
        <v>0.49013795980756647</v>
      </c>
      <c r="J22" s="449" t="s">
        <v>1</v>
      </c>
    </row>
    <row r="23" spans="1:10" ht="14.4" customHeight="1" x14ac:dyDescent="0.3">
      <c r="A23" s="445" t="s">
        <v>482</v>
      </c>
      <c r="B23" s="446" t="s">
        <v>301</v>
      </c>
      <c r="C23" s="447">
        <v>3.8490000000000002</v>
      </c>
      <c r="D23" s="447">
        <v>7.050039999999</v>
      </c>
      <c r="E23" s="447"/>
      <c r="F23" s="447">
        <v>4.5286</v>
      </c>
      <c r="G23" s="447">
        <v>7.1498014598190007</v>
      </c>
      <c r="H23" s="447">
        <v>-2.6212014598190008</v>
      </c>
      <c r="I23" s="448">
        <v>0.63338821720437577</v>
      </c>
      <c r="J23" s="449" t="s">
        <v>1</v>
      </c>
    </row>
    <row r="24" spans="1:10" ht="14.4" customHeight="1" x14ac:dyDescent="0.3">
      <c r="A24" s="445" t="s">
        <v>482</v>
      </c>
      <c r="B24" s="446" t="s">
        <v>484</v>
      </c>
      <c r="C24" s="447">
        <v>81.266769999999994</v>
      </c>
      <c r="D24" s="447">
        <v>82.374669999999</v>
      </c>
      <c r="E24" s="447"/>
      <c r="F24" s="447">
        <v>39.638349999999996</v>
      </c>
      <c r="G24" s="447">
        <v>82.868069391395011</v>
      </c>
      <c r="H24" s="447">
        <v>-43.229719391395015</v>
      </c>
      <c r="I24" s="448">
        <v>0.478330800887658</v>
      </c>
      <c r="J24" s="449" t="s">
        <v>480</v>
      </c>
    </row>
    <row r="25" spans="1:10" ht="14.4" customHeight="1" x14ac:dyDescent="0.3">
      <c r="A25" s="445" t="s">
        <v>474</v>
      </c>
      <c r="B25" s="446" t="s">
        <v>474</v>
      </c>
      <c r="C25" s="447" t="s">
        <v>474</v>
      </c>
      <c r="D25" s="447" t="s">
        <v>474</v>
      </c>
      <c r="E25" s="447"/>
      <c r="F25" s="447" t="s">
        <v>474</v>
      </c>
      <c r="G25" s="447" t="s">
        <v>474</v>
      </c>
      <c r="H25" s="447" t="s">
        <v>474</v>
      </c>
      <c r="I25" s="448" t="s">
        <v>474</v>
      </c>
      <c r="J25" s="449" t="s">
        <v>481</v>
      </c>
    </row>
    <row r="26" spans="1:10" ht="14.4" customHeight="1" x14ac:dyDescent="0.3">
      <c r="A26" s="445" t="s">
        <v>485</v>
      </c>
      <c r="B26" s="446" t="s">
        <v>486</v>
      </c>
      <c r="C26" s="447" t="s">
        <v>474</v>
      </c>
      <c r="D26" s="447" t="s">
        <v>474</v>
      </c>
      <c r="E26" s="447"/>
      <c r="F26" s="447" t="s">
        <v>474</v>
      </c>
      <c r="G26" s="447" t="s">
        <v>474</v>
      </c>
      <c r="H26" s="447" t="s">
        <v>474</v>
      </c>
      <c r="I26" s="448" t="s">
        <v>474</v>
      </c>
      <c r="J26" s="449" t="s">
        <v>0</v>
      </c>
    </row>
    <row r="27" spans="1:10" ht="14.4" customHeight="1" x14ac:dyDescent="0.3">
      <c r="A27" s="445" t="s">
        <v>485</v>
      </c>
      <c r="B27" s="446" t="s">
        <v>295</v>
      </c>
      <c r="C27" s="447">
        <v>1362.2328699999998</v>
      </c>
      <c r="D27" s="447">
        <v>2111.7279300000018</v>
      </c>
      <c r="E27" s="447"/>
      <c r="F27" s="447">
        <v>4101.7459200000012</v>
      </c>
      <c r="G27" s="447">
        <v>3911.9894127528701</v>
      </c>
      <c r="H27" s="447">
        <v>189.75650724713114</v>
      </c>
      <c r="I27" s="448">
        <v>1.0485063959090828</v>
      </c>
      <c r="J27" s="449" t="s">
        <v>1</v>
      </c>
    </row>
    <row r="28" spans="1:10" ht="14.4" customHeight="1" x14ac:dyDescent="0.3">
      <c r="A28" s="445" t="s">
        <v>485</v>
      </c>
      <c r="B28" s="446" t="s">
        <v>296</v>
      </c>
      <c r="C28" s="447">
        <v>119.87510000000003</v>
      </c>
      <c r="D28" s="447">
        <v>94.560779999999994</v>
      </c>
      <c r="E28" s="447"/>
      <c r="F28" s="447">
        <v>168.77742999999998</v>
      </c>
      <c r="G28" s="447">
        <v>122.889438850548</v>
      </c>
      <c r="H28" s="447">
        <v>45.887991149451977</v>
      </c>
      <c r="I28" s="448">
        <v>1.3734087451181112</v>
      </c>
      <c r="J28" s="449" t="s">
        <v>1</v>
      </c>
    </row>
    <row r="29" spans="1:10" ht="14.4" customHeight="1" x14ac:dyDescent="0.3">
      <c r="A29" s="445" t="s">
        <v>485</v>
      </c>
      <c r="B29" s="446" t="s">
        <v>297</v>
      </c>
      <c r="C29" s="447">
        <v>4.8483600000000013</v>
      </c>
      <c r="D29" s="447">
        <v>2.7168899999989997</v>
      </c>
      <c r="E29" s="447"/>
      <c r="F29" s="447">
        <v>3.1730899999999997</v>
      </c>
      <c r="G29" s="447">
        <v>8.7230678092399998</v>
      </c>
      <c r="H29" s="447">
        <v>-5.5499778092399996</v>
      </c>
      <c r="I29" s="448">
        <v>0.36375849292824153</v>
      </c>
      <c r="J29" s="449" t="s">
        <v>1</v>
      </c>
    </row>
    <row r="30" spans="1:10" ht="14.4" customHeight="1" x14ac:dyDescent="0.3">
      <c r="A30" s="445" t="s">
        <v>485</v>
      </c>
      <c r="B30" s="446" t="s">
        <v>298</v>
      </c>
      <c r="C30" s="447">
        <v>24.031040000000001</v>
      </c>
      <c r="D30" s="447">
        <v>100.56631000000002</v>
      </c>
      <c r="E30" s="447"/>
      <c r="F30" s="447">
        <v>134.07745999999997</v>
      </c>
      <c r="G30" s="447">
        <v>250.35174960621998</v>
      </c>
      <c r="H30" s="447">
        <v>-116.27428960622001</v>
      </c>
      <c r="I30" s="448">
        <v>0.53555631311101815</v>
      </c>
      <c r="J30" s="449" t="s">
        <v>1</v>
      </c>
    </row>
    <row r="31" spans="1:10" ht="14.4" customHeight="1" x14ac:dyDescent="0.3">
      <c r="A31" s="445" t="s">
        <v>485</v>
      </c>
      <c r="B31" s="446" t="s">
        <v>300</v>
      </c>
      <c r="C31" s="447">
        <v>0.55000000000000004</v>
      </c>
      <c r="D31" s="447">
        <v>0.597999999999</v>
      </c>
      <c r="E31" s="447"/>
      <c r="F31" s="447">
        <v>0.57799999999999996</v>
      </c>
      <c r="G31" s="447">
        <v>2.6134378277049999</v>
      </c>
      <c r="H31" s="447">
        <v>-2.035437827705</v>
      </c>
      <c r="I31" s="448">
        <v>0.2211646261000105</v>
      </c>
      <c r="J31" s="449" t="s">
        <v>1</v>
      </c>
    </row>
    <row r="32" spans="1:10" ht="14.4" customHeight="1" x14ac:dyDescent="0.3">
      <c r="A32" s="445" t="s">
        <v>485</v>
      </c>
      <c r="B32" s="446" t="s">
        <v>301</v>
      </c>
      <c r="C32" s="447">
        <v>8.8306100000000001</v>
      </c>
      <c r="D32" s="447">
        <v>8.8879999999990016</v>
      </c>
      <c r="E32" s="447"/>
      <c r="F32" s="447">
        <v>8.4158399999999993</v>
      </c>
      <c r="G32" s="447">
        <v>24.013769478595002</v>
      </c>
      <c r="H32" s="447">
        <v>-15.597929478595002</v>
      </c>
      <c r="I32" s="448">
        <v>0.35045893180167204</v>
      </c>
      <c r="J32" s="449" t="s">
        <v>1</v>
      </c>
    </row>
    <row r="33" spans="1:10" ht="14.4" customHeight="1" x14ac:dyDescent="0.3">
      <c r="A33" s="445" t="s">
        <v>485</v>
      </c>
      <c r="B33" s="446" t="s">
        <v>487</v>
      </c>
      <c r="C33" s="447">
        <v>1520.3679799999998</v>
      </c>
      <c r="D33" s="447">
        <v>2319.0579099999986</v>
      </c>
      <c r="E33" s="447"/>
      <c r="F33" s="447">
        <v>4416.767740000002</v>
      </c>
      <c r="G33" s="447">
        <v>4320.580876325178</v>
      </c>
      <c r="H33" s="447">
        <v>96.186863674824053</v>
      </c>
      <c r="I33" s="448">
        <v>1.0222624842418491</v>
      </c>
      <c r="J33" s="449" t="s">
        <v>480</v>
      </c>
    </row>
    <row r="34" spans="1:10" ht="14.4" customHeight="1" x14ac:dyDescent="0.3">
      <c r="A34" s="445" t="s">
        <v>474</v>
      </c>
      <c r="B34" s="446" t="s">
        <v>474</v>
      </c>
      <c r="C34" s="447" t="s">
        <v>474</v>
      </c>
      <c r="D34" s="447" t="s">
        <v>474</v>
      </c>
      <c r="E34" s="447"/>
      <c r="F34" s="447" t="s">
        <v>474</v>
      </c>
      <c r="G34" s="447" t="s">
        <v>474</v>
      </c>
      <c r="H34" s="447" t="s">
        <v>474</v>
      </c>
      <c r="I34" s="448" t="s">
        <v>474</v>
      </c>
      <c r="J34" s="449" t="s">
        <v>481</v>
      </c>
    </row>
    <row r="35" spans="1:10" ht="14.4" customHeight="1" x14ac:dyDescent="0.3">
      <c r="A35" s="445" t="s">
        <v>472</v>
      </c>
      <c r="B35" s="446" t="s">
        <v>475</v>
      </c>
      <c r="C35" s="447">
        <v>1601.6347499999997</v>
      </c>
      <c r="D35" s="447">
        <v>2401.4325799999974</v>
      </c>
      <c r="E35" s="447"/>
      <c r="F35" s="447">
        <v>4456.4060900000013</v>
      </c>
      <c r="G35" s="447">
        <v>4403.4489457165737</v>
      </c>
      <c r="H35" s="447">
        <v>52.957144283427624</v>
      </c>
      <c r="I35" s="448">
        <v>1.012026287788562</v>
      </c>
      <c r="J35" s="449" t="s">
        <v>476</v>
      </c>
    </row>
  </sheetData>
  <mergeCells count="3">
    <mergeCell ref="A1:I1"/>
    <mergeCell ref="F3:I3"/>
    <mergeCell ref="C4:D4"/>
  </mergeCells>
  <conditionalFormatting sqref="F14 F36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35">
    <cfRule type="expression" dxfId="11" priority="5">
      <formula>$H15&gt;0</formula>
    </cfRule>
  </conditionalFormatting>
  <conditionalFormatting sqref="A15:A35">
    <cfRule type="expression" dxfId="10" priority="2">
      <formula>AND($J15&lt;&gt;"mezeraKL",$J15&lt;&gt;"")</formula>
    </cfRule>
  </conditionalFormatting>
  <conditionalFormatting sqref="I15:I35">
    <cfRule type="expression" dxfId="9" priority="6">
      <formula>$I15&gt;1</formula>
    </cfRule>
  </conditionalFormatting>
  <conditionalFormatting sqref="B15:B35">
    <cfRule type="expression" dxfId="8" priority="1">
      <formula>OR($J15="NS",$J15="SumaNS",$J15="Účet")</formula>
    </cfRule>
  </conditionalFormatting>
  <conditionalFormatting sqref="A15:D35 F15:I35">
    <cfRule type="expression" dxfId="7" priority="8">
      <formula>AND($J15&lt;&gt;"",$J15&lt;&gt;"mezeraKL")</formula>
    </cfRule>
  </conditionalFormatting>
  <conditionalFormatting sqref="B15:D35 F15:I35">
    <cfRule type="expression" dxfId="6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35 F15:I35">
    <cfRule type="expression" dxfId="5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6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10" bestFit="1" customWidth="1" collapsed="1"/>
    <col min="4" max="4" width="18.77734375" style="214" customWidth="1"/>
    <col min="5" max="5" width="9" style="210" bestFit="1" customWidth="1"/>
    <col min="6" max="6" width="18.77734375" style="214" customWidth="1"/>
    <col min="7" max="7" width="12.44140625" style="210" hidden="1" customWidth="1" outlineLevel="1"/>
    <col min="8" max="8" width="25.77734375" style="210" customWidth="1" collapsed="1"/>
    <col min="9" max="9" width="7.77734375" style="208" customWidth="1"/>
    <col min="10" max="10" width="10" style="208" customWidth="1"/>
    <col min="11" max="11" width="11.109375" style="208" customWidth="1"/>
    <col min="12" max="16384" width="8.88671875" style="130"/>
  </cols>
  <sheetData>
    <row r="1" spans="1:11" ht="18.600000000000001" customHeight="1" thickBot="1" x14ac:dyDescent="0.4">
      <c r="A1" s="361" t="s">
        <v>1335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</row>
    <row r="2" spans="1:11" ht="14.4" customHeight="1" thickBot="1" x14ac:dyDescent="0.35">
      <c r="A2" s="235" t="s">
        <v>281</v>
      </c>
      <c r="B2" s="62"/>
      <c r="C2" s="212"/>
      <c r="D2" s="212"/>
      <c r="E2" s="212"/>
      <c r="F2" s="212"/>
      <c r="G2" s="212"/>
      <c r="H2" s="212"/>
      <c r="I2" s="213"/>
      <c r="J2" s="213"/>
      <c r="K2" s="213"/>
    </row>
    <row r="3" spans="1:11" ht="14.4" customHeight="1" thickBot="1" x14ac:dyDescent="0.35">
      <c r="A3" s="62"/>
      <c r="B3" s="62"/>
      <c r="C3" s="357"/>
      <c r="D3" s="358"/>
      <c r="E3" s="358"/>
      <c r="F3" s="358"/>
      <c r="G3" s="358"/>
      <c r="H3" s="142" t="s">
        <v>129</v>
      </c>
      <c r="I3" s="98">
        <f>IF(J3&lt;&gt;0,K3/J3,0)</f>
        <v>23.134255271773334</v>
      </c>
      <c r="J3" s="98">
        <f>SUBTOTAL(9,J5:J1048576)</f>
        <v>193045</v>
      </c>
      <c r="K3" s="99">
        <f>SUBTOTAL(9,K5:K1048576)</f>
        <v>4465952.308939483</v>
      </c>
    </row>
    <row r="4" spans="1:11" s="209" customFormat="1" ht="14.4" customHeight="1" thickBot="1" x14ac:dyDescent="0.35">
      <c r="A4" s="574" t="s">
        <v>4</v>
      </c>
      <c r="B4" s="575" t="s">
        <v>5</v>
      </c>
      <c r="C4" s="575" t="s">
        <v>0</v>
      </c>
      <c r="D4" s="575" t="s">
        <v>6</v>
      </c>
      <c r="E4" s="575" t="s">
        <v>7</v>
      </c>
      <c r="F4" s="575" t="s">
        <v>1</v>
      </c>
      <c r="G4" s="575" t="s">
        <v>71</v>
      </c>
      <c r="H4" s="452" t="s">
        <v>11</v>
      </c>
      <c r="I4" s="453" t="s">
        <v>144</v>
      </c>
      <c r="J4" s="453" t="s">
        <v>13</v>
      </c>
      <c r="K4" s="454" t="s">
        <v>161</v>
      </c>
    </row>
    <row r="5" spans="1:11" ht="14.4" customHeight="1" x14ac:dyDescent="0.3">
      <c r="A5" s="538" t="s">
        <v>472</v>
      </c>
      <c r="B5" s="539" t="s">
        <v>668</v>
      </c>
      <c r="C5" s="542" t="s">
        <v>482</v>
      </c>
      <c r="D5" s="576" t="s">
        <v>669</v>
      </c>
      <c r="E5" s="542" t="s">
        <v>1321</v>
      </c>
      <c r="F5" s="576" t="s">
        <v>1322</v>
      </c>
      <c r="G5" s="542" t="s">
        <v>831</v>
      </c>
      <c r="H5" s="542" t="s">
        <v>832</v>
      </c>
      <c r="I5" s="116">
        <v>260.3</v>
      </c>
      <c r="J5" s="116">
        <v>8</v>
      </c>
      <c r="K5" s="562">
        <v>2082.4</v>
      </c>
    </row>
    <row r="6" spans="1:11" ht="14.4" customHeight="1" x14ac:dyDescent="0.3">
      <c r="A6" s="545" t="s">
        <v>472</v>
      </c>
      <c r="B6" s="546" t="s">
        <v>668</v>
      </c>
      <c r="C6" s="549" t="s">
        <v>482</v>
      </c>
      <c r="D6" s="577" t="s">
        <v>669</v>
      </c>
      <c r="E6" s="549" t="s">
        <v>1321</v>
      </c>
      <c r="F6" s="577" t="s">
        <v>1322</v>
      </c>
      <c r="G6" s="549" t="s">
        <v>833</v>
      </c>
      <c r="H6" s="549" t="s">
        <v>834</v>
      </c>
      <c r="I6" s="563">
        <v>4.3</v>
      </c>
      <c r="J6" s="563">
        <v>72</v>
      </c>
      <c r="K6" s="564">
        <v>309.60000000000002</v>
      </c>
    </row>
    <row r="7" spans="1:11" ht="14.4" customHeight="1" x14ac:dyDescent="0.3">
      <c r="A7" s="545" t="s">
        <v>472</v>
      </c>
      <c r="B7" s="546" t="s">
        <v>668</v>
      </c>
      <c r="C7" s="549" t="s">
        <v>482</v>
      </c>
      <c r="D7" s="577" t="s">
        <v>669</v>
      </c>
      <c r="E7" s="549" t="s">
        <v>1321</v>
      </c>
      <c r="F7" s="577" t="s">
        <v>1322</v>
      </c>
      <c r="G7" s="549" t="s">
        <v>835</v>
      </c>
      <c r="H7" s="549" t="s">
        <v>836</v>
      </c>
      <c r="I7" s="563">
        <v>5.36</v>
      </c>
      <c r="J7" s="563">
        <v>24</v>
      </c>
      <c r="K7" s="564">
        <v>128.62</v>
      </c>
    </row>
    <row r="8" spans="1:11" ht="14.4" customHeight="1" x14ac:dyDescent="0.3">
      <c r="A8" s="545" t="s">
        <v>472</v>
      </c>
      <c r="B8" s="546" t="s">
        <v>668</v>
      </c>
      <c r="C8" s="549" t="s">
        <v>482</v>
      </c>
      <c r="D8" s="577" t="s">
        <v>669</v>
      </c>
      <c r="E8" s="549" t="s">
        <v>1321</v>
      </c>
      <c r="F8" s="577" t="s">
        <v>1322</v>
      </c>
      <c r="G8" s="549" t="s">
        <v>837</v>
      </c>
      <c r="H8" s="549" t="s">
        <v>838</v>
      </c>
      <c r="I8" s="563">
        <v>8.5299999999999994</v>
      </c>
      <c r="J8" s="563">
        <v>1</v>
      </c>
      <c r="K8" s="564">
        <v>8.5299999999999994</v>
      </c>
    </row>
    <row r="9" spans="1:11" ht="14.4" customHeight="1" x14ac:dyDescent="0.3">
      <c r="A9" s="545" t="s">
        <v>472</v>
      </c>
      <c r="B9" s="546" t="s">
        <v>668</v>
      </c>
      <c r="C9" s="549" t="s">
        <v>482</v>
      </c>
      <c r="D9" s="577" t="s">
        <v>669</v>
      </c>
      <c r="E9" s="549" t="s">
        <v>1321</v>
      </c>
      <c r="F9" s="577" t="s">
        <v>1322</v>
      </c>
      <c r="G9" s="549" t="s">
        <v>839</v>
      </c>
      <c r="H9" s="549" t="s">
        <v>840</v>
      </c>
      <c r="I9" s="563">
        <v>27.391111111111108</v>
      </c>
      <c r="J9" s="563">
        <v>85</v>
      </c>
      <c r="K9" s="564">
        <v>2327.8700000000003</v>
      </c>
    </row>
    <row r="10" spans="1:11" ht="14.4" customHeight="1" x14ac:dyDescent="0.3">
      <c r="A10" s="545" t="s">
        <v>472</v>
      </c>
      <c r="B10" s="546" t="s">
        <v>668</v>
      </c>
      <c r="C10" s="549" t="s">
        <v>482</v>
      </c>
      <c r="D10" s="577" t="s">
        <v>669</v>
      </c>
      <c r="E10" s="549" t="s">
        <v>1321</v>
      </c>
      <c r="F10" s="577" t="s">
        <v>1322</v>
      </c>
      <c r="G10" s="549" t="s">
        <v>841</v>
      </c>
      <c r="H10" s="549" t="s">
        <v>842</v>
      </c>
      <c r="I10" s="563">
        <v>41.542499999999997</v>
      </c>
      <c r="J10" s="563">
        <v>65</v>
      </c>
      <c r="K10" s="564">
        <v>2700.1500000000005</v>
      </c>
    </row>
    <row r="11" spans="1:11" ht="14.4" customHeight="1" x14ac:dyDescent="0.3">
      <c r="A11" s="545" t="s">
        <v>472</v>
      </c>
      <c r="B11" s="546" t="s">
        <v>668</v>
      </c>
      <c r="C11" s="549" t="s">
        <v>482</v>
      </c>
      <c r="D11" s="577" t="s">
        <v>669</v>
      </c>
      <c r="E11" s="549" t="s">
        <v>1321</v>
      </c>
      <c r="F11" s="577" t="s">
        <v>1322</v>
      </c>
      <c r="G11" s="549" t="s">
        <v>843</v>
      </c>
      <c r="H11" s="549" t="s">
        <v>844</v>
      </c>
      <c r="I11" s="563">
        <v>8.5766666666666662</v>
      </c>
      <c r="J11" s="563">
        <v>36</v>
      </c>
      <c r="K11" s="564">
        <v>308.76</v>
      </c>
    </row>
    <row r="12" spans="1:11" ht="14.4" customHeight="1" x14ac:dyDescent="0.3">
      <c r="A12" s="545" t="s">
        <v>472</v>
      </c>
      <c r="B12" s="546" t="s">
        <v>668</v>
      </c>
      <c r="C12" s="549" t="s">
        <v>482</v>
      </c>
      <c r="D12" s="577" t="s">
        <v>669</v>
      </c>
      <c r="E12" s="549" t="s">
        <v>1321</v>
      </c>
      <c r="F12" s="577" t="s">
        <v>1322</v>
      </c>
      <c r="G12" s="549" t="s">
        <v>845</v>
      </c>
      <c r="H12" s="549" t="s">
        <v>846</v>
      </c>
      <c r="I12" s="563">
        <v>13.01</v>
      </c>
      <c r="J12" s="563">
        <v>1</v>
      </c>
      <c r="K12" s="564">
        <v>13.01</v>
      </c>
    </row>
    <row r="13" spans="1:11" ht="14.4" customHeight="1" x14ac:dyDescent="0.3">
      <c r="A13" s="545" t="s">
        <v>472</v>
      </c>
      <c r="B13" s="546" t="s">
        <v>668</v>
      </c>
      <c r="C13" s="549" t="s">
        <v>482</v>
      </c>
      <c r="D13" s="577" t="s">
        <v>669</v>
      </c>
      <c r="E13" s="549" t="s">
        <v>1321</v>
      </c>
      <c r="F13" s="577" t="s">
        <v>1322</v>
      </c>
      <c r="G13" s="549" t="s">
        <v>847</v>
      </c>
      <c r="H13" s="549" t="s">
        <v>848</v>
      </c>
      <c r="I13" s="563">
        <v>28.095555555555553</v>
      </c>
      <c r="J13" s="563">
        <v>19</v>
      </c>
      <c r="K13" s="564">
        <v>533.66</v>
      </c>
    </row>
    <row r="14" spans="1:11" ht="14.4" customHeight="1" x14ac:dyDescent="0.3">
      <c r="A14" s="545" t="s">
        <v>472</v>
      </c>
      <c r="B14" s="546" t="s">
        <v>668</v>
      </c>
      <c r="C14" s="549" t="s">
        <v>482</v>
      </c>
      <c r="D14" s="577" t="s">
        <v>669</v>
      </c>
      <c r="E14" s="549" t="s">
        <v>1321</v>
      </c>
      <c r="F14" s="577" t="s">
        <v>1322</v>
      </c>
      <c r="G14" s="549" t="s">
        <v>849</v>
      </c>
      <c r="H14" s="549" t="s">
        <v>850</v>
      </c>
      <c r="I14" s="563">
        <v>7.51</v>
      </c>
      <c r="J14" s="563">
        <v>24</v>
      </c>
      <c r="K14" s="564">
        <v>180.24</v>
      </c>
    </row>
    <row r="15" spans="1:11" ht="14.4" customHeight="1" x14ac:dyDescent="0.3">
      <c r="A15" s="545" t="s">
        <v>472</v>
      </c>
      <c r="B15" s="546" t="s">
        <v>668</v>
      </c>
      <c r="C15" s="549" t="s">
        <v>482</v>
      </c>
      <c r="D15" s="577" t="s">
        <v>669</v>
      </c>
      <c r="E15" s="549" t="s">
        <v>1321</v>
      </c>
      <c r="F15" s="577" t="s">
        <v>1322</v>
      </c>
      <c r="G15" s="549" t="s">
        <v>851</v>
      </c>
      <c r="H15" s="549" t="s">
        <v>852</v>
      </c>
      <c r="I15" s="563">
        <v>0.31</v>
      </c>
      <c r="J15" s="563">
        <v>25</v>
      </c>
      <c r="K15" s="564">
        <v>7.75</v>
      </c>
    </row>
    <row r="16" spans="1:11" ht="14.4" customHeight="1" x14ac:dyDescent="0.3">
      <c r="A16" s="545" t="s">
        <v>472</v>
      </c>
      <c r="B16" s="546" t="s">
        <v>668</v>
      </c>
      <c r="C16" s="549" t="s">
        <v>482</v>
      </c>
      <c r="D16" s="577" t="s">
        <v>669</v>
      </c>
      <c r="E16" s="549" t="s">
        <v>1321</v>
      </c>
      <c r="F16" s="577" t="s">
        <v>1322</v>
      </c>
      <c r="G16" s="549" t="s">
        <v>853</v>
      </c>
      <c r="H16" s="549" t="s">
        <v>854</v>
      </c>
      <c r="I16" s="563">
        <v>11.73</v>
      </c>
      <c r="J16" s="563">
        <v>2</v>
      </c>
      <c r="K16" s="564">
        <v>23.47</v>
      </c>
    </row>
    <row r="17" spans="1:11" ht="14.4" customHeight="1" x14ac:dyDescent="0.3">
      <c r="A17" s="545" t="s">
        <v>472</v>
      </c>
      <c r="B17" s="546" t="s">
        <v>668</v>
      </c>
      <c r="C17" s="549" t="s">
        <v>482</v>
      </c>
      <c r="D17" s="577" t="s">
        <v>669</v>
      </c>
      <c r="E17" s="549" t="s">
        <v>1321</v>
      </c>
      <c r="F17" s="577" t="s">
        <v>1322</v>
      </c>
      <c r="G17" s="549" t="s">
        <v>855</v>
      </c>
      <c r="H17" s="549" t="s">
        <v>856</v>
      </c>
      <c r="I17" s="563">
        <v>14.08</v>
      </c>
      <c r="J17" s="563">
        <v>1</v>
      </c>
      <c r="K17" s="564">
        <v>14.08</v>
      </c>
    </row>
    <row r="18" spans="1:11" ht="14.4" customHeight="1" x14ac:dyDescent="0.3">
      <c r="A18" s="545" t="s">
        <v>472</v>
      </c>
      <c r="B18" s="546" t="s">
        <v>668</v>
      </c>
      <c r="C18" s="549" t="s">
        <v>482</v>
      </c>
      <c r="D18" s="577" t="s">
        <v>669</v>
      </c>
      <c r="E18" s="549" t="s">
        <v>1321</v>
      </c>
      <c r="F18" s="577" t="s">
        <v>1322</v>
      </c>
      <c r="G18" s="549" t="s">
        <v>857</v>
      </c>
      <c r="H18" s="549" t="s">
        <v>858</v>
      </c>
      <c r="I18" s="563">
        <v>2.5449999999999999</v>
      </c>
      <c r="J18" s="563">
        <v>15</v>
      </c>
      <c r="K18" s="564">
        <v>38.19</v>
      </c>
    </row>
    <row r="19" spans="1:11" ht="14.4" customHeight="1" x14ac:dyDescent="0.3">
      <c r="A19" s="545" t="s">
        <v>472</v>
      </c>
      <c r="B19" s="546" t="s">
        <v>668</v>
      </c>
      <c r="C19" s="549" t="s">
        <v>482</v>
      </c>
      <c r="D19" s="577" t="s">
        <v>669</v>
      </c>
      <c r="E19" s="549" t="s">
        <v>1323</v>
      </c>
      <c r="F19" s="577" t="s">
        <v>1324</v>
      </c>
      <c r="G19" s="549" t="s">
        <v>859</v>
      </c>
      <c r="H19" s="549" t="s">
        <v>860</v>
      </c>
      <c r="I19" s="563">
        <v>4.1900000000000004</v>
      </c>
      <c r="J19" s="563">
        <v>50</v>
      </c>
      <c r="K19" s="564">
        <v>209.5</v>
      </c>
    </row>
    <row r="20" spans="1:11" ht="14.4" customHeight="1" x14ac:dyDescent="0.3">
      <c r="A20" s="545" t="s">
        <v>472</v>
      </c>
      <c r="B20" s="546" t="s">
        <v>668</v>
      </c>
      <c r="C20" s="549" t="s">
        <v>482</v>
      </c>
      <c r="D20" s="577" t="s">
        <v>669</v>
      </c>
      <c r="E20" s="549" t="s">
        <v>1323</v>
      </c>
      <c r="F20" s="577" t="s">
        <v>1324</v>
      </c>
      <c r="G20" s="549" t="s">
        <v>861</v>
      </c>
      <c r="H20" s="549" t="s">
        <v>862</v>
      </c>
      <c r="I20" s="563">
        <v>1.0900000000000001</v>
      </c>
      <c r="J20" s="563">
        <v>100</v>
      </c>
      <c r="K20" s="564">
        <v>109</v>
      </c>
    </row>
    <row r="21" spans="1:11" ht="14.4" customHeight="1" x14ac:dyDescent="0.3">
      <c r="A21" s="545" t="s">
        <v>472</v>
      </c>
      <c r="B21" s="546" t="s">
        <v>668</v>
      </c>
      <c r="C21" s="549" t="s">
        <v>482</v>
      </c>
      <c r="D21" s="577" t="s">
        <v>669</v>
      </c>
      <c r="E21" s="549" t="s">
        <v>1323</v>
      </c>
      <c r="F21" s="577" t="s">
        <v>1324</v>
      </c>
      <c r="G21" s="549" t="s">
        <v>863</v>
      </c>
      <c r="H21" s="549" t="s">
        <v>864</v>
      </c>
      <c r="I21" s="563">
        <v>1.68</v>
      </c>
      <c r="J21" s="563">
        <v>100</v>
      </c>
      <c r="K21" s="564">
        <v>168</v>
      </c>
    </row>
    <row r="22" spans="1:11" ht="14.4" customHeight="1" x14ac:dyDescent="0.3">
      <c r="A22" s="545" t="s">
        <v>472</v>
      </c>
      <c r="B22" s="546" t="s">
        <v>668</v>
      </c>
      <c r="C22" s="549" t="s">
        <v>482</v>
      </c>
      <c r="D22" s="577" t="s">
        <v>669</v>
      </c>
      <c r="E22" s="549" t="s">
        <v>1323</v>
      </c>
      <c r="F22" s="577" t="s">
        <v>1324</v>
      </c>
      <c r="G22" s="549" t="s">
        <v>865</v>
      </c>
      <c r="H22" s="549" t="s">
        <v>866</v>
      </c>
      <c r="I22" s="563">
        <v>68.510000000000005</v>
      </c>
      <c r="J22" s="563">
        <v>2</v>
      </c>
      <c r="K22" s="564">
        <v>137.02000000000001</v>
      </c>
    </row>
    <row r="23" spans="1:11" ht="14.4" customHeight="1" x14ac:dyDescent="0.3">
      <c r="A23" s="545" t="s">
        <v>472</v>
      </c>
      <c r="B23" s="546" t="s">
        <v>668</v>
      </c>
      <c r="C23" s="549" t="s">
        <v>482</v>
      </c>
      <c r="D23" s="577" t="s">
        <v>669</v>
      </c>
      <c r="E23" s="549" t="s">
        <v>1323</v>
      </c>
      <c r="F23" s="577" t="s">
        <v>1324</v>
      </c>
      <c r="G23" s="549" t="s">
        <v>867</v>
      </c>
      <c r="H23" s="549" t="s">
        <v>868</v>
      </c>
      <c r="I23" s="563">
        <v>94.375</v>
      </c>
      <c r="J23" s="563">
        <v>4</v>
      </c>
      <c r="K23" s="564">
        <v>377.5</v>
      </c>
    </row>
    <row r="24" spans="1:11" ht="14.4" customHeight="1" x14ac:dyDescent="0.3">
      <c r="A24" s="545" t="s">
        <v>472</v>
      </c>
      <c r="B24" s="546" t="s">
        <v>668</v>
      </c>
      <c r="C24" s="549" t="s">
        <v>482</v>
      </c>
      <c r="D24" s="577" t="s">
        <v>669</v>
      </c>
      <c r="E24" s="549" t="s">
        <v>1323</v>
      </c>
      <c r="F24" s="577" t="s">
        <v>1324</v>
      </c>
      <c r="G24" s="549" t="s">
        <v>869</v>
      </c>
      <c r="H24" s="549" t="s">
        <v>870</v>
      </c>
      <c r="I24" s="563">
        <v>2.37</v>
      </c>
      <c r="J24" s="563">
        <v>35</v>
      </c>
      <c r="K24" s="564">
        <v>82.949999999999989</v>
      </c>
    </row>
    <row r="25" spans="1:11" ht="14.4" customHeight="1" x14ac:dyDescent="0.3">
      <c r="A25" s="545" t="s">
        <v>472</v>
      </c>
      <c r="B25" s="546" t="s">
        <v>668</v>
      </c>
      <c r="C25" s="549" t="s">
        <v>482</v>
      </c>
      <c r="D25" s="577" t="s">
        <v>669</v>
      </c>
      <c r="E25" s="549" t="s">
        <v>1323</v>
      </c>
      <c r="F25" s="577" t="s">
        <v>1324</v>
      </c>
      <c r="G25" s="549" t="s">
        <v>869</v>
      </c>
      <c r="H25" s="549" t="s">
        <v>871</v>
      </c>
      <c r="I25" s="563">
        <v>2.37</v>
      </c>
      <c r="J25" s="563">
        <v>20</v>
      </c>
      <c r="K25" s="564">
        <v>47.4</v>
      </c>
    </row>
    <row r="26" spans="1:11" ht="14.4" customHeight="1" x14ac:dyDescent="0.3">
      <c r="A26" s="545" t="s">
        <v>472</v>
      </c>
      <c r="B26" s="546" t="s">
        <v>668</v>
      </c>
      <c r="C26" s="549" t="s">
        <v>482</v>
      </c>
      <c r="D26" s="577" t="s">
        <v>669</v>
      </c>
      <c r="E26" s="549" t="s">
        <v>1323</v>
      </c>
      <c r="F26" s="577" t="s">
        <v>1324</v>
      </c>
      <c r="G26" s="549" t="s">
        <v>872</v>
      </c>
      <c r="H26" s="549" t="s">
        <v>873</v>
      </c>
      <c r="I26" s="563">
        <v>1.86</v>
      </c>
      <c r="J26" s="563">
        <v>90</v>
      </c>
      <c r="K26" s="564">
        <v>168.6</v>
      </c>
    </row>
    <row r="27" spans="1:11" ht="14.4" customHeight="1" x14ac:dyDescent="0.3">
      <c r="A27" s="545" t="s">
        <v>472</v>
      </c>
      <c r="B27" s="546" t="s">
        <v>668</v>
      </c>
      <c r="C27" s="549" t="s">
        <v>482</v>
      </c>
      <c r="D27" s="577" t="s">
        <v>669</v>
      </c>
      <c r="E27" s="549" t="s">
        <v>1323</v>
      </c>
      <c r="F27" s="577" t="s">
        <v>1324</v>
      </c>
      <c r="G27" s="549" t="s">
        <v>874</v>
      </c>
      <c r="H27" s="549" t="s">
        <v>875</v>
      </c>
      <c r="I27" s="563">
        <v>1.911</v>
      </c>
      <c r="J27" s="563">
        <v>1650</v>
      </c>
      <c r="K27" s="564">
        <v>3153.5</v>
      </c>
    </row>
    <row r="28" spans="1:11" ht="14.4" customHeight="1" x14ac:dyDescent="0.3">
      <c r="A28" s="545" t="s">
        <v>472</v>
      </c>
      <c r="B28" s="546" t="s">
        <v>668</v>
      </c>
      <c r="C28" s="549" t="s">
        <v>482</v>
      </c>
      <c r="D28" s="577" t="s">
        <v>669</v>
      </c>
      <c r="E28" s="549" t="s">
        <v>1323</v>
      </c>
      <c r="F28" s="577" t="s">
        <v>1324</v>
      </c>
      <c r="G28" s="549" t="s">
        <v>876</v>
      </c>
      <c r="H28" s="549" t="s">
        <v>877</v>
      </c>
      <c r="I28" s="563">
        <v>2.89</v>
      </c>
      <c r="J28" s="563">
        <v>100</v>
      </c>
      <c r="K28" s="564">
        <v>289</v>
      </c>
    </row>
    <row r="29" spans="1:11" ht="14.4" customHeight="1" x14ac:dyDescent="0.3">
      <c r="A29" s="545" t="s">
        <v>472</v>
      </c>
      <c r="B29" s="546" t="s">
        <v>668</v>
      </c>
      <c r="C29" s="549" t="s">
        <v>482</v>
      </c>
      <c r="D29" s="577" t="s">
        <v>669</v>
      </c>
      <c r="E29" s="549" t="s">
        <v>1323</v>
      </c>
      <c r="F29" s="577" t="s">
        <v>1324</v>
      </c>
      <c r="G29" s="549" t="s">
        <v>878</v>
      </c>
      <c r="H29" s="549" t="s">
        <v>879</v>
      </c>
      <c r="I29" s="563">
        <v>1.77</v>
      </c>
      <c r="J29" s="563">
        <v>50</v>
      </c>
      <c r="K29" s="564">
        <v>88.5</v>
      </c>
    </row>
    <row r="30" spans="1:11" ht="14.4" customHeight="1" x14ac:dyDescent="0.3">
      <c r="A30" s="545" t="s">
        <v>472</v>
      </c>
      <c r="B30" s="546" t="s">
        <v>668</v>
      </c>
      <c r="C30" s="549" t="s">
        <v>482</v>
      </c>
      <c r="D30" s="577" t="s">
        <v>669</v>
      </c>
      <c r="E30" s="549" t="s">
        <v>1323</v>
      </c>
      <c r="F30" s="577" t="s">
        <v>1324</v>
      </c>
      <c r="G30" s="549" t="s">
        <v>880</v>
      </c>
      <c r="H30" s="549" t="s">
        <v>881</v>
      </c>
      <c r="I30" s="563">
        <v>1.7675000000000001</v>
      </c>
      <c r="J30" s="563">
        <v>170</v>
      </c>
      <c r="K30" s="564">
        <v>300.7</v>
      </c>
    </row>
    <row r="31" spans="1:11" ht="14.4" customHeight="1" x14ac:dyDescent="0.3">
      <c r="A31" s="545" t="s">
        <v>472</v>
      </c>
      <c r="B31" s="546" t="s">
        <v>668</v>
      </c>
      <c r="C31" s="549" t="s">
        <v>482</v>
      </c>
      <c r="D31" s="577" t="s">
        <v>669</v>
      </c>
      <c r="E31" s="549" t="s">
        <v>1323</v>
      </c>
      <c r="F31" s="577" t="s">
        <v>1324</v>
      </c>
      <c r="G31" s="549" t="s">
        <v>882</v>
      </c>
      <c r="H31" s="549" t="s">
        <v>883</v>
      </c>
      <c r="I31" s="563">
        <v>2.4333333333333331</v>
      </c>
      <c r="J31" s="563">
        <v>550</v>
      </c>
      <c r="K31" s="564">
        <v>1338</v>
      </c>
    </row>
    <row r="32" spans="1:11" ht="14.4" customHeight="1" x14ac:dyDescent="0.3">
      <c r="A32" s="545" t="s">
        <v>472</v>
      </c>
      <c r="B32" s="546" t="s">
        <v>668</v>
      </c>
      <c r="C32" s="549" t="s">
        <v>482</v>
      </c>
      <c r="D32" s="577" t="s">
        <v>669</v>
      </c>
      <c r="E32" s="549" t="s">
        <v>1323</v>
      </c>
      <c r="F32" s="577" t="s">
        <v>1324</v>
      </c>
      <c r="G32" s="549" t="s">
        <v>884</v>
      </c>
      <c r="H32" s="549" t="s">
        <v>885</v>
      </c>
      <c r="I32" s="563">
        <v>1.3076923076923078E-2</v>
      </c>
      <c r="J32" s="563">
        <v>4200</v>
      </c>
      <c r="K32" s="564">
        <v>56.8</v>
      </c>
    </row>
    <row r="33" spans="1:11" ht="14.4" customHeight="1" x14ac:dyDescent="0.3">
      <c r="A33" s="545" t="s">
        <v>472</v>
      </c>
      <c r="B33" s="546" t="s">
        <v>668</v>
      </c>
      <c r="C33" s="549" t="s">
        <v>482</v>
      </c>
      <c r="D33" s="577" t="s">
        <v>669</v>
      </c>
      <c r="E33" s="549" t="s">
        <v>1323</v>
      </c>
      <c r="F33" s="577" t="s">
        <v>1324</v>
      </c>
      <c r="G33" s="549" t="s">
        <v>886</v>
      </c>
      <c r="H33" s="549" t="s">
        <v>887</v>
      </c>
      <c r="I33" s="563">
        <v>2.0499999999999998</v>
      </c>
      <c r="J33" s="563">
        <v>100</v>
      </c>
      <c r="K33" s="564">
        <v>205</v>
      </c>
    </row>
    <row r="34" spans="1:11" ht="14.4" customHeight="1" x14ac:dyDescent="0.3">
      <c r="A34" s="545" t="s">
        <v>472</v>
      </c>
      <c r="B34" s="546" t="s">
        <v>668</v>
      </c>
      <c r="C34" s="549" t="s">
        <v>482</v>
      </c>
      <c r="D34" s="577" t="s">
        <v>669</v>
      </c>
      <c r="E34" s="549" t="s">
        <v>1323</v>
      </c>
      <c r="F34" s="577" t="s">
        <v>1324</v>
      </c>
      <c r="G34" s="549" t="s">
        <v>888</v>
      </c>
      <c r="H34" s="549" t="s">
        <v>889</v>
      </c>
      <c r="I34" s="563">
        <v>2</v>
      </c>
      <c r="J34" s="563">
        <v>30</v>
      </c>
      <c r="K34" s="564">
        <v>60</v>
      </c>
    </row>
    <row r="35" spans="1:11" ht="14.4" customHeight="1" x14ac:dyDescent="0.3">
      <c r="A35" s="545" t="s">
        <v>472</v>
      </c>
      <c r="B35" s="546" t="s">
        <v>668</v>
      </c>
      <c r="C35" s="549" t="s">
        <v>482</v>
      </c>
      <c r="D35" s="577" t="s">
        <v>669</v>
      </c>
      <c r="E35" s="549" t="s">
        <v>1323</v>
      </c>
      <c r="F35" s="577" t="s">
        <v>1324</v>
      </c>
      <c r="G35" s="549" t="s">
        <v>890</v>
      </c>
      <c r="H35" s="549" t="s">
        <v>891</v>
      </c>
      <c r="I35" s="563">
        <v>2.0733333333333333</v>
      </c>
      <c r="J35" s="563">
        <v>40</v>
      </c>
      <c r="K35" s="564">
        <v>83.4</v>
      </c>
    </row>
    <row r="36" spans="1:11" ht="14.4" customHeight="1" x14ac:dyDescent="0.3">
      <c r="A36" s="545" t="s">
        <v>472</v>
      </c>
      <c r="B36" s="546" t="s">
        <v>668</v>
      </c>
      <c r="C36" s="549" t="s">
        <v>482</v>
      </c>
      <c r="D36" s="577" t="s">
        <v>669</v>
      </c>
      <c r="E36" s="549" t="s">
        <v>1323</v>
      </c>
      <c r="F36" s="577" t="s">
        <v>1324</v>
      </c>
      <c r="G36" s="549" t="s">
        <v>892</v>
      </c>
      <c r="H36" s="549" t="s">
        <v>893</v>
      </c>
      <c r="I36" s="563">
        <v>2.407777777777778</v>
      </c>
      <c r="J36" s="563">
        <v>1700</v>
      </c>
      <c r="K36" s="564">
        <v>4093</v>
      </c>
    </row>
    <row r="37" spans="1:11" ht="14.4" customHeight="1" x14ac:dyDescent="0.3">
      <c r="A37" s="545" t="s">
        <v>472</v>
      </c>
      <c r="B37" s="546" t="s">
        <v>668</v>
      </c>
      <c r="C37" s="549" t="s">
        <v>482</v>
      </c>
      <c r="D37" s="577" t="s">
        <v>669</v>
      </c>
      <c r="E37" s="549" t="s">
        <v>1323</v>
      </c>
      <c r="F37" s="577" t="s">
        <v>1324</v>
      </c>
      <c r="G37" s="549" t="s">
        <v>894</v>
      </c>
      <c r="H37" s="549" t="s">
        <v>895</v>
      </c>
      <c r="I37" s="563">
        <v>33.880000000000003</v>
      </c>
      <c r="J37" s="563">
        <v>2</v>
      </c>
      <c r="K37" s="564">
        <v>67.760000000000005</v>
      </c>
    </row>
    <row r="38" spans="1:11" ht="14.4" customHeight="1" x14ac:dyDescent="0.3">
      <c r="A38" s="545" t="s">
        <v>472</v>
      </c>
      <c r="B38" s="546" t="s">
        <v>668</v>
      </c>
      <c r="C38" s="549" t="s">
        <v>482</v>
      </c>
      <c r="D38" s="577" t="s">
        <v>669</v>
      </c>
      <c r="E38" s="549" t="s">
        <v>1323</v>
      </c>
      <c r="F38" s="577" t="s">
        <v>1324</v>
      </c>
      <c r="G38" s="549" t="s">
        <v>896</v>
      </c>
      <c r="H38" s="549" t="s">
        <v>897</v>
      </c>
      <c r="I38" s="563">
        <v>1.63</v>
      </c>
      <c r="J38" s="563">
        <v>450</v>
      </c>
      <c r="K38" s="564">
        <v>733.5</v>
      </c>
    </row>
    <row r="39" spans="1:11" ht="14.4" customHeight="1" x14ac:dyDescent="0.3">
      <c r="A39" s="545" t="s">
        <v>472</v>
      </c>
      <c r="B39" s="546" t="s">
        <v>668</v>
      </c>
      <c r="C39" s="549" t="s">
        <v>482</v>
      </c>
      <c r="D39" s="577" t="s">
        <v>669</v>
      </c>
      <c r="E39" s="549" t="s">
        <v>1323</v>
      </c>
      <c r="F39" s="577" t="s">
        <v>1324</v>
      </c>
      <c r="G39" s="549" t="s">
        <v>898</v>
      </c>
      <c r="H39" s="549" t="s">
        <v>899</v>
      </c>
      <c r="I39" s="563">
        <v>127.015</v>
      </c>
      <c r="J39" s="563">
        <v>3</v>
      </c>
      <c r="K39" s="564">
        <v>381.07</v>
      </c>
    </row>
    <row r="40" spans="1:11" ht="14.4" customHeight="1" x14ac:dyDescent="0.3">
      <c r="A40" s="545" t="s">
        <v>472</v>
      </c>
      <c r="B40" s="546" t="s">
        <v>668</v>
      </c>
      <c r="C40" s="549" t="s">
        <v>482</v>
      </c>
      <c r="D40" s="577" t="s">
        <v>669</v>
      </c>
      <c r="E40" s="549" t="s">
        <v>1323</v>
      </c>
      <c r="F40" s="577" t="s">
        <v>1324</v>
      </c>
      <c r="G40" s="549" t="s">
        <v>900</v>
      </c>
      <c r="H40" s="549" t="s">
        <v>901</v>
      </c>
      <c r="I40" s="563">
        <v>15.005000000000001</v>
      </c>
      <c r="J40" s="563">
        <v>175</v>
      </c>
      <c r="K40" s="564">
        <v>2625.8999999999996</v>
      </c>
    </row>
    <row r="41" spans="1:11" ht="14.4" customHeight="1" x14ac:dyDescent="0.3">
      <c r="A41" s="545" t="s">
        <v>472</v>
      </c>
      <c r="B41" s="546" t="s">
        <v>668</v>
      </c>
      <c r="C41" s="549" t="s">
        <v>482</v>
      </c>
      <c r="D41" s="577" t="s">
        <v>669</v>
      </c>
      <c r="E41" s="549" t="s">
        <v>1323</v>
      </c>
      <c r="F41" s="577" t="s">
        <v>1324</v>
      </c>
      <c r="G41" s="549" t="s">
        <v>902</v>
      </c>
      <c r="H41" s="549" t="s">
        <v>903</v>
      </c>
      <c r="I41" s="563">
        <v>2.6666666666666665</v>
      </c>
      <c r="J41" s="563">
        <v>200</v>
      </c>
      <c r="K41" s="564">
        <v>525.5</v>
      </c>
    </row>
    <row r="42" spans="1:11" ht="14.4" customHeight="1" x14ac:dyDescent="0.3">
      <c r="A42" s="545" t="s">
        <v>472</v>
      </c>
      <c r="B42" s="546" t="s">
        <v>668</v>
      </c>
      <c r="C42" s="549" t="s">
        <v>482</v>
      </c>
      <c r="D42" s="577" t="s">
        <v>669</v>
      </c>
      <c r="E42" s="549" t="s">
        <v>1323</v>
      </c>
      <c r="F42" s="577" t="s">
        <v>1324</v>
      </c>
      <c r="G42" s="549" t="s">
        <v>904</v>
      </c>
      <c r="H42" s="549" t="s">
        <v>905</v>
      </c>
      <c r="I42" s="563">
        <v>21.24</v>
      </c>
      <c r="J42" s="563">
        <v>15</v>
      </c>
      <c r="K42" s="564">
        <v>318.60000000000002</v>
      </c>
    </row>
    <row r="43" spans="1:11" ht="14.4" customHeight="1" x14ac:dyDescent="0.3">
      <c r="A43" s="545" t="s">
        <v>472</v>
      </c>
      <c r="B43" s="546" t="s">
        <v>668</v>
      </c>
      <c r="C43" s="549" t="s">
        <v>482</v>
      </c>
      <c r="D43" s="577" t="s">
        <v>669</v>
      </c>
      <c r="E43" s="549" t="s">
        <v>1323</v>
      </c>
      <c r="F43" s="577" t="s">
        <v>1324</v>
      </c>
      <c r="G43" s="549" t="s">
        <v>906</v>
      </c>
      <c r="H43" s="549" t="s">
        <v>907</v>
      </c>
      <c r="I43" s="563">
        <v>21.22</v>
      </c>
      <c r="J43" s="563">
        <v>5</v>
      </c>
      <c r="K43" s="564">
        <v>106.1</v>
      </c>
    </row>
    <row r="44" spans="1:11" ht="14.4" customHeight="1" x14ac:dyDescent="0.3">
      <c r="A44" s="545" t="s">
        <v>472</v>
      </c>
      <c r="B44" s="546" t="s">
        <v>668</v>
      </c>
      <c r="C44" s="549" t="s">
        <v>482</v>
      </c>
      <c r="D44" s="577" t="s">
        <v>669</v>
      </c>
      <c r="E44" s="549" t="s">
        <v>1323</v>
      </c>
      <c r="F44" s="577" t="s">
        <v>1324</v>
      </c>
      <c r="G44" s="549" t="s">
        <v>908</v>
      </c>
      <c r="H44" s="549" t="s">
        <v>909</v>
      </c>
      <c r="I44" s="563">
        <v>78.69</v>
      </c>
      <c r="J44" s="563">
        <v>2</v>
      </c>
      <c r="K44" s="564">
        <v>157.38</v>
      </c>
    </row>
    <row r="45" spans="1:11" ht="14.4" customHeight="1" x14ac:dyDescent="0.3">
      <c r="A45" s="545" t="s">
        <v>472</v>
      </c>
      <c r="B45" s="546" t="s">
        <v>668</v>
      </c>
      <c r="C45" s="549" t="s">
        <v>482</v>
      </c>
      <c r="D45" s="577" t="s">
        <v>669</v>
      </c>
      <c r="E45" s="549" t="s">
        <v>1323</v>
      </c>
      <c r="F45" s="577" t="s">
        <v>1324</v>
      </c>
      <c r="G45" s="549" t="s">
        <v>910</v>
      </c>
      <c r="H45" s="549" t="s">
        <v>911</v>
      </c>
      <c r="I45" s="563">
        <v>53.3</v>
      </c>
      <c r="J45" s="563">
        <v>2</v>
      </c>
      <c r="K45" s="564">
        <v>106.6</v>
      </c>
    </row>
    <row r="46" spans="1:11" ht="14.4" customHeight="1" x14ac:dyDescent="0.3">
      <c r="A46" s="545" t="s">
        <v>472</v>
      </c>
      <c r="B46" s="546" t="s">
        <v>668</v>
      </c>
      <c r="C46" s="549" t="s">
        <v>482</v>
      </c>
      <c r="D46" s="577" t="s">
        <v>669</v>
      </c>
      <c r="E46" s="549" t="s">
        <v>1323</v>
      </c>
      <c r="F46" s="577" t="s">
        <v>1324</v>
      </c>
      <c r="G46" s="549" t="s">
        <v>912</v>
      </c>
      <c r="H46" s="549" t="s">
        <v>913</v>
      </c>
      <c r="I46" s="563">
        <v>216.35</v>
      </c>
      <c r="J46" s="563">
        <v>1</v>
      </c>
      <c r="K46" s="564">
        <v>216.35</v>
      </c>
    </row>
    <row r="47" spans="1:11" ht="14.4" customHeight="1" x14ac:dyDescent="0.3">
      <c r="A47" s="545" t="s">
        <v>472</v>
      </c>
      <c r="B47" s="546" t="s">
        <v>668</v>
      </c>
      <c r="C47" s="549" t="s">
        <v>482</v>
      </c>
      <c r="D47" s="577" t="s">
        <v>669</v>
      </c>
      <c r="E47" s="549" t="s">
        <v>1323</v>
      </c>
      <c r="F47" s="577" t="s">
        <v>1324</v>
      </c>
      <c r="G47" s="549" t="s">
        <v>914</v>
      </c>
      <c r="H47" s="549" t="s">
        <v>915</v>
      </c>
      <c r="I47" s="563">
        <v>4.47</v>
      </c>
      <c r="J47" s="563">
        <v>100</v>
      </c>
      <c r="K47" s="564">
        <v>447.15</v>
      </c>
    </row>
    <row r="48" spans="1:11" ht="14.4" customHeight="1" x14ac:dyDescent="0.3">
      <c r="A48" s="545" t="s">
        <v>472</v>
      </c>
      <c r="B48" s="546" t="s">
        <v>668</v>
      </c>
      <c r="C48" s="549" t="s">
        <v>482</v>
      </c>
      <c r="D48" s="577" t="s">
        <v>669</v>
      </c>
      <c r="E48" s="549" t="s">
        <v>1323</v>
      </c>
      <c r="F48" s="577" t="s">
        <v>1324</v>
      </c>
      <c r="G48" s="549" t="s">
        <v>916</v>
      </c>
      <c r="H48" s="549" t="s">
        <v>917</v>
      </c>
      <c r="I48" s="563">
        <v>73.81</v>
      </c>
      <c r="J48" s="563">
        <v>2</v>
      </c>
      <c r="K48" s="564">
        <v>147.62</v>
      </c>
    </row>
    <row r="49" spans="1:11" ht="14.4" customHeight="1" x14ac:dyDescent="0.3">
      <c r="A49" s="545" t="s">
        <v>472</v>
      </c>
      <c r="B49" s="546" t="s">
        <v>668</v>
      </c>
      <c r="C49" s="549" t="s">
        <v>482</v>
      </c>
      <c r="D49" s="577" t="s">
        <v>669</v>
      </c>
      <c r="E49" s="549" t="s">
        <v>1325</v>
      </c>
      <c r="F49" s="577" t="s">
        <v>1326</v>
      </c>
      <c r="G49" s="549" t="s">
        <v>918</v>
      </c>
      <c r="H49" s="549" t="s">
        <v>919</v>
      </c>
      <c r="I49" s="563">
        <v>8.17</v>
      </c>
      <c r="J49" s="563">
        <v>10</v>
      </c>
      <c r="K49" s="564">
        <v>81.7</v>
      </c>
    </row>
    <row r="50" spans="1:11" ht="14.4" customHeight="1" x14ac:dyDescent="0.3">
      <c r="A50" s="545" t="s">
        <v>472</v>
      </c>
      <c r="B50" s="546" t="s">
        <v>668</v>
      </c>
      <c r="C50" s="549" t="s">
        <v>482</v>
      </c>
      <c r="D50" s="577" t="s">
        <v>669</v>
      </c>
      <c r="E50" s="549" t="s">
        <v>1327</v>
      </c>
      <c r="F50" s="577" t="s">
        <v>1328</v>
      </c>
      <c r="G50" s="549" t="s">
        <v>920</v>
      </c>
      <c r="H50" s="549" t="s">
        <v>921</v>
      </c>
      <c r="I50" s="563">
        <v>0.31</v>
      </c>
      <c r="J50" s="563">
        <v>100</v>
      </c>
      <c r="K50" s="564">
        <v>31</v>
      </c>
    </row>
    <row r="51" spans="1:11" ht="14.4" customHeight="1" x14ac:dyDescent="0.3">
      <c r="A51" s="545" t="s">
        <v>472</v>
      </c>
      <c r="B51" s="546" t="s">
        <v>668</v>
      </c>
      <c r="C51" s="549" t="s">
        <v>482</v>
      </c>
      <c r="D51" s="577" t="s">
        <v>669</v>
      </c>
      <c r="E51" s="549" t="s">
        <v>1327</v>
      </c>
      <c r="F51" s="577" t="s">
        <v>1328</v>
      </c>
      <c r="G51" s="549" t="s">
        <v>920</v>
      </c>
      <c r="H51" s="549" t="s">
        <v>922</v>
      </c>
      <c r="I51" s="563">
        <v>0.30499999999999999</v>
      </c>
      <c r="J51" s="563">
        <v>200</v>
      </c>
      <c r="K51" s="564">
        <v>61</v>
      </c>
    </row>
    <row r="52" spans="1:11" ht="14.4" customHeight="1" x14ac:dyDescent="0.3">
      <c r="A52" s="545" t="s">
        <v>472</v>
      </c>
      <c r="B52" s="546" t="s">
        <v>668</v>
      </c>
      <c r="C52" s="549" t="s">
        <v>482</v>
      </c>
      <c r="D52" s="577" t="s">
        <v>669</v>
      </c>
      <c r="E52" s="549" t="s">
        <v>1327</v>
      </c>
      <c r="F52" s="577" t="s">
        <v>1328</v>
      </c>
      <c r="G52" s="549" t="s">
        <v>923</v>
      </c>
      <c r="H52" s="549" t="s">
        <v>924</v>
      </c>
      <c r="I52" s="563">
        <v>0.31</v>
      </c>
      <c r="J52" s="563">
        <v>200</v>
      </c>
      <c r="K52" s="564">
        <v>62</v>
      </c>
    </row>
    <row r="53" spans="1:11" ht="14.4" customHeight="1" x14ac:dyDescent="0.3">
      <c r="A53" s="545" t="s">
        <v>472</v>
      </c>
      <c r="B53" s="546" t="s">
        <v>668</v>
      </c>
      <c r="C53" s="549" t="s">
        <v>482</v>
      </c>
      <c r="D53" s="577" t="s">
        <v>669</v>
      </c>
      <c r="E53" s="549" t="s">
        <v>1327</v>
      </c>
      <c r="F53" s="577" t="s">
        <v>1328</v>
      </c>
      <c r="G53" s="549" t="s">
        <v>925</v>
      </c>
      <c r="H53" s="549" t="s">
        <v>926</v>
      </c>
      <c r="I53" s="563">
        <v>0.3</v>
      </c>
      <c r="J53" s="563">
        <v>200</v>
      </c>
      <c r="K53" s="564">
        <v>60</v>
      </c>
    </row>
    <row r="54" spans="1:11" ht="14.4" customHeight="1" x14ac:dyDescent="0.3">
      <c r="A54" s="545" t="s">
        <v>472</v>
      </c>
      <c r="B54" s="546" t="s">
        <v>668</v>
      </c>
      <c r="C54" s="549" t="s">
        <v>482</v>
      </c>
      <c r="D54" s="577" t="s">
        <v>669</v>
      </c>
      <c r="E54" s="549" t="s">
        <v>1327</v>
      </c>
      <c r="F54" s="577" t="s">
        <v>1328</v>
      </c>
      <c r="G54" s="549" t="s">
        <v>927</v>
      </c>
      <c r="H54" s="549" t="s">
        <v>928</v>
      </c>
      <c r="I54" s="563">
        <v>1.7533333333333332</v>
      </c>
      <c r="J54" s="563">
        <v>4100</v>
      </c>
      <c r="K54" s="564">
        <v>7190</v>
      </c>
    </row>
    <row r="55" spans="1:11" ht="14.4" customHeight="1" x14ac:dyDescent="0.3">
      <c r="A55" s="545" t="s">
        <v>472</v>
      </c>
      <c r="B55" s="546" t="s">
        <v>668</v>
      </c>
      <c r="C55" s="549" t="s">
        <v>482</v>
      </c>
      <c r="D55" s="577" t="s">
        <v>669</v>
      </c>
      <c r="E55" s="549" t="s">
        <v>1327</v>
      </c>
      <c r="F55" s="577" t="s">
        <v>1328</v>
      </c>
      <c r="G55" s="549" t="s">
        <v>929</v>
      </c>
      <c r="H55" s="549" t="s">
        <v>930</v>
      </c>
      <c r="I55" s="563">
        <v>48.78</v>
      </c>
      <c r="J55" s="563">
        <v>25</v>
      </c>
      <c r="K55" s="564">
        <v>1219.5</v>
      </c>
    </row>
    <row r="56" spans="1:11" ht="14.4" customHeight="1" x14ac:dyDescent="0.3">
      <c r="A56" s="545" t="s">
        <v>472</v>
      </c>
      <c r="B56" s="546" t="s">
        <v>668</v>
      </c>
      <c r="C56" s="549" t="s">
        <v>482</v>
      </c>
      <c r="D56" s="577" t="s">
        <v>669</v>
      </c>
      <c r="E56" s="549" t="s">
        <v>1327</v>
      </c>
      <c r="F56" s="577" t="s">
        <v>1328</v>
      </c>
      <c r="G56" s="549" t="s">
        <v>929</v>
      </c>
      <c r="H56" s="549" t="s">
        <v>931</v>
      </c>
      <c r="I56" s="563">
        <v>48.78</v>
      </c>
      <c r="J56" s="563">
        <v>19</v>
      </c>
      <c r="K56" s="564">
        <v>926.82</v>
      </c>
    </row>
    <row r="57" spans="1:11" ht="14.4" customHeight="1" x14ac:dyDescent="0.3">
      <c r="A57" s="545" t="s">
        <v>472</v>
      </c>
      <c r="B57" s="546" t="s">
        <v>668</v>
      </c>
      <c r="C57" s="549" t="s">
        <v>482</v>
      </c>
      <c r="D57" s="577" t="s">
        <v>669</v>
      </c>
      <c r="E57" s="549" t="s">
        <v>1329</v>
      </c>
      <c r="F57" s="577" t="s">
        <v>1330</v>
      </c>
      <c r="G57" s="549" t="s">
        <v>932</v>
      </c>
      <c r="H57" s="549" t="s">
        <v>933</v>
      </c>
      <c r="I57" s="563">
        <v>0.72800000000000009</v>
      </c>
      <c r="J57" s="563">
        <v>3000</v>
      </c>
      <c r="K57" s="564">
        <v>2182.1999999999998</v>
      </c>
    </row>
    <row r="58" spans="1:11" ht="14.4" customHeight="1" x14ac:dyDescent="0.3">
      <c r="A58" s="545" t="s">
        <v>472</v>
      </c>
      <c r="B58" s="546" t="s">
        <v>668</v>
      </c>
      <c r="C58" s="549" t="s">
        <v>482</v>
      </c>
      <c r="D58" s="577" t="s">
        <v>669</v>
      </c>
      <c r="E58" s="549" t="s">
        <v>1329</v>
      </c>
      <c r="F58" s="577" t="s">
        <v>1330</v>
      </c>
      <c r="G58" s="549" t="s">
        <v>934</v>
      </c>
      <c r="H58" s="549" t="s">
        <v>935</v>
      </c>
      <c r="I58" s="563">
        <v>0.72833333333333339</v>
      </c>
      <c r="J58" s="563">
        <v>800</v>
      </c>
      <c r="K58" s="564">
        <v>582.79999999999995</v>
      </c>
    </row>
    <row r="59" spans="1:11" ht="14.4" customHeight="1" x14ac:dyDescent="0.3">
      <c r="A59" s="545" t="s">
        <v>472</v>
      </c>
      <c r="B59" s="546" t="s">
        <v>668</v>
      </c>
      <c r="C59" s="549" t="s">
        <v>482</v>
      </c>
      <c r="D59" s="577" t="s">
        <v>669</v>
      </c>
      <c r="E59" s="549" t="s">
        <v>1329</v>
      </c>
      <c r="F59" s="577" t="s">
        <v>1330</v>
      </c>
      <c r="G59" s="549" t="s">
        <v>936</v>
      </c>
      <c r="H59" s="549" t="s">
        <v>937</v>
      </c>
      <c r="I59" s="563">
        <v>7.5</v>
      </c>
      <c r="J59" s="563">
        <v>40</v>
      </c>
      <c r="K59" s="564">
        <v>300</v>
      </c>
    </row>
    <row r="60" spans="1:11" ht="14.4" customHeight="1" x14ac:dyDescent="0.3">
      <c r="A60" s="545" t="s">
        <v>472</v>
      </c>
      <c r="B60" s="546" t="s">
        <v>668</v>
      </c>
      <c r="C60" s="549" t="s">
        <v>482</v>
      </c>
      <c r="D60" s="577" t="s">
        <v>669</v>
      </c>
      <c r="E60" s="549" t="s">
        <v>1329</v>
      </c>
      <c r="F60" s="577" t="s">
        <v>1330</v>
      </c>
      <c r="G60" s="549" t="s">
        <v>938</v>
      </c>
      <c r="H60" s="549" t="s">
        <v>939</v>
      </c>
      <c r="I60" s="563">
        <v>11.013333333333334</v>
      </c>
      <c r="J60" s="563">
        <v>120</v>
      </c>
      <c r="K60" s="564">
        <v>1321.6</v>
      </c>
    </row>
    <row r="61" spans="1:11" ht="14.4" customHeight="1" x14ac:dyDescent="0.3">
      <c r="A61" s="545" t="s">
        <v>472</v>
      </c>
      <c r="B61" s="546" t="s">
        <v>668</v>
      </c>
      <c r="C61" s="549" t="s">
        <v>482</v>
      </c>
      <c r="D61" s="577" t="s">
        <v>669</v>
      </c>
      <c r="E61" s="549" t="s">
        <v>1329</v>
      </c>
      <c r="F61" s="577" t="s">
        <v>1330</v>
      </c>
      <c r="G61" s="549" t="s">
        <v>940</v>
      </c>
      <c r="H61" s="549" t="s">
        <v>941</v>
      </c>
      <c r="I61" s="563">
        <v>0.71</v>
      </c>
      <c r="J61" s="563">
        <v>200</v>
      </c>
      <c r="K61" s="564">
        <v>142</v>
      </c>
    </row>
    <row r="62" spans="1:11" ht="14.4" customHeight="1" x14ac:dyDescent="0.3">
      <c r="A62" s="545" t="s">
        <v>472</v>
      </c>
      <c r="B62" s="546" t="s">
        <v>668</v>
      </c>
      <c r="C62" s="549" t="s">
        <v>485</v>
      </c>
      <c r="D62" s="577" t="s">
        <v>670</v>
      </c>
      <c r="E62" s="549" t="s">
        <v>1321</v>
      </c>
      <c r="F62" s="577" t="s">
        <v>1322</v>
      </c>
      <c r="G62" s="549" t="s">
        <v>942</v>
      </c>
      <c r="H62" s="549" t="s">
        <v>943</v>
      </c>
      <c r="I62" s="563">
        <v>0.5033333333333333</v>
      </c>
      <c r="J62" s="563">
        <v>1500</v>
      </c>
      <c r="K62" s="564">
        <v>755</v>
      </c>
    </row>
    <row r="63" spans="1:11" ht="14.4" customHeight="1" x14ac:dyDescent="0.3">
      <c r="A63" s="545" t="s">
        <v>472</v>
      </c>
      <c r="B63" s="546" t="s">
        <v>668</v>
      </c>
      <c r="C63" s="549" t="s">
        <v>485</v>
      </c>
      <c r="D63" s="577" t="s">
        <v>670</v>
      </c>
      <c r="E63" s="549" t="s">
        <v>1321</v>
      </c>
      <c r="F63" s="577" t="s">
        <v>1322</v>
      </c>
      <c r="G63" s="549" t="s">
        <v>839</v>
      </c>
      <c r="H63" s="549" t="s">
        <v>840</v>
      </c>
      <c r="I63" s="563">
        <v>27.389999999999997</v>
      </c>
      <c r="J63" s="563">
        <v>37</v>
      </c>
      <c r="K63" s="564">
        <v>1013.8100000000001</v>
      </c>
    </row>
    <row r="64" spans="1:11" ht="14.4" customHeight="1" x14ac:dyDescent="0.3">
      <c r="A64" s="545" t="s">
        <v>472</v>
      </c>
      <c r="B64" s="546" t="s">
        <v>668</v>
      </c>
      <c r="C64" s="549" t="s">
        <v>485</v>
      </c>
      <c r="D64" s="577" t="s">
        <v>670</v>
      </c>
      <c r="E64" s="549" t="s">
        <v>1321</v>
      </c>
      <c r="F64" s="577" t="s">
        <v>1322</v>
      </c>
      <c r="G64" s="549" t="s">
        <v>944</v>
      </c>
      <c r="H64" s="549" t="s">
        <v>945</v>
      </c>
      <c r="I64" s="563">
        <v>1.23</v>
      </c>
      <c r="J64" s="563">
        <v>800</v>
      </c>
      <c r="K64" s="564">
        <v>984</v>
      </c>
    </row>
    <row r="65" spans="1:11" ht="14.4" customHeight="1" x14ac:dyDescent="0.3">
      <c r="A65" s="545" t="s">
        <v>472</v>
      </c>
      <c r="B65" s="546" t="s">
        <v>668</v>
      </c>
      <c r="C65" s="549" t="s">
        <v>485</v>
      </c>
      <c r="D65" s="577" t="s">
        <v>670</v>
      </c>
      <c r="E65" s="549" t="s">
        <v>1321</v>
      </c>
      <c r="F65" s="577" t="s">
        <v>1322</v>
      </c>
      <c r="G65" s="549" t="s">
        <v>847</v>
      </c>
      <c r="H65" s="549" t="s">
        <v>848</v>
      </c>
      <c r="I65" s="563">
        <v>27.94</v>
      </c>
      <c r="J65" s="563">
        <v>8</v>
      </c>
      <c r="K65" s="564">
        <v>223.52</v>
      </c>
    </row>
    <row r="66" spans="1:11" ht="14.4" customHeight="1" x14ac:dyDescent="0.3">
      <c r="A66" s="545" t="s">
        <v>472</v>
      </c>
      <c r="B66" s="546" t="s">
        <v>668</v>
      </c>
      <c r="C66" s="549" t="s">
        <v>485</v>
      </c>
      <c r="D66" s="577" t="s">
        <v>670</v>
      </c>
      <c r="E66" s="549" t="s">
        <v>1321</v>
      </c>
      <c r="F66" s="577" t="s">
        <v>1322</v>
      </c>
      <c r="G66" s="549" t="s">
        <v>946</v>
      </c>
      <c r="H66" s="549" t="s">
        <v>947</v>
      </c>
      <c r="I66" s="563">
        <v>98.38</v>
      </c>
      <c r="J66" s="563">
        <v>2</v>
      </c>
      <c r="K66" s="564">
        <v>196.76</v>
      </c>
    </row>
    <row r="67" spans="1:11" ht="14.4" customHeight="1" x14ac:dyDescent="0.3">
      <c r="A67" s="545" t="s">
        <v>472</v>
      </c>
      <c r="B67" s="546" t="s">
        <v>668</v>
      </c>
      <c r="C67" s="549" t="s">
        <v>485</v>
      </c>
      <c r="D67" s="577" t="s">
        <v>670</v>
      </c>
      <c r="E67" s="549" t="s">
        <v>1323</v>
      </c>
      <c r="F67" s="577" t="s">
        <v>1324</v>
      </c>
      <c r="G67" s="549" t="s">
        <v>863</v>
      </c>
      <c r="H67" s="549" t="s">
        <v>864</v>
      </c>
      <c r="I67" s="563">
        <v>1.44</v>
      </c>
      <c r="J67" s="563">
        <v>100</v>
      </c>
      <c r="K67" s="564">
        <v>144</v>
      </c>
    </row>
    <row r="68" spans="1:11" ht="14.4" customHeight="1" x14ac:dyDescent="0.3">
      <c r="A68" s="545" t="s">
        <v>472</v>
      </c>
      <c r="B68" s="546" t="s">
        <v>668</v>
      </c>
      <c r="C68" s="549" t="s">
        <v>485</v>
      </c>
      <c r="D68" s="577" t="s">
        <v>670</v>
      </c>
      <c r="E68" s="549" t="s">
        <v>1323</v>
      </c>
      <c r="F68" s="577" t="s">
        <v>1324</v>
      </c>
      <c r="G68" s="549" t="s">
        <v>948</v>
      </c>
      <c r="H68" s="549" t="s">
        <v>949</v>
      </c>
      <c r="I68" s="563">
        <v>0.45111111111111107</v>
      </c>
      <c r="J68" s="563">
        <v>1200</v>
      </c>
      <c r="K68" s="564">
        <v>538</v>
      </c>
    </row>
    <row r="69" spans="1:11" ht="14.4" customHeight="1" x14ac:dyDescent="0.3">
      <c r="A69" s="545" t="s">
        <v>472</v>
      </c>
      <c r="B69" s="546" t="s">
        <v>668</v>
      </c>
      <c r="C69" s="549" t="s">
        <v>485</v>
      </c>
      <c r="D69" s="577" t="s">
        <v>670</v>
      </c>
      <c r="E69" s="549" t="s">
        <v>1323</v>
      </c>
      <c r="F69" s="577" t="s">
        <v>1324</v>
      </c>
      <c r="G69" s="549" t="s">
        <v>950</v>
      </c>
      <c r="H69" s="549" t="s">
        <v>951</v>
      </c>
      <c r="I69" s="563">
        <v>1.84</v>
      </c>
      <c r="J69" s="563">
        <v>1400</v>
      </c>
      <c r="K69" s="564">
        <v>2576</v>
      </c>
    </row>
    <row r="70" spans="1:11" ht="14.4" customHeight="1" x14ac:dyDescent="0.3">
      <c r="A70" s="545" t="s">
        <v>472</v>
      </c>
      <c r="B70" s="546" t="s">
        <v>668</v>
      </c>
      <c r="C70" s="549" t="s">
        <v>485</v>
      </c>
      <c r="D70" s="577" t="s">
        <v>670</v>
      </c>
      <c r="E70" s="549" t="s">
        <v>1323</v>
      </c>
      <c r="F70" s="577" t="s">
        <v>1324</v>
      </c>
      <c r="G70" s="549" t="s">
        <v>952</v>
      </c>
      <c r="H70" s="549" t="s">
        <v>953</v>
      </c>
      <c r="I70" s="563">
        <v>0.59333333333333327</v>
      </c>
      <c r="J70" s="563">
        <v>1200</v>
      </c>
      <c r="K70" s="564">
        <v>712</v>
      </c>
    </row>
    <row r="71" spans="1:11" ht="14.4" customHeight="1" x14ac:dyDescent="0.3">
      <c r="A71" s="545" t="s">
        <v>472</v>
      </c>
      <c r="B71" s="546" t="s">
        <v>668</v>
      </c>
      <c r="C71" s="549" t="s">
        <v>485</v>
      </c>
      <c r="D71" s="577" t="s">
        <v>670</v>
      </c>
      <c r="E71" s="549" t="s">
        <v>1323</v>
      </c>
      <c r="F71" s="577" t="s">
        <v>1324</v>
      </c>
      <c r="G71" s="549" t="s">
        <v>954</v>
      </c>
      <c r="H71" s="549" t="s">
        <v>955</v>
      </c>
      <c r="I71" s="563">
        <v>4.2366666666666672</v>
      </c>
      <c r="J71" s="563">
        <v>150</v>
      </c>
      <c r="K71" s="564">
        <v>635.5</v>
      </c>
    </row>
    <row r="72" spans="1:11" ht="14.4" customHeight="1" x14ac:dyDescent="0.3">
      <c r="A72" s="545" t="s">
        <v>472</v>
      </c>
      <c r="B72" s="546" t="s">
        <v>668</v>
      </c>
      <c r="C72" s="549" t="s">
        <v>485</v>
      </c>
      <c r="D72" s="577" t="s">
        <v>670</v>
      </c>
      <c r="E72" s="549" t="s">
        <v>1323</v>
      </c>
      <c r="F72" s="577" t="s">
        <v>1324</v>
      </c>
      <c r="G72" s="549" t="s">
        <v>900</v>
      </c>
      <c r="H72" s="549" t="s">
        <v>901</v>
      </c>
      <c r="I72" s="563">
        <v>15.001666666666665</v>
      </c>
      <c r="J72" s="563">
        <v>122</v>
      </c>
      <c r="K72" s="564">
        <v>1830.26</v>
      </c>
    </row>
    <row r="73" spans="1:11" ht="14.4" customHeight="1" x14ac:dyDescent="0.3">
      <c r="A73" s="545" t="s">
        <v>472</v>
      </c>
      <c r="B73" s="546" t="s">
        <v>668</v>
      </c>
      <c r="C73" s="549" t="s">
        <v>485</v>
      </c>
      <c r="D73" s="577" t="s">
        <v>670</v>
      </c>
      <c r="E73" s="549" t="s">
        <v>1323</v>
      </c>
      <c r="F73" s="577" t="s">
        <v>1324</v>
      </c>
      <c r="G73" s="549" t="s">
        <v>956</v>
      </c>
      <c r="H73" s="549" t="s">
        <v>957</v>
      </c>
      <c r="I73" s="563">
        <v>25.53</v>
      </c>
      <c r="J73" s="563">
        <v>23</v>
      </c>
      <c r="K73" s="564">
        <v>587.19000000000005</v>
      </c>
    </row>
    <row r="74" spans="1:11" ht="14.4" customHeight="1" x14ac:dyDescent="0.3">
      <c r="A74" s="545" t="s">
        <v>472</v>
      </c>
      <c r="B74" s="546" t="s">
        <v>668</v>
      </c>
      <c r="C74" s="549" t="s">
        <v>485</v>
      </c>
      <c r="D74" s="577" t="s">
        <v>670</v>
      </c>
      <c r="E74" s="549" t="s">
        <v>1323</v>
      </c>
      <c r="F74" s="577" t="s">
        <v>1324</v>
      </c>
      <c r="G74" s="549" t="s">
        <v>958</v>
      </c>
      <c r="H74" s="549" t="s">
        <v>959</v>
      </c>
      <c r="I74" s="563">
        <v>2</v>
      </c>
      <c r="J74" s="563">
        <v>1800</v>
      </c>
      <c r="K74" s="564">
        <v>3603.38</v>
      </c>
    </row>
    <row r="75" spans="1:11" ht="14.4" customHeight="1" x14ac:dyDescent="0.3">
      <c r="A75" s="545" t="s">
        <v>472</v>
      </c>
      <c r="B75" s="546" t="s">
        <v>668</v>
      </c>
      <c r="C75" s="549" t="s">
        <v>485</v>
      </c>
      <c r="D75" s="577" t="s">
        <v>670</v>
      </c>
      <c r="E75" s="549" t="s">
        <v>1323</v>
      </c>
      <c r="F75" s="577" t="s">
        <v>1324</v>
      </c>
      <c r="G75" s="549" t="s">
        <v>960</v>
      </c>
      <c r="H75" s="549" t="s">
        <v>961</v>
      </c>
      <c r="I75" s="563">
        <v>2.0099999999999998</v>
      </c>
      <c r="J75" s="563">
        <v>1400</v>
      </c>
      <c r="K75" s="564">
        <v>2814</v>
      </c>
    </row>
    <row r="76" spans="1:11" ht="14.4" customHeight="1" x14ac:dyDescent="0.3">
      <c r="A76" s="545" t="s">
        <v>472</v>
      </c>
      <c r="B76" s="546" t="s">
        <v>668</v>
      </c>
      <c r="C76" s="549" t="s">
        <v>485</v>
      </c>
      <c r="D76" s="577" t="s">
        <v>670</v>
      </c>
      <c r="E76" s="549" t="s">
        <v>1323</v>
      </c>
      <c r="F76" s="577" t="s">
        <v>1324</v>
      </c>
      <c r="G76" s="549" t="s">
        <v>962</v>
      </c>
      <c r="H76" s="549" t="s">
        <v>963</v>
      </c>
      <c r="I76" s="563">
        <v>209.5</v>
      </c>
      <c r="J76" s="563">
        <v>2</v>
      </c>
      <c r="K76" s="564">
        <v>419</v>
      </c>
    </row>
    <row r="77" spans="1:11" ht="14.4" customHeight="1" x14ac:dyDescent="0.3">
      <c r="A77" s="545" t="s">
        <v>472</v>
      </c>
      <c r="B77" s="546" t="s">
        <v>668</v>
      </c>
      <c r="C77" s="549" t="s">
        <v>485</v>
      </c>
      <c r="D77" s="577" t="s">
        <v>670</v>
      </c>
      <c r="E77" s="549" t="s">
        <v>1323</v>
      </c>
      <c r="F77" s="577" t="s">
        <v>1324</v>
      </c>
      <c r="G77" s="549" t="s">
        <v>964</v>
      </c>
      <c r="H77" s="549" t="s">
        <v>965</v>
      </c>
      <c r="I77" s="563">
        <v>21.68</v>
      </c>
      <c r="J77" s="563">
        <v>250</v>
      </c>
      <c r="K77" s="564">
        <v>5420.8</v>
      </c>
    </row>
    <row r="78" spans="1:11" ht="14.4" customHeight="1" x14ac:dyDescent="0.3">
      <c r="A78" s="545" t="s">
        <v>472</v>
      </c>
      <c r="B78" s="546" t="s">
        <v>668</v>
      </c>
      <c r="C78" s="549" t="s">
        <v>485</v>
      </c>
      <c r="D78" s="577" t="s">
        <v>670</v>
      </c>
      <c r="E78" s="549" t="s">
        <v>1323</v>
      </c>
      <c r="F78" s="577" t="s">
        <v>1324</v>
      </c>
      <c r="G78" s="549" t="s">
        <v>966</v>
      </c>
      <c r="H78" s="549" t="s">
        <v>967</v>
      </c>
      <c r="I78" s="563">
        <v>523.92999999999995</v>
      </c>
      <c r="J78" s="563">
        <v>4</v>
      </c>
      <c r="K78" s="564">
        <v>2095.7199999999998</v>
      </c>
    </row>
    <row r="79" spans="1:11" ht="14.4" customHeight="1" x14ac:dyDescent="0.3">
      <c r="A79" s="545" t="s">
        <v>472</v>
      </c>
      <c r="B79" s="546" t="s">
        <v>668</v>
      </c>
      <c r="C79" s="549" t="s">
        <v>485</v>
      </c>
      <c r="D79" s="577" t="s">
        <v>670</v>
      </c>
      <c r="E79" s="549" t="s">
        <v>1323</v>
      </c>
      <c r="F79" s="577" t="s">
        <v>1324</v>
      </c>
      <c r="G79" s="549" t="s">
        <v>968</v>
      </c>
      <c r="H79" s="549" t="s">
        <v>969</v>
      </c>
      <c r="I79" s="563">
        <v>94.38</v>
      </c>
      <c r="J79" s="563">
        <v>5</v>
      </c>
      <c r="K79" s="564">
        <v>471.9</v>
      </c>
    </row>
    <row r="80" spans="1:11" ht="14.4" customHeight="1" x14ac:dyDescent="0.3">
      <c r="A80" s="545" t="s">
        <v>472</v>
      </c>
      <c r="B80" s="546" t="s">
        <v>668</v>
      </c>
      <c r="C80" s="549" t="s">
        <v>485</v>
      </c>
      <c r="D80" s="577" t="s">
        <v>670</v>
      </c>
      <c r="E80" s="549" t="s">
        <v>1323</v>
      </c>
      <c r="F80" s="577" t="s">
        <v>1324</v>
      </c>
      <c r="G80" s="549" t="s">
        <v>970</v>
      </c>
      <c r="H80" s="549" t="s">
        <v>971</v>
      </c>
      <c r="I80" s="563">
        <v>8223.81</v>
      </c>
      <c r="J80" s="563">
        <v>1</v>
      </c>
      <c r="K80" s="564">
        <v>8223.81</v>
      </c>
    </row>
    <row r="81" spans="1:11" ht="14.4" customHeight="1" x14ac:dyDescent="0.3">
      <c r="A81" s="545" t="s">
        <v>472</v>
      </c>
      <c r="B81" s="546" t="s">
        <v>668</v>
      </c>
      <c r="C81" s="549" t="s">
        <v>485</v>
      </c>
      <c r="D81" s="577" t="s">
        <v>670</v>
      </c>
      <c r="E81" s="549" t="s">
        <v>1323</v>
      </c>
      <c r="F81" s="577" t="s">
        <v>1324</v>
      </c>
      <c r="G81" s="549" t="s">
        <v>972</v>
      </c>
      <c r="H81" s="549" t="s">
        <v>973</v>
      </c>
      <c r="I81" s="563">
        <v>3.8200000000000003</v>
      </c>
      <c r="J81" s="563">
        <v>960</v>
      </c>
      <c r="K81" s="564">
        <v>3664.12</v>
      </c>
    </row>
    <row r="82" spans="1:11" ht="14.4" customHeight="1" x14ac:dyDescent="0.3">
      <c r="A82" s="545" t="s">
        <v>472</v>
      </c>
      <c r="B82" s="546" t="s">
        <v>668</v>
      </c>
      <c r="C82" s="549" t="s">
        <v>485</v>
      </c>
      <c r="D82" s="577" t="s">
        <v>670</v>
      </c>
      <c r="E82" s="549" t="s">
        <v>1323</v>
      </c>
      <c r="F82" s="577" t="s">
        <v>1324</v>
      </c>
      <c r="G82" s="549" t="s">
        <v>974</v>
      </c>
      <c r="H82" s="549" t="s">
        <v>975</v>
      </c>
      <c r="I82" s="563">
        <v>33.49</v>
      </c>
      <c r="J82" s="563">
        <v>125</v>
      </c>
      <c r="K82" s="564">
        <v>4185.63</v>
      </c>
    </row>
    <row r="83" spans="1:11" ht="14.4" customHeight="1" x14ac:dyDescent="0.3">
      <c r="A83" s="545" t="s">
        <v>472</v>
      </c>
      <c r="B83" s="546" t="s">
        <v>668</v>
      </c>
      <c r="C83" s="549" t="s">
        <v>485</v>
      </c>
      <c r="D83" s="577" t="s">
        <v>670</v>
      </c>
      <c r="E83" s="549" t="s">
        <v>1323</v>
      </c>
      <c r="F83" s="577" t="s">
        <v>1324</v>
      </c>
      <c r="G83" s="549" t="s">
        <v>976</v>
      </c>
      <c r="H83" s="549" t="s">
        <v>977</v>
      </c>
      <c r="I83" s="563">
        <v>1966.07</v>
      </c>
      <c r="J83" s="563">
        <v>9</v>
      </c>
      <c r="K83" s="564">
        <v>17692.2</v>
      </c>
    </row>
    <row r="84" spans="1:11" ht="14.4" customHeight="1" x14ac:dyDescent="0.3">
      <c r="A84" s="545" t="s">
        <v>472</v>
      </c>
      <c r="B84" s="546" t="s">
        <v>668</v>
      </c>
      <c r="C84" s="549" t="s">
        <v>485</v>
      </c>
      <c r="D84" s="577" t="s">
        <v>670</v>
      </c>
      <c r="E84" s="549" t="s">
        <v>1323</v>
      </c>
      <c r="F84" s="577" t="s">
        <v>1324</v>
      </c>
      <c r="G84" s="549" t="s">
        <v>978</v>
      </c>
      <c r="H84" s="549" t="s">
        <v>979</v>
      </c>
      <c r="I84" s="563">
        <v>49.01</v>
      </c>
      <c r="J84" s="563">
        <v>40</v>
      </c>
      <c r="K84" s="564">
        <v>1960.2</v>
      </c>
    </row>
    <row r="85" spans="1:11" ht="14.4" customHeight="1" x14ac:dyDescent="0.3">
      <c r="A85" s="545" t="s">
        <v>472</v>
      </c>
      <c r="B85" s="546" t="s">
        <v>668</v>
      </c>
      <c r="C85" s="549" t="s">
        <v>485</v>
      </c>
      <c r="D85" s="577" t="s">
        <v>670</v>
      </c>
      <c r="E85" s="549" t="s">
        <v>1323</v>
      </c>
      <c r="F85" s="577" t="s">
        <v>1324</v>
      </c>
      <c r="G85" s="549" t="s">
        <v>980</v>
      </c>
      <c r="H85" s="549" t="s">
        <v>981</v>
      </c>
      <c r="I85" s="563">
        <v>68.73</v>
      </c>
      <c r="J85" s="563">
        <v>100</v>
      </c>
      <c r="K85" s="564">
        <v>6872.8</v>
      </c>
    </row>
    <row r="86" spans="1:11" ht="14.4" customHeight="1" x14ac:dyDescent="0.3">
      <c r="A86" s="545" t="s">
        <v>472</v>
      </c>
      <c r="B86" s="546" t="s">
        <v>668</v>
      </c>
      <c r="C86" s="549" t="s">
        <v>485</v>
      </c>
      <c r="D86" s="577" t="s">
        <v>670</v>
      </c>
      <c r="E86" s="549" t="s">
        <v>1323</v>
      </c>
      <c r="F86" s="577" t="s">
        <v>1324</v>
      </c>
      <c r="G86" s="549" t="s">
        <v>982</v>
      </c>
      <c r="H86" s="549" t="s">
        <v>983</v>
      </c>
      <c r="I86" s="563">
        <v>3071</v>
      </c>
      <c r="J86" s="563">
        <v>1</v>
      </c>
      <c r="K86" s="564">
        <v>3071</v>
      </c>
    </row>
    <row r="87" spans="1:11" ht="14.4" customHeight="1" x14ac:dyDescent="0.3">
      <c r="A87" s="545" t="s">
        <v>472</v>
      </c>
      <c r="B87" s="546" t="s">
        <v>668</v>
      </c>
      <c r="C87" s="549" t="s">
        <v>485</v>
      </c>
      <c r="D87" s="577" t="s">
        <v>670</v>
      </c>
      <c r="E87" s="549" t="s">
        <v>1323</v>
      </c>
      <c r="F87" s="577" t="s">
        <v>1324</v>
      </c>
      <c r="G87" s="549" t="s">
        <v>914</v>
      </c>
      <c r="H87" s="549" t="s">
        <v>915</v>
      </c>
      <c r="I87" s="563">
        <v>3.61</v>
      </c>
      <c r="J87" s="563">
        <v>100</v>
      </c>
      <c r="K87" s="564">
        <v>360.58</v>
      </c>
    </row>
    <row r="88" spans="1:11" ht="14.4" customHeight="1" x14ac:dyDescent="0.3">
      <c r="A88" s="545" t="s">
        <v>472</v>
      </c>
      <c r="B88" s="546" t="s">
        <v>668</v>
      </c>
      <c r="C88" s="549" t="s">
        <v>485</v>
      </c>
      <c r="D88" s="577" t="s">
        <v>670</v>
      </c>
      <c r="E88" s="549" t="s">
        <v>1323</v>
      </c>
      <c r="F88" s="577" t="s">
        <v>1324</v>
      </c>
      <c r="G88" s="549" t="s">
        <v>984</v>
      </c>
      <c r="H88" s="549" t="s">
        <v>985</v>
      </c>
      <c r="I88" s="563">
        <v>5.51</v>
      </c>
      <c r="J88" s="563">
        <v>500</v>
      </c>
      <c r="K88" s="564">
        <v>2756.38</v>
      </c>
    </row>
    <row r="89" spans="1:11" ht="14.4" customHeight="1" x14ac:dyDescent="0.3">
      <c r="A89" s="545" t="s">
        <v>472</v>
      </c>
      <c r="B89" s="546" t="s">
        <v>668</v>
      </c>
      <c r="C89" s="549" t="s">
        <v>485</v>
      </c>
      <c r="D89" s="577" t="s">
        <v>670</v>
      </c>
      <c r="E89" s="549" t="s">
        <v>1323</v>
      </c>
      <c r="F89" s="577" t="s">
        <v>1324</v>
      </c>
      <c r="G89" s="549" t="s">
        <v>986</v>
      </c>
      <c r="H89" s="549" t="s">
        <v>987</v>
      </c>
      <c r="I89" s="563">
        <v>22408.720000000001</v>
      </c>
      <c r="J89" s="563">
        <v>2</v>
      </c>
      <c r="K89" s="564">
        <v>44817.440000000002</v>
      </c>
    </row>
    <row r="90" spans="1:11" ht="14.4" customHeight="1" x14ac:dyDescent="0.3">
      <c r="A90" s="545" t="s">
        <v>472</v>
      </c>
      <c r="B90" s="546" t="s">
        <v>668</v>
      </c>
      <c r="C90" s="549" t="s">
        <v>485</v>
      </c>
      <c r="D90" s="577" t="s">
        <v>670</v>
      </c>
      <c r="E90" s="549" t="s">
        <v>1323</v>
      </c>
      <c r="F90" s="577" t="s">
        <v>1324</v>
      </c>
      <c r="G90" s="549" t="s">
        <v>988</v>
      </c>
      <c r="H90" s="549" t="s">
        <v>989</v>
      </c>
      <c r="I90" s="563">
        <v>9.32</v>
      </c>
      <c r="J90" s="563">
        <v>100</v>
      </c>
      <c r="K90" s="564">
        <v>931.7</v>
      </c>
    </row>
    <row r="91" spans="1:11" ht="14.4" customHeight="1" x14ac:dyDescent="0.3">
      <c r="A91" s="545" t="s">
        <v>472</v>
      </c>
      <c r="B91" s="546" t="s">
        <v>668</v>
      </c>
      <c r="C91" s="549" t="s">
        <v>485</v>
      </c>
      <c r="D91" s="577" t="s">
        <v>670</v>
      </c>
      <c r="E91" s="549" t="s">
        <v>1323</v>
      </c>
      <c r="F91" s="577" t="s">
        <v>1324</v>
      </c>
      <c r="G91" s="549" t="s">
        <v>990</v>
      </c>
      <c r="H91" s="549" t="s">
        <v>991</v>
      </c>
      <c r="I91" s="563">
        <v>166.07</v>
      </c>
      <c r="J91" s="563">
        <v>48</v>
      </c>
      <c r="K91" s="564">
        <v>7971.5</v>
      </c>
    </row>
    <row r="92" spans="1:11" ht="14.4" customHeight="1" x14ac:dyDescent="0.3">
      <c r="A92" s="545" t="s">
        <v>472</v>
      </c>
      <c r="B92" s="546" t="s">
        <v>668</v>
      </c>
      <c r="C92" s="549" t="s">
        <v>485</v>
      </c>
      <c r="D92" s="577" t="s">
        <v>670</v>
      </c>
      <c r="E92" s="549" t="s">
        <v>1331</v>
      </c>
      <c r="F92" s="577" t="s">
        <v>1332</v>
      </c>
      <c r="G92" s="549" t="s">
        <v>992</v>
      </c>
      <c r="H92" s="549" t="s">
        <v>993</v>
      </c>
      <c r="I92" s="563">
        <v>2.0066666666666668</v>
      </c>
      <c r="J92" s="563">
        <v>3072</v>
      </c>
      <c r="K92" s="564">
        <v>6169.92</v>
      </c>
    </row>
    <row r="93" spans="1:11" ht="14.4" customHeight="1" x14ac:dyDescent="0.3">
      <c r="A93" s="545" t="s">
        <v>472</v>
      </c>
      <c r="B93" s="546" t="s">
        <v>668</v>
      </c>
      <c r="C93" s="549" t="s">
        <v>485</v>
      </c>
      <c r="D93" s="577" t="s">
        <v>670</v>
      </c>
      <c r="E93" s="549" t="s">
        <v>1331</v>
      </c>
      <c r="F93" s="577" t="s">
        <v>1332</v>
      </c>
      <c r="G93" s="549" t="s">
        <v>994</v>
      </c>
      <c r="H93" s="549" t="s">
        <v>995</v>
      </c>
      <c r="I93" s="563">
        <v>7.6</v>
      </c>
      <c r="J93" s="563">
        <v>360</v>
      </c>
      <c r="K93" s="564">
        <v>2734.6</v>
      </c>
    </row>
    <row r="94" spans="1:11" ht="14.4" customHeight="1" x14ac:dyDescent="0.3">
      <c r="A94" s="545" t="s">
        <v>472</v>
      </c>
      <c r="B94" s="546" t="s">
        <v>668</v>
      </c>
      <c r="C94" s="549" t="s">
        <v>485</v>
      </c>
      <c r="D94" s="577" t="s">
        <v>670</v>
      </c>
      <c r="E94" s="549" t="s">
        <v>1331</v>
      </c>
      <c r="F94" s="577" t="s">
        <v>1332</v>
      </c>
      <c r="G94" s="549" t="s">
        <v>996</v>
      </c>
      <c r="H94" s="549" t="s">
        <v>997</v>
      </c>
      <c r="I94" s="563">
        <v>1.4000000000000001</v>
      </c>
      <c r="J94" s="563">
        <v>8100</v>
      </c>
      <c r="K94" s="564">
        <v>11340</v>
      </c>
    </row>
    <row r="95" spans="1:11" ht="14.4" customHeight="1" x14ac:dyDescent="0.3">
      <c r="A95" s="545" t="s">
        <v>472</v>
      </c>
      <c r="B95" s="546" t="s">
        <v>668</v>
      </c>
      <c r="C95" s="549" t="s">
        <v>485</v>
      </c>
      <c r="D95" s="577" t="s">
        <v>670</v>
      </c>
      <c r="E95" s="549" t="s">
        <v>1331</v>
      </c>
      <c r="F95" s="577" t="s">
        <v>1332</v>
      </c>
      <c r="G95" s="549" t="s">
        <v>998</v>
      </c>
      <c r="H95" s="549" t="s">
        <v>999</v>
      </c>
      <c r="I95" s="563">
        <v>0.41</v>
      </c>
      <c r="J95" s="563">
        <v>9000</v>
      </c>
      <c r="K95" s="564">
        <v>3678.7999999999997</v>
      </c>
    </row>
    <row r="96" spans="1:11" ht="14.4" customHeight="1" x14ac:dyDescent="0.3">
      <c r="A96" s="545" t="s">
        <v>472</v>
      </c>
      <c r="B96" s="546" t="s">
        <v>668</v>
      </c>
      <c r="C96" s="549" t="s">
        <v>485</v>
      </c>
      <c r="D96" s="577" t="s">
        <v>670</v>
      </c>
      <c r="E96" s="549" t="s">
        <v>1331</v>
      </c>
      <c r="F96" s="577" t="s">
        <v>1332</v>
      </c>
      <c r="G96" s="549" t="s">
        <v>998</v>
      </c>
      <c r="H96" s="549" t="s">
        <v>1000</v>
      </c>
      <c r="I96" s="563">
        <v>0.44142857142857145</v>
      </c>
      <c r="J96" s="563">
        <v>20960</v>
      </c>
      <c r="K96" s="564">
        <v>9001.5999999999985</v>
      </c>
    </row>
    <row r="97" spans="1:11" ht="14.4" customHeight="1" x14ac:dyDescent="0.3">
      <c r="A97" s="545" t="s">
        <v>472</v>
      </c>
      <c r="B97" s="546" t="s">
        <v>668</v>
      </c>
      <c r="C97" s="549" t="s">
        <v>485</v>
      </c>
      <c r="D97" s="577" t="s">
        <v>670</v>
      </c>
      <c r="E97" s="549" t="s">
        <v>1331</v>
      </c>
      <c r="F97" s="577" t="s">
        <v>1332</v>
      </c>
      <c r="G97" s="549" t="s">
        <v>998</v>
      </c>
      <c r="H97" s="549" t="s">
        <v>1001</v>
      </c>
      <c r="I97" s="563">
        <v>0.41</v>
      </c>
      <c r="J97" s="563">
        <v>8000</v>
      </c>
      <c r="K97" s="564">
        <v>3285.2</v>
      </c>
    </row>
    <row r="98" spans="1:11" ht="14.4" customHeight="1" x14ac:dyDescent="0.3">
      <c r="A98" s="545" t="s">
        <v>472</v>
      </c>
      <c r="B98" s="546" t="s">
        <v>668</v>
      </c>
      <c r="C98" s="549" t="s">
        <v>485</v>
      </c>
      <c r="D98" s="577" t="s">
        <v>670</v>
      </c>
      <c r="E98" s="549" t="s">
        <v>1331</v>
      </c>
      <c r="F98" s="577" t="s">
        <v>1332</v>
      </c>
      <c r="G98" s="549" t="s">
        <v>1002</v>
      </c>
      <c r="H98" s="549" t="s">
        <v>1003</v>
      </c>
      <c r="I98" s="563">
        <v>0.13384615384615386</v>
      </c>
      <c r="J98" s="563">
        <v>55000</v>
      </c>
      <c r="K98" s="564">
        <v>7340.5</v>
      </c>
    </row>
    <row r="99" spans="1:11" ht="14.4" customHeight="1" x14ac:dyDescent="0.3">
      <c r="A99" s="545" t="s">
        <v>472</v>
      </c>
      <c r="B99" s="546" t="s">
        <v>668</v>
      </c>
      <c r="C99" s="549" t="s">
        <v>485</v>
      </c>
      <c r="D99" s="577" t="s">
        <v>670</v>
      </c>
      <c r="E99" s="549" t="s">
        <v>1331</v>
      </c>
      <c r="F99" s="577" t="s">
        <v>1332</v>
      </c>
      <c r="G99" s="549" t="s">
        <v>1004</v>
      </c>
      <c r="H99" s="549" t="s">
        <v>1005</v>
      </c>
      <c r="I99" s="563">
        <v>1.65</v>
      </c>
      <c r="J99" s="563">
        <v>4000</v>
      </c>
      <c r="K99" s="564">
        <v>6582.4</v>
      </c>
    </row>
    <row r="100" spans="1:11" ht="14.4" customHeight="1" x14ac:dyDescent="0.3">
      <c r="A100" s="545" t="s">
        <v>472</v>
      </c>
      <c r="B100" s="546" t="s">
        <v>668</v>
      </c>
      <c r="C100" s="549" t="s">
        <v>485</v>
      </c>
      <c r="D100" s="577" t="s">
        <v>670</v>
      </c>
      <c r="E100" s="549" t="s">
        <v>1331</v>
      </c>
      <c r="F100" s="577" t="s">
        <v>1332</v>
      </c>
      <c r="G100" s="549" t="s">
        <v>1004</v>
      </c>
      <c r="H100" s="549" t="s">
        <v>1006</v>
      </c>
      <c r="I100" s="563">
        <v>1.5499999999999998</v>
      </c>
      <c r="J100" s="563">
        <v>7000</v>
      </c>
      <c r="K100" s="564">
        <v>10720.599999999999</v>
      </c>
    </row>
    <row r="101" spans="1:11" ht="14.4" customHeight="1" x14ac:dyDescent="0.3">
      <c r="A101" s="545" t="s">
        <v>472</v>
      </c>
      <c r="B101" s="546" t="s">
        <v>668</v>
      </c>
      <c r="C101" s="549" t="s">
        <v>485</v>
      </c>
      <c r="D101" s="577" t="s">
        <v>670</v>
      </c>
      <c r="E101" s="549" t="s">
        <v>1331</v>
      </c>
      <c r="F101" s="577" t="s">
        <v>1332</v>
      </c>
      <c r="G101" s="549" t="s">
        <v>1007</v>
      </c>
      <c r="H101" s="549" t="s">
        <v>1008</v>
      </c>
      <c r="I101" s="563">
        <v>33.880000000000003</v>
      </c>
      <c r="J101" s="563">
        <v>10</v>
      </c>
      <c r="K101" s="564">
        <v>338.8</v>
      </c>
    </row>
    <row r="102" spans="1:11" ht="14.4" customHeight="1" x14ac:dyDescent="0.3">
      <c r="A102" s="545" t="s">
        <v>472</v>
      </c>
      <c r="B102" s="546" t="s">
        <v>668</v>
      </c>
      <c r="C102" s="549" t="s">
        <v>485</v>
      </c>
      <c r="D102" s="577" t="s">
        <v>670</v>
      </c>
      <c r="E102" s="549" t="s">
        <v>1331</v>
      </c>
      <c r="F102" s="577" t="s">
        <v>1332</v>
      </c>
      <c r="G102" s="549" t="s">
        <v>1009</v>
      </c>
      <c r="H102" s="549" t="s">
        <v>1010</v>
      </c>
      <c r="I102" s="563">
        <v>18.875</v>
      </c>
      <c r="J102" s="563">
        <v>250</v>
      </c>
      <c r="K102" s="564">
        <v>4719</v>
      </c>
    </row>
    <row r="103" spans="1:11" ht="14.4" customHeight="1" x14ac:dyDescent="0.3">
      <c r="A103" s="545" t="s">
        <v>472</v>
      </c>
      <c r="B103" s="546" t="s">
        <v>668</v>
      </c>
      <c r="C103" s="549" t="s">
        <v>485</v>
      </c>
      <c r="D103" s="577" t="s">
        <v>670</v>
      </c>
      <c r="E103" s="549" t="s">
        <v>1331</v>
      </c>
      <c r="F103" s="577" t="s">
        <v>1332</v>
      </c>
      <c r="G103" s="549" t="s">
        <v>1011</v>
      </c>
      <c r="H103" s="549" t="s">
        <v>1012</v>
      </c>
      <c r="I103" s="563">
        <v>0.66500000000000004</v>
      </c>
      <c r="J103" s="563">
        <v>6000</v>
      </c>
      <c r="K103" s="564">
        <v>4005.3999999999996</v>
      </c>
    </row>
    <row r="104" spans="1:11" ht="14.4" customHeight="1" x14ac:dyDescent="0.3">
      <c r="A104" s="545" t="s">
        <v>472</v>
      </c>
      <c r="B104" s="546" t="s">
        <v>668</v>
      </c>
      <c r="C104" s="549" t="s">
        <v>485</v>
      </c>
      <c r="D104" s="577" t="s">
        <v>670</v>
      </c>
      <c r="E104" s="549" t="s">
        <v>1331</v>
      </c>
      <c r="F104" s="577" t="s">
        <v>1332</v>
      </c>
      <c r="G104" s="549" t="s">
        <v>1011</v>
      </c>
      <c r="H104" s="549" t="s">
        <v>1013</v>
      </c>
      <c r="I104" s="563">
        <v>0.7</v>
      </c>
      <c r="J104" s="563">
        <v>3500</v>
      </c>
      <c r="K104" s="564">
        <v>2456.2999999999997</v>
      </c>
    </row>
    <row r="105" spans="1:11" ht="14.4" customHeight="1" x14ac:dyDescent="0.3">
      <c r="A105" s="545" t="s">
        <v>472</v>
      </c>
      <c r="B105" s="546" t="s">
        <v>668</v>
      </c>
      <c r="C105" s="549" t="s">
        <v>485</v>
      </c>
      <c r="D105" s="577" t="s">
        <v>670</v>
      </c>
      <c r="E105" s="549" t="s">
        <v>1331</v>
      </c>
      <c r="F105" s="577" t="s">
        <v>1332</v>
      </c>
      <c r="G105" s="549" t="s">
        <v>1014</v>
      </c>
      <c r="H105" s="549" t="s">
        <v>1015</v>
      </c>
      <c r="I105" s="563">
        <v>0.66</v>
      </c>
      <c r="J105" s="563">
        <v>700</v>
      </c>
      <c r="K105" s="564">
        <v>462</v>
      </c>
    </row>
    <row r="106" spans="1:11" ht="14.4" customHeight="1" x14ac:dyDescent="0.3">
      <c r="A106" s="545" t="s">
        <v>472</v>
      </c>
      <c r="B106" s="546" t="s">
        <v>668</v>
      </c>
      <c r="C106" s="549" t="s">
        <v>485</v>
      </c>
      <c r="D106" s="577" t="s">
        <v>670</v>
      </c>
      <c r="E106" s="549" t="s">
        <v>1331</v>
      </c>
      <c r="F106" s="577" t="s">
        <v>1332</v>
      </c>
      <c r="G106" s="549" t="s">
        <v>1016</v>
      </c>
      <c r="H106" s="549" t="s">
        <v>1017</v>
      </c>
      <c r="I106" s="563">
        <v>128.5</v>
      </c>
      <c r="J106" s="563">
        <v>50</v>
      </c>
      <c r="K106" s="564">
        <v>6425.1</v>
      </c>
    </row>
    <row r="107" spans="1:11" ht="14.4" customHeight="1" x14ac:dyDescent="0.3">
      <c r="A107" s="545" t="s">
        <v>472</v>
      </c>
      <c r="B107" s="546" t="s">
        <v>668</v>
      </c>
      <c r="C107" s="549" t="s">
        <v>485</v>
      </c>
      <c r="D107" s="577" t="s">
        <v>670</v>
      </c>
      <c r="E107" s="549" t="s">
        <v>1331</v>
      </c>
      <c r="F107" s="577" t="s">
        <v>1332</v>
      </c>
      <c r="G107" s="549" t="s">
        <v>1018</v>
      </c>
      <c r="H107" s="549" t="s">
        <v>1019</v>
      </c>
      <c r="I107" s="563">
        <v>2.68</v>
      </c>
      <c r="J107" s="563">
        <v>1920</v>
      </c>
      <c r="K107" s="564">
        <v>5154.6000000000004</v>
      </c>
    </row>
    <row r="108" spans="1:11" ht="14.4" customHeight="1" x14ac:dyDescent="0.3">
      <c r="A108" s="545" t="s">
        <v>472</v>
      </c>
      <c r="B108" s="546" t="s">
        <v>668</v>
      </c>
      <c r="C108" s="549" t="s">
        <v>485</v>
      </c>
      <c r="D108" s="577" t="s">
        <v>670</v>
      </c>
      <c r="E108" s="549" t="s">
        <v>1331</v>
      </c>
      <c r="F108" s="577" t="s">
        <v>1332</v>
      </c>
      <c r="G108" s="549" t="s">
        <v>1020</v>
      </c>
      <c r="H108" s="549" t="s">
        <v>1021</v>
      </c>
      <c r="I108" s="563">
        <v>0.27800000000000002</v>
      </c>
      <c r="J108" s="563">
        <v>5000</v>
      </c>
      <c r="K108" s="564">
        <v>1379.4</v>
      </c>
    </row>
    <row r="109" spans="1:11" ht="14.4" customHeight="1" x14ac:dyDescent="0.3">
      <c r="A109" s="545" t="s">
        <v>472</v>
      </c>
      <c r="B109" s="546" t="s">
        <v>668</v>
      </c>
      <c r="C109" s="549" t="s">
        <v>485</v>
      </c>
      <c r="D109" s="577" t="s">
        <v>670</v>
      </c>
      <c r="E109" s="549" t="s">
        <v>1331</v>
      </c>
      <c r="F109" s="577" t="s">
        <v>1332</v>
      </c>
      <c r="G109" s="549" t="s">
        <v>1022</v>
      </c>
      <c r="H109" s="549" t="s">
        <v>1023</v>
      </c>
      <c r="I109" s="563">
        <v>2940.3</v>
      </c>
      <c r="J109" s="563">
        <v>1</v>
      </c>
      <c r="K109" s="564">
        <v>2940.3</v>
      </c>
    </row>
    <row r="110" spans="1:11" ht="14.4" customHeight="1" x14ac:dyDescent="0.3">
      <c r="A110" s="545" t="s">
        <v>472</v>
      </c>
      <c r="B110" s="546" t="s">
        <v>668</v>
      </c>
      <c r="C110" s="549" t="s">
        <v>485</v>
      </c>
      <c r="D110" s="577" t="s">
        <v>670</v>
      </c>
      <c r="E110" s="549" t="s">
        <v>1331</v>
      </c>
      <c r="F110" s="577" t="s">
        <v>1332</v>
      </c>
      <c r="G110" s="549" t="s">
        <v>1024</v>
      </c>
      <c r="H110" s="549" t="s">
        <v>1025</v>
      </c>
      <c r="I110" s="563">
        <v>0.71</v>
      </c>
      <c r="J110" s="563">
        <v>1000</v>
      </c>
      <c r="K110" s="564">
        <v>713.9</v>
      </c>
    </row>
    <row r="111" spans="1:11" ht="14.4" customHeight="1" x14ac:dyDescent="0.3">
      <c r="A111" s="545" t="s">
        <v>472</v>
      </c>
      <c r="B111" s="546" t="s">
        <v>668</v>
      </c>
      <c r="C111" s="549" t="s">
        <v>485</v>
      </c>
      <c r="D111" s="577" t="s">
        <v>670</v>
      </c>
      <c r="E111" s="549" t="s">
        <v>1331</v>
      </c>
      <c r="F111" s="577" t="s">
        <v>1332</v>
      </c>
      <c r="G111" s="549" t="s">
        <v>1026</v>
      </c>
      <c r="H111" s="549" t="s">
        <v>1027</v>
      </c>
      <c r="I111" s="563">
        <v>1246.3</v>
      </c>
      <c r="J111" s="563">
        <v>1</v>
      </c>
      <c r="K111" s="564">
        <v>1246.3</v>
      </c>
    </row>
    <row r="112" spans="1:11" ht="14.4" customHeight="1" x14ac:dyDescent="0.3">
      <c r="A112" s="545" t="s">
        <v>472</v>
      </c>
      <c r="B112" s="546" t="s">
        <v>668</v>
      </c>
      <c r="C112" s="549" t="s">
        <v>485</v>
      </c>
      <c r="D112" s="577" t="s">
        <v>670</v>
      </c>
      <c r="E112" s="549" t="s">
        <v>1331</v>
      </c>
      <c r="F112" s="577" t="s">
        <v>1332</v>
      </c>
      <c r="G112" s="549" t="s">
        <v>1026</v>
      </c>
      <c r="H112" s="549" t="s">
        <v>1028</v>
      </c>
      <c r="I112" s="563">
        <v>1282.8333333333333</v>
      </c>
      <c r="J112" s="563">
        <v>4</v>
      </c>
      <c r="K112" s="564">
        <v>5131</v>
      </c>
    </row>
    <row r="113" spans="1:11" ht="14.4" customHeight="1" x14ac:dyDescent="0.3">
      <c r="A113" s="545" t="s">
        <v>472</v>
      </c>
      <c r="B113" s="546" t="s">
        <v>668</v>
      </c>
      <c r="C113" s="549" t="s">
        <v>485</v>
      </c>
      <c r="D113" s="577" t="s">
        <v>670</v>
      </c>
      <c r="E113" s="549" t="s">
        <v>1331</v>
      </c>
      <c r="F113" s="577" t="s">
        <v>1332</v>
      </c>
      <c r="G113" s="549" t="s">
        <v>1029</v>
      </c>
      <c r="H113" s="549" t="s">
        <v>1030</v>
      </c>
      <c r="I113" s="563">
        <v>39.450000000000003</v>
      </c>
      <c r="J113" s="563">
        <v>200</v>
      </c>
      <c r="K113" s="564">
        <v>7889.2</v>
      </c>
    </row>
    <row r="114" spans="1:11" ht="14.4" customHeight="1" x14ac:dyDescent="0.3">
      <c r="A114" s="545" t="s">
        <v>472</v>
      </c>
      <c r="B114" s="546" t="s">
        <v>668</v>
      </c>
      <c r="C114" s="549" t="s">
        <v>485</v>
      </c>
      <c r="D114" s="577" t="s">
        <v>670</v>
      </c>
      <c r="E114" s="549" t="s">
        <v>1331</v>
      </c>
      <c r="F114" s="577" t="s">
        <v>1332</v>
      </c>
      <c r="G114" s="549" t="s">
        <v>1031</v>
      </c>
      <c r="H114" s="549" t="s">
        <v>1032</v>
      </c>
      <c r="I114" s="563">
        <v>3.84</v>
      </c>
      <c r="J114" s="563">
        <v>864</v>
      </c>
      <c r="K114" s="564">
        <v>3319.03</v>
      </c>
    </row>
    <row r="115" spans="1:11" ht="14.4" customHeight="1" x14ac:dyDescent="0.3">
      <c r="A115" s="545" t="s">
        <v>472</v>
      </c>
      <c r="B115" s="546" t="s">
        <v>668</v>
      </c>
      <c r="C115" s="549" t="s">
        <v>485</v>
      </c>
      <c r="D115" s="577" t="s">
        <v>670</v>
      </c>
      <c r="E115" s="549" t="s">
        <v>1331</v>
      </c>
      <c r="F115" s="577" t="s">
        <v>1332</v>
      </c>
      <c r="G115" s="549" t="s">
        <v>1031</v>
      </c>
      <c r="H115" s="549" t="s">
        <v>1033</v>
      </c>
      <c r="I115" s="563">
        <v>3.8385714285714281</v>
      </c>
      <c r="J115" s="563">
        <v>5760</v>
      </c>
      <c r="K115" s="564">
        <v>21972.37</v>
      </c>
    </row>
    <row r="116" spans="1:11" ht="14.4" customHeight="1" x14ac:dyDescent="0.3">
      <c r="A116" s="545" t="s">
        <v>472</v>
      </c>
      <c r="B116" s="546" t="s">
        <v>668</v>
      </c>
      <c r="C116" s="549" t="s">
        <v>485</v>
      </c>
      <c r="D116" s="577" t="s">
        <v>670</v>
      </c>
      <c r="E116" s="549" t="s">
        <v>1331</v>
      </c>
      <c r="F116" s="577" t="s">
        <v>1332</v>
      </c>
      <c r="G116" s="549" t="s">
        <v>1034</v>
      </c>
      <c r="H116" s="549" t="s">
        <v>1035</v>
      </c>
      <c r="I116" s="563">
        <v>2.5099999999999998</v>
      </c>
      <c r="J116" s="563">
        <v>1920</v>
      </c>
      <c r="K116" s="564">
        <v>4815.8</v>
      </c>
    </row>
    <row r="117" spans="1:11" ht="14.4" customHeight="1" x14ac:dyDescent="0.3">
      <c r="A117" s="545" t="s">
        <v>472</v>
      </c>
      <c r="B117" s="546" t="s">
        <v>668</v>
      </c>
      <c r="C117" s="549" t="s">
        <v>485</v>
      </c>
      <c r="D117" s="577" t="s">
        <v>670</v>
      </c>
      <c r="E117" s="549" t="s">
        <v>1331</v>
      </c>
      <c r="F117" s="577" t="s">
        <v>1332</v>
      </c>
      <c r="G117" s="549" t="s">
        <v>1034</v>
      </c>
      <c r="H117" s="549" t="s">
        <v>1036</v>
      </c>
      <c r="I117" s="563">
        <v>2.5099999999999998</v>
      </c>
      <c r="J117" s="563">
        <v>960</v>
      </c>
      <c r="K117" s="564">
        <v>2407.9</v>
      </c>
    </row>
    <row r="118" spans="1:11" ht="14.4" customHeight="1" x14ac:dyDescent="0.3">
      <c r="A118" s="545" t="s">
        <v>472</v>
      </c>
      <c r="B118" s="546" t="s">
        <v>668</v>
      </c>
      <c r="C118" s="549" t="s">
        <v>485</v>
      </c>
      <c r="D118" s="577" t="s">
        <v>670</v>
      </c>
      <c r="E118" s="549" t="s">
        <v>1331</v>
      </c>
      <c r="F118" s="577" t="s">
        <v>1332</v>
      </c>
      <c r="G118" s="549" t="s">
        <v>1037</v>
      </c>
      <c r="H118" s="549" t="s">
        <v>1038</v>
      </c>
      <c r="I118" s="563">
        <v>37.51</v>
      </c>
      <c r="J118" s="563">
        <v>10</v>
      </c>
      <c r="K118" s="564">
        <v>375.1</v>
      </c>
    </row>
    <row r="119" spans="1:11" ht="14.4" customHeight="1" x14ac:dyDescent="0.3">
      <c r="A119" s="545" t="s">
        <v>472</v>
      </c>
      <c r="B119" s="546" t="s">
        <v>668</v>
      </c>
      <c r="C119" s="549" t="s">
        <v>485</v>
      </c>
      <c r="D119" s="577" t="s">
        <v>670</v>
      </c>
      <c r="E119" s="549" t="s">
        <v>1331</v>
      </c>
      <c r="F119" s="577" t="s">
        <v>1332</v>
      </c>
      <c r="G119" s="549" t="s">
        <v>1039</v>
      </c>
      <c r="H119" s="549" t="s">
        <v>1040</v>
      </c>
      <c r="I119" s="563">
        <v>30.98</v>
      </c>
      <c r="J119" s="563">
        <v>5</v>
      </c>
      <c r="K119" s="564">
        <v>154.88</v>
      </c>
    </row>
    <row r="120" spans="1:11" ht="14.4" customHeight="1" x14ac:dyDescent="0.3">
      <c r="A120" s="545" t="s">
        <v>472</v>
      </c>
      <c r="B120" s="546" t="s">
        <v>668</v>
      </c>
      <c r="C120" s="549" t="s">
        <v>485</v>
      </c>
      <c r="D120" s="577" t="s">
        <v>670</v>
      </c>
      <c r="E120" s="549" t="s">
        <v>1331</v>
      </c>
      <c r="F120" s="577" t="s">
        <v>1332</v>
      </c>
      <c r="G120" s="549" t="s">
        <v>1041</v>
      </c>
      <c r="H120" s="549" t="s">
        <v>1042</v>
      </c>
      <c r="I120" s="563">
        <v>1.8900000000000001</v>
      </c>
      <c r="J120" s="563">
        <v>2048</v>
      </c>
      <c r="K120" s="564">
        <v>3871.6400000000003</v>
      </c>
    </row>
    <row r="121" spans="1:11" ht="14.4" customHeight="1" x14ac:dyDescent="0.3">
      <c r="A121" s="545" t="s">
        <v>472</v>
      </c>
      <c r="B121" s="546" t="s">
        <v>668</v>
      </c>
      <c r="C121" s="549" t="s">
        <v>485</v>
      </c>
      <c r="D121" s="577" t="s">
        <v>670</v>
      </c>
      <c r="E121" s="549" t="s">
        <v>1331</v>
      </c>
      <c r="F121" s="577" t="s">
        <v>1332</v>
      </c>
      <c r="G121" s="549" t="s">
        <v>1043</v>
      </c>
      <c r="H121" s="549" t="s">
        <v>1044</v>
      </c>
      <c r="I121" s="563">
        <v>3.8866666666666667</v>
      </c>
      <c r="J121" s="563">
        <v>480</v>
      </c>
      <c r="K121" s="564">
        <v>1918.73</v>
      </c>
    </row>
    <row r="122" spans="1:11" ht="14.4" customHeight="1" x14ac:dyDescent="0.3">
      <c r="A122" s="545" t="s">
        <v>472</v>
      </c>
      <c r="B122" s="546" t="s">
        <v>668</v>
      </c>
      <c r="C122" s="549" t="s">
        <v>485</v>
      </c>
      <c r="D122" s="577" t="s">
        <v>670</v>
      </c>
      <c r="E122" s="549" t="s">
        <v>1331</v>
      </c>
      <c r="F122" s="577" t="s">
        <v>1332</v>
      </c>
      <c r="G122" s="549" t="s">
        <v>1045</v>
      </c>
      <c r="H122" s="549" t="s">
        <v>1046</v>
      </c>
      <c r="I122" s="563">
        <v>1.52</v>
      </c>
      <c r="J122" s="563">
        <v>2000</v>
      </c>
      <c r="K122" s="564">
        <v>3049.2</v>
      </c>
    </row>
    <row r="123" spans="1:11" ht="14.4" customHeight="1" x14ac:dyDescent="0.3">
      <c r="A123" s="545" t="s">
        <v>472</v>
      </c>
      <c r="B123" s="546" t="s">
        <v>668</v>
      </c>
      <c r="C123" s="549" t="s">
        <v>485</v>
      </c>
      <c r="D123" s="577" t="s">
        <v>670</v>
      </c>
      <c r="E123" s="549" t="s">
        <v>1331</v>
      </c>
      <c r="F123" s="577" t="s">
        <v>1332</v>
      </c>
      <c r="G123" s="549" t="s">
        <v>1047</v>
      </c>
      <c r="H123" s="549" t="s">
        <v>1048</v>
      </c>
      <c r="I123" s="563">
        <v>3.52</v>
      </c>
      <c r="J123" s="563">
        <v>960</v>
      </c>
      <c r="K123" s="564">
        <v>3375.9</v>
      </c>
    </row>
    <row r="124" spans="1:11" ht="14.4" customHeight="1" x14ac:dyDescent="0.3">
      <c r="A124" s="545" t="s">
        <v>472</v>
      </c>
      <c r="B124" s="546" t="s">
        <v>668</v>
      </c>
      <c r="C124" s="549" t="s">
        <v>485</v>
      </c>
      <c r="D124" s="577" t="s">
        <v>670</v>
      </c>
      <c r="E124" s="549" t="s">
        <v>1331</v>
      </c>
      <c r="F124" s="577" t="s">
        <v>1332</v>
      </c>
      <c r="G124" s="549" t="s">
        <v>1049</v>
      </c>
      <c r="H124" s="549" t="s">
        <v>1050</v>
      </c>
      <c r="I124" s="563">
        <v>2928.1999999999994</v>
      </c>
      <c r="J124" s="563">
        <v>3</v>
      </c>
      <c r="K124" s="564">
        <v>8784.5999999999985</v>
      </c>
    </row>
    <row r="125" spans="1:11" ht="14.4" customHeight="1" x14ac:dyDescent="0.3">
      <c r="A125" s="545" t="s">
        <v>472</v>
      </c>
      <c r="B125" s="546" t="s">
        <v>668</v>
      </c>
      <c r="C125" s="549" t="s">
        <v>485</v>
      </c>
      <c r="D125" s="577" t="s">
        <v>670</v>
      </c>
      <c r="E125" s="549" t="s">
        <v>1331</v>
      </c>
      <c r="F125" s="577" t="s">
        <v>1332</v>
      </c>
      <c r="G125" s="549" t="s">
        <v>1051</v>
      </c>
      <c r="H125" s="549" t="s">
        <v>1052</v>
      </c>
      <c r="I125" s="563">
        <v>21.41</v>
      </c>
      <c r="J125" s="563">
        <v>360</v>
      </c>
      <c r="K125" s="564">
        <v>7707.7</v>
      </c>
    </row>
    <row r="126" spans="1:11" ht="14.4" customHeight="1" x14ac:dyDescent="0.3">
      <c r="A126" s="545" t="s">
        <v>472</v>
      </c>
      <c r="B126" s="546" t="s">
        <v>668</v>
      </c>
      <c r="C126" s="549" t="s">
        <v>485</v>
      </c>
      <c r="D126" s="577" t="s">
        <v>670</v>
      </c>
      <c r="E126" s="549" t="s">
        <v>1331</v>
      </c>
      <c r="F126" s="577" t="s">
        <v>1332</v>
      </c>
      <c r="G126" s="549" t="s">
        <v>1053</v>
      </c>
      <c r="H126" s="549" t="s">
        <v>1054</v>
      </c>
      <c r="I126" s="563">
        <v>0.12</v>
      </c>
      <c r="J126" s="563">
        <v>1000</v>
      </c>
      <c r="K126" s="564">
        <v>119.8</v>
      </c>
    </row>
    <row r="127" spans="1:11" ht="14.4" customHeight="1" x14ac:dyDescent="0.3">
      <c r="A127" s="545" t="s">
        <v>472</v>
      </c>
      <c r="B127" s="546" t="s">
        <v>668</v>
      </c>
      <c r="C127" s="549" t="s">
        <v>485</v>
      </c>
      <c r="D127" s="577" t="s">
        <v>670</v>
      </c>
      <c r="E127" s="549" t="s">
        <v>1331</v>
      </c>
      <c r="F127" s="577" t="s">
        <v>1332</v>
      </c>
      <c r="G127" s="549" t="s">
        <v>1055</v>
      </c>
      <c r="H127" s="549" t="s">
        <v>1056</v>
      </c>
      <c r="I127" s="563">
        <v>6.78</v>
      </c>
      <c r="J127" s="563">
        <v>125</v>
      </c>
      <c r="K127" s="564">
        <v>847</v>
      </c>
    </row>
    <row r="128" spans="1:11" ht="14.4" customHeight="1" x14ac:dyDescent="0.3">
      <c r="A128" s="545" t="s">
        <v>472</v>
      </c>
      <c r="B128" s="546" t="s">
        <v>668</v>
      </c>
      <c r="C128" s="549" t="s">
        <v>485</v>
      </c>
      <c r="D128" s="577" t="s">
        <v>670</v>
      </c>
      <c r="E128" s="549" t="s">
        <v>1331</v>
      </c>
      <c r="F128" s="577" t="s">
        <v>1332</v>
      </c>
      <c r="G128" s="549" t="s">
        <v>1057</v>
      </c>
      <c r="H128" s="549" t="s">
        <v>1058</v>
      </c>
      <c r="I128" s="563">
        <v>4.67</v>
      </c>
      <c r="J128" s="563">
        <v>500</v>
      </c>
      <c r="K128" s="564">
        <v>2336.86</v>
      </c>
    </row>
    <row r="129" spans="1:11" ht="14.4" customHeight="1" x14ac:dyDescent="0.3">
      <c r="A129" s="545" t="s">
        <v>472</v>
      </c>
      <c r="B129" s="546" t="s">
        <v>668</v>
      </c>
      <c r="C129" s="549" t="s">
        <v>485</v>
      </c>
      <c r="D129" s="577" t="s">
        <v>670</v>
      </c>
      <c r="E129" s="549" t="s">
        <v>1327</v>
      </c>
      <c r="F129" s="577" t="s">
        <v>1328</v>
      </c>
      <c r="G129" s="549" t="s">
        <v>920</v>
      </c>
      <c r="H129" s="549" t="s">
        <v>921</v>
      </c>
      <c r="I129" s="563">
        <v>0.30333333333333334</v>
      </c>
      <c r="J129" s="563">
        <v>1100</v>
      </c>
      <c r="K129" s="564">
        <v>335</v>
      </c>
    </row>
    <row r="130" spans="1:11" ht="14.4" customHeight="1" x14ac:dyDescent="0.3">
      <c r="A130" s="545" t="s">
        <v>472</v>
      </c>
      <c r="B130" s="546" t="s">
        <v>668</v>
      </c>
      <c r="C130" s="549" t="s">
        <v>485</v>
      </c>
      <c r="D130" s="577" t="s">
        <v>670</v>
      </c>
      <c r="E130" s="549" t="s">
        <v>1327</v>
      </c>
      <c r="F130" s="577" t="s">
        <v>1328</v>
      </c>
      <c r="G130" s="549" t="s">
        <v>920</v>
      </c>
      <c r="H130" s="549" t="s">
        <v>922</v>
      </c>
      <c r="I130" s="563">
        <v>0.30333333333333334</v>
      </c>
      <c r="J130" s="563">
        <v>800</v>
      </c>
      <c r="K130" s="564">
        <v>243</v>
      </c>
    </row>
    <row r="131" spans="1:11" ht="14.4" customHeight="1" x14ac:dyDescent="0.3">
      <c r="A131" s="545" t="s">
        <v>472</v>
      </c>
      <c r="B131" s="546" t="s">
        <v>668</v>
      </c>
      <c r="C131" s="549" t="s">
        <v>485</v>
      </c>
      <c r="D131" s="577" t="s">
        <v>670</v>
      </c>
      <c r="E131" s="549" t="s">
        <v>1329</v>
      </c>
      <c r="F131" s="577" t="s">
        <v>1330</v>
      </c>
      <c r="G131" s="549" t="s">
        <v>1059</v>
      </c>
      <c r="H131" s="549" t="s">
        <v>1060</v>
      </c>
      <c r="I131" s="563">
        <v>0.73499999999999999</v>
      </c>
      <c r="J131" s="563">
        <v>1200</v>
      </c>
      <c r="K131" s="564">
        <v>880.8</v>
      </c>
    </row>
    <row r="132" spans="1:11" ht="14.4" customHeight="1" x14ac:dyDescent="0.3">
      <c r="A132" s="545" t="s">
        <v>472</v>
      </c>
      <c r="B132" s="546" t="s">
        <v>668</v>
      </c>
      <c r="C132" s="549" t="s">
        <v>485</v>
      </c>
      <c r="D132" s="577" t="s">
        <v>670</v>
      </c>
      <c r="E132" s="549" t="s">
        <v>1329</v>
      </c>
      <c r="F132" s="577" t="s">
        <v>1330</v>
      </c>
      <c r="G132" s="549" t="s">
        <v>934</v>
      </c>
      <c r="H132" s="549" t="s">
        <v>935</v>
      </c>
      <c r="I132" s="563">
        <v>0.72000000000000008</v>
      </c>
      <c r="J132" s="563">
        <v>600</v>
      </c>
      <c r="K132" s="564">
        <v>432.44000000000005</v>
      </c>
    </row>
    <row r="133" spans="1:11" ht="14.4" customHeight="1" x14ac:dyDescent="0.3">
      <c r="A133" s="545" t="s">
        <v>472</v>
      </c>
      <c r="B133" s="546" t="s">
        <v>668</v>
      </c>
      <c r="C133" s="549" t="s">
        <v>485</v>
      </c>
      <c r="D133" s="577" t="s">
        <v>670</v>
      </c>
      <c r="E133" s="549" t="s">
        <v>1329</v>
      </c>
      <c r="F133" s="577" t="s">
        <v>1330</v>
      </c>
      <c r="G133" s="549" t="s">
        <v>1061</v>
      </c>
      <c r="H133" s="549" t="s">
        <v>1062</v>
      </c>
      <c r="I133" s="563">
        <v>7.5</v>
      </c>
      <c r="J133" s="563">
        <v>160</v>
      </c>
      <c r="K133" s="564">
        <v>1200</v>
      </c>
    </row>
    <row r="134" spans="1:11" ht="14.4" customHeight="1" x14ac:dyDescent="0.3">
      <c r="A134" s="545" t="s">
        <v>472</v>
      </c>
      <c r="B134" s="546" t="s">
        <v>668</v>
      </c>
      <c r="C134" s="549" t="s">
        <v>485</v>
      </c>
      <c r="D134" s="577" t="s">
        <v>670</v>
      </c>
      <c r="E134" s="549" t="s">
        <v>1329</v>
      </c>
      <c r="F134" s="577" t="s">
        <v>1330</v>
      </c>
      <c r="G134" s="549" t="s">
        <v>1061</v>
      </c>
      <c r="H134" s="549" t="s">
        <v>1063</v>
      </c>
      <c r="I134" s="563">
        <v>7.504999999999999</v>
      </c>
      <c r="J134" s="563">
        <v>240</v>
      </c>
      <c r="K134" s="564">
        <v>1801.6</v>
      </c>
    </row>
    <row r="135" spans="1:11" ht="14.4" customHeight="1" x14ac:dyDescent="0.3">
      <c r="A135" s="545" t="s">
        <v>472</v>
      </c>
      <c r="B135" s="546" t="s">
        <v>668</v>
      </c>
      <c r="C135" s="549" t="s">
        <v>485</v>
      </c>
      <c r="D135" s="577" t="s">
        <v>670</v>
      </c>
      <c r="E135" s="549" t="s">
        <v>1329</v>
      </c>
      <c r="F135" s="577" t="s">
        <v>1330</v>
      </c>
      <c r="G135" s="549" t="s">
        <v>1064</v>
      </c>
      <c r="H135" s="549" t="s">
        <v>1065</v>
      </c>
      <c r="I135" s="563">
        <v>0.77</v>
      </c>
      <c r="J135" s="563">
        <v>900</v>
      </c>
      <c r="K135" s="564">
        <v>693</v>
      </c>
    </row>
    <row r="136" spans="1:11" ht="14.4" customHeight="1" x14ac:dyDescent="0.3">
      <c r="A136" s="545" t="s">
        <v>472</v>
      </c>
      <c r="B136" s="546" t="s">
        <v>668</v>
      </c>
      <c r="C136" s="549" t="s">
        <v>485</v>
      </c>
      <c r="D136" s="577" t="s">
        <v>670</v>
      </c>
      <c r="E136" s="549" t="s">
        <v>1329</v>
      </c>
      <c r="F136" s="577" t="s">
        <v>1330</v>
      </c>
      <c r="G136" s="549" t="s">
        <v>940</v>
      </c>
      <c r="H136" s="549" t="s">
        <v>1066</v>
      </c>
      <c r="I136" s="563">
        <v>0.71</v>
      </c>
      <c r="J136" s="563">
        <v>400</v>
      </c>
      <c r="K136" s="564">
        <v>284</v>
      </c>
    </row>
    <row r="137" spans="1:11" ht="14.4" customHeight="1" x14ac:dyDescent="0.3">
      <c r="A137" s="545" t="s">
        <v>472</v>
      </c>
      <c r="B137" s="546" t="s">
        <v>668</v>
      </c>
      <c r="C137" s="549" t="s">
        <v>485</v>
      </c>
      <c r="D137" s="577" t="s">
        <v>670</v>
      </c>
      <c r="E137" s="549" t="s">
        <v>1329</v>
      </c>
      <c r="F137" s="577" t="s">
        <v>1330</v>
      </c>
      <c r="G137" s="549" t="s">
        <v>940</v>
      </c>
      <c r="H137" s="549" t="s">
        <v>941</v>
      </c>
      <c r="I137" s="563">
        <v>0.71</v>
      </c>
      <c r="J137" s="563">
        <v>1400</v>
      </c>
      <c r="K137" s="564">
        <v>994</v>
      </c>
    </row>
    <row r="138" spans="1:11" ht="14.4" customHeight="1" x14ac:dyDescent="0.3">
      <c r="A138" s="545" t="s">
        <v>472</v>
      </c>
      <c r="B138" s="546" t="s">
        <v>668</v>
      </c>
      <c r="C138" s="549" t="s">
        <v>485</v>
      </c>
      <c r="D138" s="577" t="s">
        <v>670</v>
      </c>
      <c r="E138" s="549" t="s">
        <v>1329</v>
      </c>
      <c r="F138" s="577" t="s">
        <v>1330</v>
      </c>
      <c r="G138" s="549" t="s">
        <v>1067</v>
      </c>
      <c r="H138" s="549" t="s">
        <v>1068</v>
      </c>
      <c r="I138" s="563">
        <v>0.71</v>
      </c>
      <c r="J138" s="563">
        <v>800</v>
      </c>
      <c r="K138" s="564">
        <v>568</v>
      </c>
    </row>
    <row r="139" spans="1:11" ht="14.4" customHeight="1" x14ac:dyDescent="0.3">
      <c r="A139" s="545" t="s">
        <v>472</v>
      </c>
      <c r="B139" s="546" t="s">
        <v>668</v>
      </c>
      <c r="C139" s="549" t="s">
        <v>485</v>
      </c>
      <c r="D139" s="577" t="s">
        <v>670</v>
      </c>
      <c r="E139" s="549" t="s">
        <v>1329</v>
      </c>
      <c r="F139" s="577" t="s">
        <v>1330</v>
      </c>
      <c r="G139" s="549" t="s">
        <v>1067</v>
      </c>
      <c r="H139" s="549" t="s">
        <v>1069</v>
      </c>
      <c r="I139" s="563">
        <v>0.71</v>
      </c>
      <c r="J139" s="563">
        <v>2200</v>
      </c>
      <c r="K139" s="564">
        <v>1562</v>
      </c>
    </row>
    <row r="140" spans="1:11" ht="14.4" customHeight="1" x14ac:dyDescent="0.3">
      <c r="A140" s="545" t="s">
        <v>472</v>
      </c>
      <c r="B140" s="546" t="s">
        <v>668</v>
      </c>
      <c r="C140" s="549" t="s">
        <v>485</v>
      </c>
      <c r="D140" s="577" t="s">
        <v>670</v>
      </c>
      <c r="E140" s="549" t="s">
        <v>1333</v>
      </c>
      <c r="F140" s="577" t="s">
        <v>1334</v>
      </c>
      <c r="G140" s="549" t="s">
        <v>1070</v>
      </c>
      <c r="H140" s="549" t="s">
        <v>1071</v>
      </c>
      <c r="I140" s="563">
        <v>224.1152297009402</v>
      </c>
      <c r="J140" s="563">
        <v>6</v>
      </c>
      <c r="K140" s="564">
        <v>1344.6913782056413</v>
      </c>
    </row>
    <row r="141" spans="1:11" ht="14.4" customHeight="1" x14ac:dyDescent="0.3">
      <c r="A141" s="545" t="s">
        <v>472</v>
      </c>
      <c r="B141" s="546" t="s">
        <v>668</v>
      </c>
      <c r="C141" s="549" t="s">
        <v>485</v>
      </c>
      <c r="D141" s="577" t="s">
        <v>670</v>
      </c>
      <c r="E141" s="549" t="s">
        <v>1333</v>
      </c>
      <c r="F141" s="577" t="s">
        <v>1334</v>
      </c>
      <c r="G141" s="549" t="s">
        <v>1072</v>
      </c>
      <c r="H141" s="549" t="s">
        <v>1073</v>
      </c>
      <c r="I141" s="563">
        <v>772.82731753594931</v>
      </c>
      <c r="J141" s="563">
        <v>4</v>
      </c>
      <c r="K141" s="564">
        <v>3091.3092701437972</v>
      </c>
    </row>
    <row r="142" spans="1:11" ht="14.4" customHeight="1" x14ac:dyDescent="0.3">
      <c r="A142" s="545" t="s">
        <v>472</v>
      </c>
      <c r="B142" s="546" t="s">
        <v>668</v>
      </c>
      <c r="C142" s="549" t="s">
        <v>485</v>
      </c>
      <c r="D142" s="577" t="s">
        <v>670</v>
      </c>
      <c r="E142" s="549" t="s">
        <v>1333</v>
      </c>
      <c r="F142" s="577" t="s">
        <v>1334</v>
      </c>
      <c r="G142" s="549" t="s">
        <v>1074</v>
      </c>
      <c r="H142" s="549" t="s">
        <v>1075</v>
      </c>
      <c r="I142" s="563">
        <v>198.67503442845137</v>
      </c>
      <c r="J142" s="563">
        <v>56</v>
      </c>
      <c r="K142" s="564">
        <v>11129.891378958067</v>
      </c>
    </row>
    <row r="143" spans="1:11" ht="14.4" customHeight="1" x14ac:dyDescent="0.3">
      <c r="A143" s="545" t="s">
        <v>472</v>
      </c>
      <c r="B143" s="546" t="s">
        <v>668</v>
      </c>
      <c r="C143" s="549" t="s">
        <v>485</v>
      </c>
      <c r="D143" s="577" t="s">
        <v>670</v>
      </c>
      <c r="E143" s="549" t="s">
        <v>1333</v>
      </c>
      <c r="F143" s="577" t="s">
        <v>1334</v>
      </c>
      <c r="G143" s="549" t="s">
        <v>1076</v>
      </c>
      <c r="H143" s="549" t="s">
        <v>1077</v>
      </c>
      <c r="I143" s="563">
        <v>392.239642857143</v>
      </c>
      <c r="J143" s="563">
        <v>28</v>
      </c>
      <c r="K143" s="564">
        <v>10982.710000000005</v>
      </c>
    </row>
    <row r="144" spans="1:11" ht="14.4" customHeight="1" x14ac:dyDescent="0.3">
      <c r="A144" s="545" t="s">
        <v>472</v>
      </c>
      <c r="B144" s="546" t="s">
        <v>668</v>
      </c>
      <c r="C144" s="549" t="s">
        <v>485</v>
      </c>
      <c r="D144" s="577" t="s">
        <v>670</v>
      </c>
      <c r="E144" s="549" t="s">
        <v>1333</v>
      </c>
      <c r="F144" s="577" t="s">
        <v>1334</v>
      </c>
      <c r="G144" s="549" t="s">
        <v>1078</v>
      </c>
      <c r="H144" s="549" t="s">
        <v>1079</v>
      </c>
      <c r="I144" s="563">
        <v>181.62036377275251</v>
      </c>
      <c r="J144" s="563">
        <v>4</v>
      </c>
      <c r="K144" s="564">
        <v>726.48145509101005</v>
      </c>
    </row>
    <row r="145" spans="1:11" ht="14.4" customHeight="1" x14ac:dyDescent="0.3">
      <c r="A145" s="545" t="s">
        <v>472</v>
      </c>
      <c r="B145" s="546" t="s">
        <v>668</v>
      </c>
      <c r="C145" s="549" t="s">
        <v>485</v>
      </c>
      <c r="D145" s="577" t="s">
        <v>670</v>
      </c>
      <c r="E145" s="549" t="s">
        <v>1333</v>
      </c>
      <c r="F145" s="577" t="s">
        <v>1334</v>
      </c>
      <c r="G145" s="549" t="s">
        <v>1080</v>
      </c>
      <c r="H145" s="549" t="s">
        <v>1081</v>
      </c>
      <c r="I145" s="563">
        <v>251.30761996627029</v>
      </c>
      <c r="J145" s="563">
        <v>21</v>
      </c>
      <c r="K145" s="564">
        <v>5277.460019291676</v>
      </c>
    </row>
    <row r="146" spans="1:11" ht="14.4" customHeight="1" x14ac:dyDescent="0.3">
      <c r="A146" s="545" t="s">
        <v>472</v>
      </c>
      <c r="B146" s="546" t="s">
        <v>668</v>
      </c>
      <c r="C146" s="549" t="s">
        <v>485</v>
      </c>
      <c r="D146" s="577" t="s">
        <v>670</v>
      </c>
      <c r="E146" s="549" t="s">
        <v>1333</v>
      </c>
      <c r="F146" s="577" t="s">
        <v>1334</v>
      </c>
      <c r="G146" s="549" t="s">
        <v>1082</v>
      </c>
      <c r="H146" s="549" t="s">
        <v>1083</v>
      </c>
      <c r="I146" s="563">
        <v>266.33936770344161</v>
      </c>
      <c r="J146" s="563">
        <v>13</v>
      </c>
      <c r="K146" s="564">
        <v>3462.411780144741</v>
      </c>
    </row>
    <row r="147" spans="1:11" ht="14.4" customHeight="1" x14ac:dyDescent="0.3">
      <c r="A147" s="545" t="s">
        <v>472</v>
      </c>
      <c r="B147" s="546" t="s">
        <v>668</v>
      </c>
      <c r="C147" s="549" t="s">
        <v>485</v>
      </c>
      <c r="D147" s="577" t="s">
        <v>670</v>
      </c>
      <c r="E147" s="549" t="s">
        <v>1333</v>
      </c>
      <c r="F147" s="577" t="s">
        <v>1334</v>
      </c>
      <c r="G147" s="549" t="s">
        <v>1084</v>
      </c>
      <c r="H147" s="549" t="s">
        <v>1085</v>
      </c>
      <c r="I147" s="563">
        <v>188.58082662111269</v>
      </c>
      <c r="J147" s="563">
        <v>4</v>
      </c>
      <c r="K147" s="564">
        <v>754.32330648445077</v>
      </c>
    </row>
    <row r="148" spans="1:11" ht="14.4" customHeight="1" x14ac:dyDescent="0.3">
      <c r="A148" s="545" t="s">
        <v>472</v>
      </c>
      <c r="B148" s="546" t="s">
        <v>668</v>
      </c>
      <c r="C148" s="549" t="s">
        <v>485</v>
      </c>
      <c r="D148" s="577" t="s">
        <v>670</v>
      </c>
      <c r="E148" s="549" t="s">
        <v>1333</v>
      </c>
      <c r="F148" s="577" t="s">
        <v>1334</v>
      </c>
      <c r="G148" s="549" t="s">
        <v>1086</v>
      </c>
      <c r="H148" s="549" t="s">
        <v>1087</v>
      </c>
      <c r="I148" s="563">
        <v>18234.7</v>
      </c>
      <c r="J148" s="563">
        <v>7</v>
      </c>
      <c r="K148" s="564">
        <v>127473.5</v>
      </c>
    </row>
    <row r="149" spans="1:11" ht="14.4" customHeight="1" x14ac:dyDescent="0.3">
      <c r="A149" s="545" t="s">
        <v>472</v>
      </c>
      <c r="B149" s="546" t="s">
        <v>668</v>
      </c>
      <c r="C149" s="549" t="s">
        <v>485</v>
      </c>
      <c r="D149" s="577" t="s">
        <v>670</v>
      </c>
      <c r="E149" s="549" t="s">
        <v>1333</v>
      </c>
      <c r="F149" s="577" t="s">
        <v>1334</v>
      </c>
      <c r="G149" s="549" t="s">
        <v>1088</v>
      </c>
      <c r="H149" s="549" t="s">
        <v>1089</v>
      </c>
      <c r="I149" s="563">
        <v>93.17</v>
      </c>
      <c r="J149" s="563">
        <v>6</v>
      </c>
      <c r="K149" s="564">
        <v>559.02</v>
      </c>
    </row>
    <row r="150" spans="1:11" ht="14.4" customHeight="1" x14ac:dyDescent="0.3">
      <c r="A150" s="545" t="s">
        <v>472</v>
      </c>
      <c r="B150" s="546" t="s">
        <v>668</v>
      </c>
      <c r="C150" s="549" t="s">
        <v>485</v>
      </c>
      <c r="D150" s="577" t="s">
        <v>670</v>
      </c>
      <c r="E150" s="549" t="s">
        <v>1333</v>
      </c>
      <c r="F150" s="577" t="s">
        <v>1334</v>
      </c>
      <c r="G150" s="549" t="s">
        <v>1090</v>
      </c>
      <c r="H150" s="549" t="s">
        <v>1091</v>
      </c>
      <c r="I150" s="563">
        <v>132.58035116389928</v>
      </c>
      <c r="J150" s="563">
        <v>1</v>
      </c>
      <c r="K150" s="564">
        <v>132.58035116389928</v>
      </c>
    </row>
    <row r="151" spans="1:11" ht="14.4" customHeight="1" x14ac:dyDescent="0.3">
      <c r="A151" s="545" t="s">
        <v>472</v>
      </c>
      <c r="B151" s="546" t="s">
        <v>668</v>
      </c>
      <c r="C151" s="549" t="s">
        <v>485</v>
      </c>
      <c r="D151" s="577" t="s">
        <v>670</v>
      </c>
      <c r="E151" s="549" t="s">
        <v>1333</v>
      </c>
      <c r="F151" s="577" t="s">
        <v>1334</v>
      </c>
      <c r="G151" s="549" t="s">
        <v>1092</v>
      </c>
      <c r="H151" s="549" t="s">
        <v>1093</v>
      </c>
      <c r="I151" s="563">
        <v>132.63000000000002</v>
      </c>
      <c r="J151" s="563">
        <v>16</v>
      </c>
      <c r="K151" s="564">
        <v>2106.61</v>
      </c>
    </row>
    <row r="152" spans="1:11" ht="14.4" customHeight="1" x14ac:dyDescent="0.3">
      <c r="A152" s="545" t="s">
        <v>472</v>
      </c>
      <c r="B152" s="546" t="s">
        <v>668</v>
      </c>
      <c r="C152" s="549" t="s">
        <v>485</v>
      </c>
      <c r="D152" s="577" t="s">
        <v>670</v>
      </c>
      <c r="E152" s="549" t="s">
        <v>1333</v>
      </c>
      <c r="F152" s="577" t="s">
        <v>1334</v>
      </c>
      <c r="G152" s="549" t="s">
        <v>1094</v>
      </c>
      <c r="H152" s="549" t="s">
        <v>1095</v>
      </c>
      <c r="I152" s="563">
        <v>602.6</v>
      </c>
      <c r="J152" s="563">
        <v>1</v>
      </c>
      <c r="K152" s="564">
        <v>602.6</v>
      </c>
    </row>
    <row r="153" spans="1:11" ht="14.4" customHeight="1" x14ac:dyDescent="0.3">
      <c r="A153" s="545" t="s">
        <v>472</v>
      </c>
      <c r="B153" s="546" t="s">
        <v>668</v>
      </c>
      <c r="C153" s="549" t="s">
        <v>485</v>
      </c>
      <c r="D153" s="577" t="s">
        <v>670</v>
      </c>
      <c r="E153" s="549" t="s">
        <v>1333</v>
      </c>
      <c r="F153" s="577" t="s">
        <v>1334</v>
      </c>
      <c r="G153" s="549" t="s">
        <v>1096</v>
      </c>
      <c r="H153" s="549" t="s">
        <v>1097</v>
      </c>
      <c r="I153" s="563">
        <v>583.96625000000006</v>
      </c>
      <c r="J153" s="563">
        <v>17</v>
      </c>
      <c r="K153" s="564">
        <v>9931.9600000000009</v>
      </c>
    </row>
    <row r="154" spans="1:11" ht="14.4" customHeight="1" x14ac:dyDescent="0.3">
      <c r="A154" s="545" t="s">
        <v>472</v>
      </c>
      <c r="B154" s="546" t="s">
        <v>668</v>
      </c>
      <c r="C154" s="549" t="s">
        <v>485</v>
      </c>
      <c r="D154" s="577" t="s">
        <v>670</v>
      </c>
      <c r="E154" s="549" t="s">
        <v>1333</v>
      </c>
      <c r="F154" s="577" t="s">
        <v>1334</v>
      </c>
      <c r="G154" s="549" t="s">
        <v>1098</v>
      </c>
      <c r="H154" s="549" t="s">
        <v>1099</v>
      </c>
      <c r="I154" s="563">
        <v>140.602</v>
      </c>
      <c r="J154" s="563">
        <v>5</v>
      </c>
      <c r="K154" s="564">
        <v>703.01</v>
      </c>
    </row>
    <row r="155" spans="1:11" ht="14.4" customHeight="1" x14ac:dyDescent="0.3">
      <c r="A155" s="545" t="s">
        <v>472</v>
      </c>
      <c r="B155" s="546" t="s">
        <v>668</v>
      </c>
      <c r="C155" s="549" t="s">
        <v>485</v>
      </c>
      <c r="D155" s="577" t="s">
        <v>670</v>
      </c>
      <c r="E155" s="549" t="s">
        <v>1333</v>
      </c>
      <c r="F155" s="577" t="s">
        <v>1334</v>
      </c>
      <c r="G155" s="549" t="s">
        <v>1100</v>
      </c>
      <c r="H155" s="549" t="s">
        <v>1101</v>
      </c>
      <c r="I155" s="563">
        <v>1716.895</v>
      </c>
      <c r="J155" s="563">
        <v>177</v>
      </c>
      <c r="K155" s="564">
        <v>98702.809999999983</v>
      </c>
    </row>
    <row r="156" spans="1:11" ht="14.4" customHeight="1" x14ac:dyDescent="0.3">
      <c r="A156" s="545" t="s">
        <v>472</v>
      </c>
      <c r="B156" s="546" t="s">
        <v>668</v>
      </c>
      <c r="C156" s="549" t="s">
        <v>485</v>
      </c>
      <c r="D156" s="577" t="s">
        <v>670</v>
      </c>
      <c r="E156" s="549" t="s">
        <v>1333</v>
      </c>
      <c r="F156" s="577" t="s">
        <v>1334</v>
      </c>
      <c r="G156" s="549" t="s">
        <v>1102</v>
      </c>
      <c r="H156" s="549" t="s">
        <v>1103</v>
      </c>
      <c r="I156" s="563">
        <v>9361.9612500000003</v>
      </c>
      <c r="J156" s="563">
        <v>8</v>
      </c>
      <c r="K156" s="564">
        <v>74895.69</v>
      </c>
    </row>
    <row r="157" spans="1:11" ht="14.4" customHeight="1" x14ac:dyDescent="0.3">
      <c r="A157" s="545" t="s">
        <v>472</v>
      </c>
      <c r="B157" s="546" t="s">
        <v>668</v>
      </c>
      <c r="C157" s="549" t="s">
        <v>485</v>
      </c>
      <c r="D157" s="577" t="s">
        <v>670</v>
      </c>
      <c r="E157" s="549" t="s">
        <v>1333</v>
      </c>
      <c r="F157" s="577" t="s">
        <v>1334</v>
      </c>
      <c r="G157" s="549" t="s">
        <v>1104</v>
      </c>
      <c r="H157" s="549" t="s">
        <v>1105</v>
      </c>
      <c r="I157" s="563">
        <v>111.32</v>
      </c>
      <c r="J157" s="563">
        <v>3</v>
      </c>
      <c r="K157" s="564">
        <v>333.96</v>
      </c>
    </row>
    <row r="158" spans="1:11" ht="14.4" customHeight="1" x14ac:dyDescent="0.3">
      <c r="A158" s="545" t="s">
        <v>472</v>
      </c>
      <c r="B158" s="546" t="s">
        <v>668</v>
      </c>
      <c r="C158" s="549" t="s">
        <v>485</v>
      </c>
      <c r="D158" s="577" t="s">
        <v>670</v>
      </c>
      <c r="E158" s="549" t="s">
        <v>1333</v>
      </c>
      <c r="F158" s="577" t="s">
        <v>1334</v>
      </c>
      <c r="G158" s="549" t="s">
        <v>1104</v>
      </c>
      <c r="H158" s="549" t="s">
        <v>1106</v>
      </c>
      <c r="I158" s="563">
        <v>117.33</v>
      </c>
      <c r="J158" s="563">
        <v>2</v>
      </c>
      <c r="K158" s="564">
        <v>234.67</v>
      </c>
    </row>
    <row r="159" spans="1:11" ht="14.4" customHeight="1" x14ac:dyDescent="0.3">
      <c r="A159" s="545" t="s">
        <v>472</v>
      </c>
      <c r="B159" s="546" t="s">
        <v>668</v>
      </c>
      <c r="C159" s="549" t="s">
        <v>485</v>
      </c>
      <c r="D159" s="577" t="s">
        <v>670</v>
      </c>
      <c r="E159" s="549" t="s">
        <v>1333</v>
      </c>
      <c r="F159" s="577" t="s">
        <v>1334</v>
      </c>
      <c r="G159" s="549" t="s">
        <v>1107</v>
      </c>
      <c r="H159" s="549" t="s">
        <v>1108</v>
      </c>
      <c r="I159" s="563">
        <v>7601.875</v>
      </c>
      <c r="J159" s="563">
        <v>3</v>
      </c>
      <c r="K159" s="564">
        <v>22813.9</v>
      </c>
    </row>
    <row r="160" spans="1:11" ht="14.4" customHeight="1" x14ac:dyDescent="0.3">
      <c r="A160" s="545" t="s">
        <v>472</v>
      </c>
      <c r="B160" s="546" t="s">
        <v>668</v>
      </c>
      <c r="C160" s="549" t="s">
        <v>485</v>
      </c>
      <c r="D160" s="577" t="s">
        <v>670</v>
      </c>
      <c r="E160" s="549" t="s">
        <v>1333</v>
      </c>
      <c r="F160" s="577" t="s">
        <v>1334</v>
      </c>
      <c r="G160" s="549" t="s">
        <v>1109</v>
      </c>
      <c r="H160" s="549" t="s">
        <v>1110</v>
      </c>
      <c r="I160" s="563">
        <v>4917</v>
      </c>
      <c r="J160" s="563">
        <v>1</v>
      </c>
      <c r="K160" s="564">
        <v>4917</v>
      </c>
    </row>
    <row r="161" spans="1:11" ht="14.4" customHeight="1" x14ac:dyDescent="0.3">
      <c r="A161" s="545" t="s">
        <v>472</v>
      </c>
      <c r="B161" s="546" t="s">
        <v>668</v>
      </c>
      <c r="C161" s="549" t="s">
        <v>485</v>
      </c>
      <c r="D161" s="577" t="s">
        <v>670</v>
      </c>
      <c r="E161" s="549" t="s">
        <v>1333</v>
      </c>
      <c r="F161" s="577" t="s">
        <v>1334</v>
      </c>
      <c r="G161" s="549" t="s">
        <v>1111</v>
      </c>
      <c r="H161" s="549" t="s">
        <v>1112</v>
      </c>
      <c r="I161" s="563">
        <v>15181.676666666666</v>
      </c>
      <c r="J161" s="563">
        <v>3</v>
      </c>
      <c r="K161" s="564">
        <v>45545.03</v>
      </c>
    </row>
    <row r="162" spans="1:11" ht="14.4" customHeight="1" x14ac:dyDescent="0.3">
      <c r="A162" s="545" t="s">
        <v>472</v>
      </c>
      <c r="B162" s="546" t="s">
        <v>668</v>
      </c>
      <c r="C162" s="549" t="s">
        <v>485</v>
      </c>
      <c r="D162" s="577" t="s">
        <v>670</v>
      </c>
      <c r="E162" s="549" t="s">
        <v>1333</v>
      </c>
      <c r="F162" s="577" t="s">
        <v>1334</v>
      </c>
      <c r="G162" s="549" t="s">
        <v>1113</v>
      </c>
      <c r="H162" s="549" t="s">
        <v>1114</v>
      </c>
      <c r="I162" s="563">
        <v>8046.5</v>
      </c>
      <c r="J162" s="563">
        <v>3</v>
      </c>
      <c r="K162" s="564">
        <v>24139.5</v>
      </c>
    </row>
    <row r="163" spans="1:11" ht="14.4" customHeight="1" x14ac:dyDescent="0.3">
      <c r="A163" s="545" t="s">
        <v>472</v>
      </c>
      <c r="B163" s="546" t="s">
        <v>668</v>
      </c>
      <c r="C163" s="549" t="s">
        <v>485</v>
      </c>
      <c r="D163" s="577" t="s">
        <v>670</v>
      </c>
      <c r="E163" s="549" t="s">
        <v>1333</v>
      </c>
      <c r="F163" s="577" t="s">
        <v>1334</v>
      </c>
      <c r="G163" s="549" t="s">
        <v>1115</v>
      </c>
      <c r="H163" s="549" t="s">
        <v>1116</v>
      </c>
      <c r="I163" s="563">
        <v>3569.5</v>
      </c>
      <c r="J163" s="563">
        <v>14</v>
      </c>
      <c r="K163" s="564">
        <v>49973</v>
      </c>
    </row>
    <row r="164" spans="1:11" ht="14.4" customHeight="1" x14ac:dyDescent="0.3">
      <c r="A164" s="545" t="s">
        <v>472</v>
      </c>
      <c r="B164" s="546" t="s">
        <v>668</v>
      </c>
      <c r="C164" s="549" t="s">
        <v>485</v>
      </c>
      <c r="D164" s="577" t="s">
        <v>670</v>
      </c>
      <c r="E164" s="549" t="s">
        <v>1333</v>
      </c>
      <c r="F164" s="577" t="s">
        <v>1334</v>
      </c>
      <c r="G164" s="549" t="s">
        <v>1117</v>
      </c>
      <c r="H164" s="549" t="s">
        <v>1118</v>
      </c>
      <c r="I164" s="563">
        <v>7575.665</v>
      </c>
      <c r="J164" s="563">
        <v>2</v>
      </c>
      <c r="K164" s="564">
        <v>15151.33</v>
      </c>
    </row>
    <row r="165" spans="1:11" ht="14.4" customHeight="1" x14ac:dyDescent="0.3">
      <c r="A165" s="545" t="s">
        <v>472</v>
      </c>
      <c r="B165" s="546" t="s">
        <v>668</v>
      </c>
      <c r="C165" s="549" t="s">
        <v>485</v>
      </c>
      <c r="D165" s="577" t="s">
        <v>670</v>
      </c>
      <c r="E165" s="549" t="s">
        <v>1333</v>
      </c>
      <c r="F165" s="577" t="s">
        <v>1334</v>
      </c>
      <c r="G165" s="549" t="s">
        <v>1119</v>
      </c>
      <c r="H165" s="549" t="s">
        <v>1120</v>
      </c>
      <c r="I165" s="563">
        <v>13915</v>
      </c>
      <c r="J165" s="563">
        <v>4</v>
      </c>
      <c r="K165" s="564">
        <v>55660</v>
      </c>
    </row>
    <row r="166" spans="1:11" ht="14.4" customHeight="1" x14ac:dyDescent="0.3">
      <c r="A166" s="545" t="s">
        <v>472</v>
      </c>
      <c r="B166" s="546" t="s">
        <v>668</v>
      </c>
      <c r="C166" s="549" t="s">
        <v>485</v>
      </c>
      <c r="D166" s="577" t="s">
        <v>670</v>
      </c>
      <c r="E166" s="549" t="s">
        <v>1333</v>
      </c>
      <c r="F166" s="577" t="s">
        <v>1334</v>
      </c>
      <c r="G166" s="549" t="s">
        <v>1121</v>
      </c>
      <c r="H166" s="549" t="s">
        <v>1122</v>
      </c>
      <c r="I166" s="563">
        <v>7575.666666666667</v>
      </c>
      <c r="J166" s="563">
        <v>3</v>
      </c>
      <c r="K166" s="564">
        <v>22727</v>
      </c>
    </row>
    <row r="167" spans="1:11" ht="14.4" customHeight="1" x14ac:dyDescent="0.3">
      <c r="A167" s="545" t="s">
        <v>472</v>
      </c>
      <c r="B167" s="546" t="s">
        <v>668</v>
      </c>
      <c r="C167" s="549" t="s">
        <v>485</v>
      </c>
      <c r="D167" s="577" t="s">
        <v>670</v>
      </c>
      <c r="E167" s="549" t="s">
        <v>1333</v>
      </c>
      <c r="F167" s="577" t="s">
        <v>1334</v>
      </c>
      <c r="G167" s="549" t="s">
        <v>1123</v>
      </c>
      <c r="H167" s="549" t="s">
        <v>1124</v>
      </c>
      <c r="I167" s="563">
        <v>92.098888888888894</v>
      </c>
      <c r="J167" s="563">
        <v>29</v>
      </c>
      <c r="K167" s="564">
        <v>2670.64</v>
      </c>
    </row>
    <row r="168" spans="1:11" ht="14.4" customHeight="1" x14ac:dyDescent="0.3">
      <c r="A168" s="545" t="s">
        <v>472</v>
      </c>
      <c r="B168" s="546" t="s">
        <v>668</v>
      </c>
      <c r="C168" s="549" t="s">
        <v>485</v>
      </c>
      <c r="D168" s="577" t="s">
        <v>670</v>
      </c>
      <c r="E168" s="549" t="s">
        <v>1333</v>
      </c>
      <c r="F168" s="577" t="s">
        <v>1334</v>
      </c>
      <c r="G168" s="549" t="s">
        <v>1125</v>
      </c>
      <c r="H168" s="549" t="s">
        <v>1126</v>
      </c>
      <c r="I168" s="563">
        <v>15172.02</v>
      </c>
      <c r="J168" s="563">
        <v>2</v>
      </c>
      <c r="K168" s="564">
        <v>30344.04</v>
      </c>
    </row>
    <row r="169" spans="1:11" ht="14.4" customHeight="1" x14ac:dyDescent="0.3">
      <c r="A169" s="545" t="s">
        <v>472</v>
      </c>
      <c r="B169" s="546" t="s">
        <v>668</v>
      </c>
      <c r="C169" s="549" t="s">
        <v>485</v>
      </c>
      <c r="D169" s="577" t="s">
        <v>670</v>
      </c>
      <c r="E169" s="549" t="s">
        <v>1333</v>
      </c>
      <c r="F169" s="577" t="s">
        <v>1334</v>
      </c>
      <c r="G169" s="549" t="s">
        <v>1127</v>
      </c>
      <c r="H169" s="549" t="s">
        <v>1128</v>
      </c>
      <c r="I169" s="563">
        <v>22559.816666666666</v>
      </c>
      <c r="J169" s="563">
        <v>3</v>
      </c>
      <c r="K169" s="564">
        <v>67679.45</v>
      </c>
    </row>
    <row r="170" spans="1:11" ht="14.4" customHeight="1" x14ac:dyDescent="0.3">
      <c r="A170" s="545" t="s">
        <v>472</v>
      </c>
      <c r="B170" s="546" t="s">
        <v>668</v>
      </c>
      <c r="C170" s="549" t="s">
        <v>485</v>
      </c>
      <c r="D170" s="577" t="s">
        <v>670</v>
      </c>
      <c r="E170" s="549" t="s">
        <v>1333</v>
      </c>
      <c r="F170" s="577" t="s">
        <v>1334</v>
      </c>
      <c r="G170" s="549" t="s">
        <v>1129</v>
      </c>
      <c r="H170" s="549" t="s">
        <v>1130</v>
      </c>
      <c r="I170" s="563">
        <v>344.66333333333336</v>
      </c>
      <c r="J170" s="563">
        <v>12</v>
      </c>
      <c r="K170" s="564">
        <v>4136</v>
      </c>
    </row>
    <row r="171" spans="1:11" ht="14.4" customHeight="1" x14ac:dyDescent="0.3">
      <c r="A171" s="545" t="s">
        <v>472</v>
      </c>
      <c r="B171" s="546" t="s">
        <v>668</v>
      </c>
      <c r="C171" s="549" t="s">
        <v>485</v>
      </c>
      <c r="D171" s="577" t="s">
        <v>670</v>
      </c>
      <c r="E171" s="549" t="s">
        <v>1333</v>
      </c>
      <c r="F171" s="577" t="s">
        <v>1334</v>
      </c>
      <c r="G171" s="549" t="s">
        <v>1131</v>
      </c>
      <c r="H171" s="549" t="s">
        <v>1132</v>
      </c>
      <c r="I171" s="563">
        <v>1291.2975000000001</v>
      </c>
      <c r="J171" s="563">
        <v>90</v>
      </c>
      <c r="K171" s="564">
        <v>116341.5</v>
      </c>
    </row>
    <row r="172" spans="1:11" ht="14.4" customHeight="1" x14ac:dyDescent="0.3">
      <c r="A172" s="545" t="s">
        <v>472</v>
      </c>
      <c r="B172" s="546" t="s">
        <v>668</v>
      </c>
      <c r="C172" s="549" t="s">
        <v>485</v>
      </c>
      <c r="D172" s="577" t="s">
        <v>670</v>
      </c>
      <c r="E172" s="549" t="s">
        <v>1333</v>
      </c>
      <c r="F172" s="577" t="s">
        <v>1334</v>
      </c>
      <c r="G172" s="549" t="s">
        <v>1133</v>
      </c>
      <c r="H172" s="549" t="s">
        <v>1134</v>
      </c>
      <c r="I172" s="563">
        <v>13189.039999999999</v>
      </c>
      <c r="J172" s="563">
        <v>3</v>
      </c>
      <c r="K172" s="564">
        <v>39567.119999999995</v>
      </c>
    </row>
    <row r="173" spans="1:11" ht="14.4" customHeight="1" x14ac:dyDescent="0.3">
      <c r="A173" s="545" t="s">
        <v>472</v>
      </c>
      <c r="B173" s="546" t="s">
        <v>668</v>
      </c>
      <c r="C173" s="549" t="s">
        <v>485</v>
      </c>
      <c r="D173" s="577" t="s">
        <v>670</v>
      </c>
      <c r="E173" s="549" t="s">
        <v>1333</v>
      </c>
      <c r="F173" s="577" t="s">
        <v>1334</v>
      </c>
      <c r="G173" s="549" t="s">
        <v>1135</v>
      </c>
      <c r="H173" s="549" t="s">
        <v>1136</v>
      </c>
      <c r="I173" s="563">
        <v>23170.29</v>
      </c>
      <c r="J173" s="563">
        <v>1</v>
      </c>
      <c r="K173" s="564">
        <v>23170.29</v>
      </c>
    </row>
    <row r="174" spans="1:11" ht="14.4" customHeight="1" x14ac:dyDescent="0.3">
      <c r="A174" s="545" t="s">
        <v>472</v>
      </c>
      <c r="B174" s="546" t="s">
        <v>668</v>
      </c>
      <c r="C174" s="549" t="s">
        <v>485</v>
      </c>
      <c r="D174" s="577" t="s">
        <v>670</v>
      </c>
      <c r="E174" s="549" t="s">
        <v>1333</v>
      </c>
      <c r="F174" s="577" t="s">
        <v>1334</v>
      </c>
      <c r="G174" s="549" t="s">
        <v>1137</v>
      </c>
      <c r="H174" s="549" t="s">
        <v>1138</v>
      </c>
      <c r="I174" s="563">
        <v>5747.4</v>
      </c>
      <c r="J174" s="563">
        <v>1</v>
      </c>
      <c r="K174" s="564">
        <v>5747.4</v>
      </c>
    </row>
    <row r="175" spans="1:11" ht="14.4" customHeight="1" x14ac:dyDescent="0.3">
      <c r="A175" s="545" t="s">
        <v>472</v>
      </c>
      <c r="B175" s="546" t="s">
        <v>668</v>
      </c>
      <c r="C175" s="549" t="s">
        <v>485</v>
      </c>
      <c r="D175" s="577" t="s">
        <v>670</v>
      </c>
      <c r="E175" s="549" t="s">
        <v>1333</v>
      </c>
      <c r="F175" s="577" t="s">
        <v>1334</v>
      </c>
      <c r="G175" s="549" t="s">
        <v>1139</v>
      </c>
      <c r="H175" s="549" t="s">
        <v>1140</v>
      </c>
      <c r="I175" s="563">
        <v>4948.82</v>
      </c>
      <c r="J175" s="563">
        <v>1</v>
      </c>
      <c r="K175" s="564">
        <v>4948.82</v>
      </c>
    </row>
    <row r="176" spans="1:11" ht="14.4" customHeight="1" x14ac:dyDescent="0.3">
      <c r="A176" s="545" t="s">
        <v>472</v>
      </c>
      <c r="B176" s="546" t="s">
        <v>668</v>
      </c>
      <c r="C176" s="549" t="s">
        <v>485</v>
      </c>
      <c r="D176" s="577" t="s">
        <v>670</v>
      </c>
      <c r="E176" s="549" t="s">
        <v>1333</v>
      </c>
      <c r="F176" s="577" t="s">
        <v>1334</v>
      </c>
      <c r="G176" s="549" t="s">
        <v>1141</v>
      </c>
      <c r="H176" s="549" t="s">
        <v>1142</v>
      </c>
      <c r="I176" s="563">
        <v>14647.05</v>
      </c>
      <c r="J176" s="563">
        <v>2</v>
      </c>
      <c r="K176" s="564">
        <v>29294.1</v>
      </c>
    </row>
    <row r="177" spans="1:11" ht="14.4" customHeight="1" x14ac:dyDescent="0.3">
      <c r="A177" s="545" t="s">
        <v>472</v>
      </c>
      <c r="B177" s="546" t="s">
        <v>668</v>
      </c>
      <c r="C177" s="549" t="s">
        <v>485</v>
      </c>
      <c r="D177" s="577" t="s">
        <v>670</v>
      </c>
      <c r="E177" s="549" t="s">
        <v>1333</v>
      </c>
      <c r="F177" s="577" t="s">
        <v>1334</v>
      </c>
      <c r="G177" s="549" t="s">
        <v>1143</v>
      </c>
      <c r="H177" s="549" t="s">
        <v>1144</v>
      </c>
      <c r="I177" s="563">
        <v>7840.89</v>
      </c>
      <c r="J177" s="563">
        <v>1</v>
      </c>
      <c r="K177" s="564">
        <v>7840.89</v>
      </c>
    </row>
    <row r="178" spans="1:11" ht="14.4" customHeight="1" x14ac:dyDescent="0.3">
      <c r="A178" s="545" t="s">
        <v>472</v>
      </c>
      <c r="B178" s="546" t="s">
        <v>668</v>
      </c>
      <c r="C178" s="549" t="s">
        <v>485</v>
      </c>
      <c r="D178" s="577" t="s">
        <v>670</v>
      </c>
      <c r="E178" s="549" t="s">
        <v>1333</v>
      </c>
      <c r="F178" s="577" t="s">
        <v>1334</v>
      </c>
      <c r="G178" s="549" t="s">
        <v>1145</v>
      </c>
      <c r="H178" s="549" t="s">
        <v>1146</v>
      </c>
      <c r="I178" s="563">
        <v>7840.89</v>
      </c>
      <c r="J178" s="563">
        <v>1</v>
      </c>
      <c r="K178" s="564">
        <v>7840.89</v>
      </c>
    </row>
    <row r="179" spans="1:11" ht="14.4" customHeight="1" x14ac:dyDescent="0.3">
      <c r="A179" s="545" t="s">
        <v>472</v>
      </c>
      <c r="B179" s="546" t="s">
        <v>668</v>
      </c>
      <c r="C179" s="549" t="s">
        <v>485</v>
      </c>
      <c r="D179" s="577" t="s">
        <v>670</v>
      </c>
      <c r="E179" s="549" t="s">
        <v>1333</v>
      </c>
      <c r="F179" s="577" t="s">
        <v>1334</v>
      </c>
      <c r="G179" s="549" t="s">
        <v>1147</v>
      </c>
      <c r="H179" s="549" t="s">
        <v>1148</v>
      </c>
      <c r="I179" s="563">
        <v>2285.1233333333334</v>
      </c>
      <c r="J179" s="563">
        <v>8</v>
      </c>
      <c r="K179" s="564">
        <v>18157.340000000004</v>
      </c>
    </row>
    <row r="180" spans="1:11" ht="14.4" customHeight="1" x14ac:dyDescent="0.3">
      <c r="A180" s="545" t="s">
        <v>472</v>
      </c>
      <c r="B180" s="546" t="s">
        <v>668</v>
      </c>
      <c r="C180" s="549" t="s">
        <v>485</v>
      </c>
      <c r="D180" s="577" t="s">
        <v>670</v>
      </c>
      <c r="E180" s="549" t="s">
        <v>1333</v>
      </c>
      <c r="F180" s="577" t="s">
        <v>1334</v>
      </c>
      <c r="G180" s="549" t="s">
        <v>1149</v>
      </c>
      <c r="H180" s="549" t="s">
        <v>1150</v>
      </c>
      <c r="I180" s="563">
        <v>2718.4649999999997</v>
      </c>
      <c r="J180" s="563">
        <v>16</v>
      </c>
      <c r="K180" s="564">
        <v>43201.43</v>
      </c>
    </row>
    <row r="181" spans="1:11" ht="14.4" customHeight="1" x14ac:dyDescent="0.3">
      <c r="A181" s="545" t="s">
        <v>472</v>
      </c>
      <c r="B181" s="546" t="s">
        <v>668</v>
      </c>
      <c r="C181" s="549" t="s">
        <v>485</v>
      </c>
      <c r="D181" s="577" t="s">
        <v>670</v>
      </c>
      <c r="E181" s="549" t="s">
        <v>1333</v>
      </c>
      <c r="F181" s="577" t="s">
        <v>1334</v>
      </c>
      <c r="G181" s="549" t="s">
        <v>1151</v>
      </c>
      <c r="H181" s="549" t="s">
        <v>1152</v>
      </c>
      <c r="I181" s="563">
        <v>8893.61</v>
      </c>
      <c r="J181" s="563">
        <v>1</v>
      </c>
      <c r="K181" s="564">
        <v>8893.61</v>
      </c>
    </row>
    <row r="182" spans="1:11" ht="14.4" customHeight="1" x14ac:dyDescent="0.3">
      <c r="A182" s="545" t="s">
        <v>472</v>
      </c>
      <c r="B182" s="546" t="s">
        <v>668</v>
      </c>
      <c r="C182" s="549" t="s">
        <v>485</v>
      </c>
      <c r="D182" s="577" t="s">
        <v>670</v>
      </c>
      <c r="E182" s="549" t="s">
        <v>1333</v>
      </c>
      <c r="F182" s="577" t="s">
        <v>1334</v>
      </c>
      <c r="G182" s="549" t="s">
        <v>1153</v>
      </c>
      <c r="H182" s="549" t="s">
        <v>1154</v>
      </c>
      <c r="I182" s="563">
        <v>8893.61</v>
      </c>
      <c r="J182" s="563">
        <v>1</v>
      </c>
      <c r="K182" s="564">
        <v>8893.61</v>
      </c>
    </row>
    <row r="183" spans="1:11" ht="14.4" customHeight="1" x14ac:dyDescent="0.3">
      <c r="A183" s="545" t="s">
        <v>472</v>
      </c>
      <c r="B183" s="546" t="s">
        <v>668</v>
      </c>
      <c r="C183" s="549" t="s">
        <v>485</v>
      </c>
      <c r="D183" s="577" t="s">
        <v>670</v>
      </c>
      <c r="E183" s="549" t="s">
        <v>1333</v>
      </c>
      <c r="F183" s="577" t="s">
        <v>1334</v>
      </c>
      <c r="G183" s="549" t="s">
        <v>1155</v>
      </c>
      <c r="H183" s="549" t="s">
        <v>1156</v>
      </c>
      <c r="I183" s="563">
        <v>241.99799999999999</v>
      </c>
      <c r="J183" s="563">
        <v>6</v>
      </c>
      <c r="K183" s="564">
        <v>1451.99</v>
      </c>
    </row>
    <row r="184" spans="1:11" ht="14.4" customHeight="1" x14ac:dyDescent="0.3">
      <c r="A184" s="545" t="s">
        <v>472</v>
      </c>
      <c r="B184" s="546" t="s">
        <v>668</v>
      </c>
      <c r="C184" s="549" t="s">
        <v>485</v>
      </c>
      <c r="D184" s="577" t="s">
        <v>670</v>
      </c>
      <c r="E184" s="549" t="s">
        <v>1333</v>
      </c>
      <c r="F184" s="577" t="s">
        <v>1334</v>
      </c>
      <c r="G184" s="549" t="s">
        <v>1157</v>
      </c>
      <c r="H184" s="549" t="s">
        <v>1158</v>
      </c>
      <c r="I184" s="563">
        <v>2525.875</v>
      </c>
      <c r="J184" s="563">
        <v>4</v>
      </c>
      <c r="K184" s="564">
        <v>10103.5</v>
      </c>
    </row>
    <row r="185" spans="1:11" ht="14.4" customHeight="1" x14ac:dyDescent="0.3">
      <c r="A185" s="545" t="s">
        <v>472</v>
      </c>
      <c r="B185" s="546" t="s">
        <v>668</v>
      </c>
      <c r="C185" s="549" t="s">
        <v>485</v>
      </c>
      <c r="D185" s="577" t="s">
        <v>670</v>
      </c>
      <c r="E185" s="549" t="s">
        <v>1333</v>
      </c>
      <c r="F185" s="577" t="s">
        <v>1334</v>
      </c>
      <c r="G185" s="549" t="s">
        <v>1159</v>
      </c>
      <c r="H185" s="549" t="s">
        <v>1160</v>
      </c>
      <c r="I185" s="563">
        <v>8552.2999999999993</v>
      </c>
      <c r="J185" s="563">
        <v>1</v>
      </c>
      <c r="K185" s="564">
        <v>8552.2999999999993</v>
      </c>
    </row>
    <row r="186" spans="1:11" ht="14.4" customHeight="1" x14ac:dyDescent="0.3">
      <c r="A186" s="545" t="s">
        <v>472</v>
      </c>
      <c r="B186" s="546" t="s">
        <v>668</v>
      </c>
      <c r="C186" s="549" t="s">
        <v>485</v>
      </c>
      <c r="D186" s="577" t="s">
        <v>670</v>
      </c>
      <c r="E186" s="549" t="s">
        <v>1333</v>
      </c>
      <c r="F186" s="577" t="s">
        <v>1334</v>
      </c>
      <c r="G186" s="549" t="s">
        <v>1161</v>
      </c>
      <c r="H186" s="549" t="s">
        <v>1162</v>
      </c>
      <c r="I186" s="563">
        <v>30313.695</v>
      </c>
      <c r="J186" s="563">
        <v>2</v>
      </c>
      <c r="K186" s="564">
        <v>60627.39</v>
      </c>
    </row>
    <row r="187" spans="1:11" ht="14.4" customHeight="1" x14ac:dyDescent="0.3">
      <c r="A187" s="545" t="s">
        <v>472</v>
      </c>
      <c r="B187" s="546" t="s">
        <v>668</v>
      </c>
      <c r="C187" s="549" t="s">
        <v>485</v>
      </c>
      <c r="D187" s="577" t="s">
        <v>670</v>
      </c>
      <c r="E187" s="549" t="s">
        <v>1333</v>
      </c>
      <c r="F187" s="577" t="s">
        <v>1334</v>
      </c>
      <c r="G187" s="549" t="s">
        <v>1163</v>
      </c>
      <c r="H187" s="549" t="s">
        <v>1164</v>
      </c>
      <c r="I187" s="563">
        <v>15185.814999999999</v>
      </c>
      <c r="J187" s="563">
        <v>2</v>
      </c>
      <c r="K187" s="564">
        <v>30371.629999999997</v>
      </c>
    </row>
    <row r="188" spans="1:11" ht="14.4" customHeight="1" x14ac:dyDescent="0.3">
      <c r="A188" s="545" t="s">
        <v>472</v>
      </c>
      <c r="B188" s="546" t="s">
        <v>668</v>
      </c>
      <c r="C188" s="549" t="s">
        <v>485</v>
      </c>
      <c r="D188" s="577" t="s">
        <v>670</v>
      </c>
      <c r="E188" s="549" t="s">
        <v>1333</v>
      </c>
      <c r="F188" s="577" t="s">
        <v>1334</v>
      </c>
      <c r="G188" s="549" t="s">
        <v>1165</v>
      </c>
      <c r="H188" s="549" t="s">
        <v>1166</v>
      </c>
      <c r="I188" s="563">
        <v>14604.7</v>
      </c>
      <c r="J188" s="563">
        <v>2</v>
      </c>
      <c r="K188" s="564">
        <v>29209.4</v>
      </c>
    </row>
    <row r="189" spans="1:11" ht="14.4" customHeight="1" x14ac:dyDescent="0.3">
      <c r="A189" s="545" t="s">
        <v>472</v>
      </c>
      <c r="B189" s="546" t="s">
        <v>668</v>
      </c>
      <c r="C189" s="549" t="s">
        <v>485</v>
      </c>
      <c r="D189" s="577" t="s">
        <v>670</v>
      </c>
      <c r="E189" s="549" t="s">
        <v>1333</v>
      </c>
      <c r="F189" s="577" t="s">
        <v>1334</v>
      </c>
      <c r="G189" s="549" t="s">
        <v>1167</v>
      </c>
      <c r="H189" s="549" t="s">
        <v>1168</v>
      </c>
      <c r="I189" s="563">
        <v>7435.42</v>
      </c>
      <c r="J189" s="563">
        <v>2</v>
      </c>
      <c r="K189" s="564">
        <v>14870.84</v>
      </c>
    </row>
    <row r="190" spans="1:11" ht="14.4" customHeight="1" x14ac:dyDescent="0.3">
      <c r="A190" s="545" t="s">
        <v>472</v>
      </c>
      <c r="B190" s="546" t="s">
        <v>668</v>
      </c>
      <c r="C190" s="549" t="s">
        <v>485</v>
      </c>
      <c r="D190" s="577" t="s">
        <v>670</v>
      </c>
      <c r="E190" s="549" t="s">
        <v>1333</v>
      </c>
      <c r="F190" s="577" t="s">
        <v>1334</v>
      </c>
      <c r="G190" s="549" t="s">
        <v>1169</v>
      </c>
      <c r="H190" s="549" t="s">
        <v>1170</v>
      </c>
      <c r="I190" s="563">
        <v>595.67999999999995</v>
      </c>
      <c r="J190" s="563">
        <v>1</v>
      </c>
      <c r="K190" s="564">
        <v>595.67999999999995</v>
      </c>
    </row>
    <row r="191" spans="1:11" ht="14.4" customHeight="1" x14ac:dyDescent="0.3">
      <c r="A191" s="545" t="s">
        <v>472</v>
      </c>
      <c r="B191" s="546" t="s">
        <v>668</v>
      </c>
      <c r="C191" s="549" t="s">
        <v>485</v>
      </c>
      <c r="D191" s="577" t="s">
        <v>670</v>
      </c>
      <c r="E191" s="549" t="s">
        <v>1333</v>
      </c>
      <c r="F191" s="577" t="s">
        <v>1334</v>
      </c>
      <c r="G191" s="549" t="s">
        <v>1171</v>
      </c>
      <c r="H191" s="549" t="s">
        <v>1172</v>
      </c>
      <c r="I191" s="563">
        <v>3309.35</v>
      </c>
      <c r="J191" s="563">
        <v>1</v>
      </c>
      <c r="K191" s="564">
        <v>3309.35</v>
      </c>
    </row>
    <row r="192" spans="1:11" ht="14.4" customHeight="1" x14ac:dyDescent="0.3">
      <c r="A192" s="545" t="s">
        <v>472</v>
      </c>
      <c r="B192" s="546" t="s">
        <v>668</v>
      </c>
      <c r="C192" s="549" t="s">
        <v>485</v>
      </c>
      <c r="D192" s="577" t="s">
        <v>670</v>
      </c>
      <c r="E192" s="549" t="s">
        <v>1333</v>
      </c>
      <c r="F192" s="577" t="s">
        <v>1334</v>
      </c>
      <c r="G192" s="549" t="s">
        <v>1173</v>
      </c>
      <c r="H192" s="549" t="s">
        <v>1174</v>
      </c>
      <c r="I192" s="563">
        <v>7575.66</v>
      </c>
      <c r="J192" s="563">
        <v>1</v>
      </c>
      <c r="K192" s="564">
        <v>7575.66</v>
      </c>
    </row>
    <row r="193" spans="1:11" ht="14.4" customHeight="1" x14ac:dyDescent="0.3">
      <c r="A193" s="545" t="s">
        <v>472</v>
      </c>
      <c r="B193" s="546" t="s">
        <v>668</v>
      </c>
      <c r="C193" s="549" t="s">
        <v>485</v>
      </c>
      <c r="D193" s="577" t="s">
        <v>670</v>
      </c>
      <c r="E193" s="549" t="s">
        <v>1333</v>
      </c>
      <c r="F193" s="577" t="s">
        <v>1334</v>
      </c>
      <c r="G193" s="549" t="s">
        <v>1175</v>
      </c>
      <c r="H193" s="549" t="s">
        <v>1176</v>
      </c>
      <c r="I193" s="563">
        <v>11424.58</v>
      </c>
      <c r="J193" s="563">
        <v>7</v>
      </c>
      <c r="K193" s="564">
        <v>79445.709999999992</v>
      </c>
    </row>
    <row r="194" spans="1:11" ht="14.4" customHeight="1" x14ac:dyDescent="0.3">
      <c r="A194" s="545" t="s">
        <v>472</v>
      </c>
      <c r="B194" s="546" t="s">
        <v>668</v>
      </c>
      <c r="C194" s="549" t="s">
        <v>485</v>
      </c>
      <c r="D194" s="577" t="s">
        <v>670</v>
      </c>
      <c r="E194" s="549" t="s">
        <v>1333</v>
      </c>
      <c r="F194" s="577" t="s">
        <v>1334</v>
      </c>
      <c r="G194" s="549" t="s">
        <v>1177</v>
      </c>
      <c r="H194" s="549" t="s">
        <v>1178</v>
      </c>
      <c r="I194" s="563">
        <v>1259.8566666666666</v>
      </c>
      <c r="J194" s="563">
        <v>9</v>
      </c>
      <c r="K194" s="564">
        <v>10842.619999999999</v>
      </c>
    </row>
    <row r="195" spans="1:11" ht="14.4" customHeight="1" x14ac:dyDescent="0.3">
      <c r="A195" s="545" t="s">
        <v>472</v>
      </c>
      <c r="B195" s="546" t="s">
        <v>668</v>
      </c>
      <c r="C195" s="549" t="s">
        <v>485</v>
      </c>
      <c r="D195" s="577" t="s">
        <v>670</v>
      </c>
      <c r="E195" s="549" t="s">
        <v>1333</v>
      </c>
      <c r="F195" s="577" t="s">
        <v>1334</v>
      </c>
      <c r="G195" s="549" t="s">
        <v>1179</v>
      </c>
      <c r="H195" s="549" t="s">
        <v>1180</v>
      </c>
      <c r="I195" s="563">
        <v>1079.3200000000002</v>
      </c>
      <c r="J195" s="563">
        <v>14</v>
      </c>
      <c r="K195" s="564">
        <v>14761.999999999998</v>
      </c>
    </row>
    <row r="196" spans="1:11" ht="14.4" customHeight="1" x14ac:dyDescent="0.3">
      <c r="A196" s="545" t="s">
        <v>472</v>
      </c>
      <c r="B196" s="546" t="s">
        <v>668</v>
      </c>
      <c r="C196" s="549" t="s">
        <v>485</v>
      </c>
      <c r="D196" s="577" t="s">
        <v>670</v>
      </c>
      <c r="E196" s="549" t="s">
        <v>1333</v>
      </c>
      <c r="F196" s="577" t="s">
        <v>1334</v>
      </c>
      <c r="G196" s="549" t="s">
        <v>1181</v>
      </c>
      <c r="H196" s="549" t="s">
        <v>1182</v>
      </c>
      <c r="I196" s="563">
        <v>1631.08</v>
      </c>
      <c r="J196" s="563">
        <v>4</v>
      </c>
      <c r="K196" s="564">
        <v>6524.32</v>
      </c>
    </row>
    <row r="197" spans="1:11" ht="14.4" customHeight="1" x14ac:dyDescent="0.3">
      <c r="A197" s="545" t="s">
        <v>472</v>
      </c>
      <c r="B197" s="546" t="s">
        <v>668</v>
      </c>
      <c r="C197" s="549" t="s">
        <v>485</v>
      </c>
      <c r="D197" s="577" t="s">
        <v>670</v>
      </c>
      <c r="E197" s="549" t="s">
        <v>1333</v>
      </c>
      <c r="F197" s="577" t="s">
        <v>1334</v>
      </c>
      <c r="G197" s="549" t="s">
        <v>1183</v>
      </c>
      <c r="H197" s="549" t="s">
        <v>1184</v>
      </c>
      <c r="I197" s="563">
        <v>1241.4599999999998</v>
      </c>
      <c r="J197" s="563">
        <v>3</v>
      </c>
      <c r="K197" s="564">
        <v>3724.3799999999997</v>
      </c>
    </row>
    <row r="198" spans="1:11" ht="14.4" customHeight="1" x14ac:dyDescent="0.3">
      <c r="A198" s="545" t="s">
        <v>472</v>
      </c>
      <c r="B198" s="546" t="s">
        <v>668</v>
      </c>
      <c r="C198" s="549" t="s">
        <v>485</v>
      </c>
      <c r="D198" s="577" t="s">
        <v>670</v>
      </c>
      <c r="E198" s="549" t="s">
        <v>1333</v>
      </c>
      <c r="F198" s="577" t="s">
        <v>1334</v>
      </c>
      <c r="G198" s="549" t="s">
        <v>1185</v>
      </c>
      <c r="H198" s="549" t="s">
        <v>1186</v>
      </c>
      <c r="I198" s="563">
        <v>4142.2333333333336</v>
      </c>
      <c r="J198" s="563">
        <v>5</v>
      </c>
      <c r="K198" s="564">
        <v>19493.099999999999</v>
      </c>
    </row>
    <row r="199" spans="1:11" ht="14.4" customHeight="1" x14ac:dyDescent="0.3">
      <c r="A199" s="545" t="s">
        <v>472</v>
      </c>
      <c r="B199" s="546" t="s">
        <v>668</v>
      </c>
      <c r="C199" s="549" t="s">
        <v>485</v>
      </c>
      <c r="D199" s="577" t="s">
        <v>670</v>
      </c>
      <c r="E199" s="549" t="s">
        <v>1333</v>
      </c>
      <c r="F199" s="577" t="s">
        <v>1334</v>
      </c>
      <c r="G199" s="549" t="s">
        <v>1187</v>
      </c>
      <c r="H199" s="549" t="s">
        <v>1188</v>
      </c>
      <c r="I199" s="563">
        <v>13133.34</v>
      </c>
      <c r="J199" s="563">
        <v>7</v>
      </c>
      <c r="K199" s="564">
        <v>91933.37999999999</v>
      </c>
    </row>
    <row r="200" spans="1:11" ht="14.4" customHeight="1" x14ac:dyDescent="0.3">
      <c r="A200" s="545" t="s">
        <v>472</v>
      </c>
      <c r="B200" s="546" t="s">
        <v>668</v>
      </c>
      <c r="C200" s="549" t="s">
        <v>485</v>
      </c>
      <c r="D200" s="577" t="s">
        <v>670</v>
      </c>
      <c r="E200" s="549" t="s">
        <v>1333</v>
      </c>
      <c r="F200" s="577" t="s">
        <v>1334</v>
      </c>
      <c r="G200" s="549" t="s">
        <v>1189</v>
      </c>
      <c r="H200" s="549" t="s">
        <v>1190</v>
      </c>
      <c r="I200" s="563">
        <v>7573.5949999999993</v>
      </c>
      <c r="J200" s="563">
        <v>2</v>
      </c>
      <c r="K200" s="564">
        <v>15147.189999999999</v>
      </c>
    </row>
    <row r="201" spans="1:11" ht="14.4" customHeight="1" x14ac:dyDescent="0.3">
      <c r="A201" s="545" t="s">
        <v>472</v>
      </c>
      <c r="B201" s="546" t="s">
        <v>668</v>
      </c>
      <c r="C201" s="549" t="s">
        <v>485</v>
      </c>
      <c r="D201" s="577" t="s">
        <v>670</v>
      </c>
      <c r="E201" s="549" t="s">
        <v>1333</v>
      </c>
      <c r="F201" s="577" t="s">
        <v>1334</v>
      </c>
      <c r="G201" s="549" t="s">
        <v>1191</v>
      </c>
      <c r="H201" s="549" t="s">
        <v>1192</v>
      </c>
      <c r="I201" s="563">
        <v>15151.33</v>
      </c>
      <c r="J201" s="563">
        <v>1</v>
      </c>
      <c r="K201" s="564">
        <v>15151.33</v>
      </c>
    </row>
    <row r="202" spans="1:11" ht="14.4" customHeight="1" x14ac:dyDescent="0.3">
      <c r="A202" s="545" t="s">
        <v>472</v>
      </c>
      <c r="B202" s="546" t="s">
        <v>668</v>
      </c>
      <c r="C202" s="549" t="s">
        <v>485</v>
      </c>
      <c r="D202" s="577" t="s">
        <v>670</v>
      </c>
      <c r="E202" s="549" t="s">
        <v>1333</v>
      </c>
      <c r="F202" s="577" t="s">
        <v>1334</v>
      </c>
      <c r="G202" s="549" t="s">
        <v>1193</v>
      </c>
      <c r="H202" s="549" t="s">
        <v>1194</v>
      </c>
      <c r="I202" s="563">
        <v>31062.28</v>
      </c>
      <c r="J202" s="563">
        <v>1</v>
      </c>
      <c r="K202" s="564">
        <v>31062.28</v>
      </c>
    </row>
    <row r="203" spans="1:11" ht="14.4" customHeight="1" x14ac:dyDescent="0.3">
      <c r="A203" s="545" t="s">
        <v>472</v>
      </c>
      <c r="B203" s="546" t="s">
        <v>668</v>
      </c>
      <c r="C203" s="549" t="s">
        <v>485</v>
      </c>
      <c r="D203" s="577" t="s">
        <v>670</v>
      </c>
      <c r="E203" s="549" t="s">
        <v>1333</v>
      </c>
      <c r="F203" s="577" t="s">
        <v>1334</v>
      </c>
      <c r="G203" s="549" t="s">
        <v>1195</v>
      </c>
      <c r="H203" s="549" t="s">
        <v>1196</v>
      </c>
      <c r="I203" s="563">
        <v>16975.59</v>
      </c>
      <c r="J203" s="563">
        <v>1</v>
      </c>
      <c r="K203" s="564">
        <v>16975.59</v>
      </c>
    </row>
    <row r="204" spans="1:11" ht="14.4" customHeight="1" x14ac:dyDescent="0.3">
      <c r="A204" s="545" t="s">
        <v>472</v>
      </c>
      <c r="B204" s="546" t="s">
        <v>668</v>
      </c>
      <c r="C204" s="549" t="s">
        <v>485</v>
      </c>
      <c r="D204" s="577" t="s">
        <v>670</v>
      </c>
      <c r="E204" s="549" t="s">
        <v>1333</v>
      </c>
      <c r="F204" s="577" t="s">
        <v>1334</v>
      </c>
      <c r="G204" s="549" t="s">
        <v>1197</v>
      </c>
      <c r="H204" s="549" t="s">
        <v>1198</v>
      </c>
      <c r="I204" s="563">
        <v>2950.7049999999999</v>
      </c>
      <c r="J204" s="563">
        <v>2</v>
      </c>
      <c r="K204" s="564">
        <v>5901.41</v>
      </c>
    </row>
    <row r="205" spans="1:11" ht="14.4" customHeight="1" x14ac:dyDescent="0.3">
      <c r="A205" s="545" t="s">
        <v>472</v>
      </c>
      <c r="B205" s="546" t="s">
        <v>668</v>
      </c>
      <c r="C205" s="549" t="s">
        <v>485</v>
      </c>
      <c r="D205" s="577" t="s">
        <v>670</v>
      </c>
      <c r="E205" s="549" t="s">
        <v>1333</v>
      </c>
      <c r="F205" s="577" t="s">
        <v>1334</v>
      </c>
      <c r="G205" s="549" t="s">
        <v>1199</v>
      </c>
      <c r="H205" s="549" t="s">
        <v>1200</v>
      </c>
      <c r="I205" s="563">
        <v>7069</v>
      </c>
      <c r="J205" s="563">
        <v>1</v>
      </c>
      <c r="K205" s="564">
        <v>7069</v>
      </c>
    </row>
    <row r="206" spans="1:11" ht="14.4" customHeight="1" x14ac:dyDescent="0.3">
      <c r="A206" s="545" t="s">
        <v>472</v>
      </c>
      <c r="B206" s="546" t="s">
        <v>668</v>
      </c>
      <c r="C206" s="549" t="s">
        <v>485</v>
      </c>
      <c r="D206" s="577" t="s">
        <v>670</v>
      </c>
      <c r="E206" s="549" t="s">
        <v>1333</v>
      </c>
      <c r="F206" s="577" t="s">
        <v>1334</v>
      </c>
      <c r="G206" s="549" t="s">
        <v>1201</v>
      </c>
      <c r="H206" s="549" t="s">
        <v>1202</v>
      </c>
      <c r="I206" s="563">
        <v>7427.8249999999998</v>
      </c>
      <c r="J206" s="563">
        <v>2</v>
      </c>
      <c r="K206" s="564">
        <v>14855.65</v>
      </c>
    </row>
    <row r="207" spans="1:11" ht="14.4" customHeight="1" x14ac:dyDescent="0.3">
      <c r="A207" s="545" t="s">
        <v>472</v>
      </c>
      <c r="B207" s="546" t="s">
        <v>668</v>
      </c>
      <c r="C207" s="549" t="s">
        <v>485</v>
      </c>
      <c r="D207" s="577" t="s">
        <v>670</v>
      </c>
      <c r="E207" s="549" t="s">
        <v>1333</v>
      </c>
      <c r="F207" s="577" t="s">
        <v>1334</v>
      </c>
      <c r="G207" s="549" t="s">
        <v>1203</v>
      </c>
      <c r="H207" s="549" t="s">
        <v>1204</v>
      </c>
      <c r="I207" s="563">
        <v>12939</v>
      </c>
      <c r="J207" s="563">
        <v>1</v>
      </c>
      <c r="K207" s="564">
        <v>12939</v>
      </c>
    </row>
    <row r="208" spans="1:11" ht="14.4" customHeight="1" x14ac:dyDescent="0.3">
      <c r="A208" s="545" t="s">
        <v>472</v>
      </c>
      <c r="B208" s="546" t="s">
        <v>668</v>
      </c>
      <c r="C208" s="549" t="s">
        <v>485</v>
      </c>
      <c r="D208" s="577" t="s">
        <v>670</v>
      </c>
      <c r="E208" s="549" t="s">
        <v>1333</v>
      </c>
      <c r="F208" s="577" t="s">
        <v>1334</v>
      </c>
      <c r="G208" s="549" t="s">
        <v>1205</v>
      </c>
      <c r="H208" s="549" t="s">
        <v>1206</v>
      </c>
      <c r="I208" s="563">
        <v>625.70000000000005</v>
      </c>
      <c r="J208" s="563">
        <v>2</v>
      </c>
      <c r="K208" s="564">
        <v>1251.4000000000001</v>
      </c>
    </row>
    <row r="209" spans="1:11" ht="14.4" customHeight="1" x14ac:dyDescent="0.3">
      <c r="A209" s="545" t="s">
        <v>472</v>
      </c>
      <c r="B209" s="546" t="s">
        <v>668</v>
      </c>
      <c r="C209" s="549" t="s">
        <v>485</v>
      </c>
      <c r="D209" s="577" t="s">
        <v>670</v>
      </c>
      <c r="E209" s="549" t="s">
        <v>1333</v>
      </c>
      <c r="F209" s="577" t="s">
        <v>1334</v>
      </c>
      <c r="G209" s="549" t="s">
        <v>1207</v>
      </c>
      <c r="H209" s="549" t="s">
        <v>1208</v>
      </c>
      <c r="I209" s="563">
        <v>7442</v>
      </c>
      <c r="J209" s="563">
        <v>1</v>
      </c>
      <c r="K209" s="564">
        <v>7442</v>
      </c>
    </row>
    <row r="210" spans="1:11" ht="14.4" customHeight="1" x14ac:dyDescent="0.3">
      <c r="A210" s="545" t="s">
        <v>472</v>
      </c>
      <c r="B210" s="546" t="s">
        <v>668</v>
      </c>
      <c r="C210" s="549" t="s">
        <v>485</v>
      </c>
      <c r="D210" s="577" t="s">
        <v>670</v>
      </c>
      <c r="E210" s="549" t="s">
        <v>1333</v>
      </c>
      <c r="F210" s="577" t="s">
        <v>1334</v>
      </c>
      <c r="G210" s="549" t="s">
        <v>1209</v>
      </c>
      <c r="H210" s="549" t="s">
        <v>1210</v>
      </c>
      <c r="I210" s="563">
        <v>9486.17</v>
      </c>
      <c r="J210" s="563">
        <v>4</v>
      </c>
      <c r="K210" s="564">
        <v>37945.01</v>
      </c>
    </row>
    <row r="211" spans="1:11" ht="14.4" customHeight="1" x14ac:dyDescent="0.3">
      <c r="A211" s="545" t="s">
        <v>472</v>
      </c>
      <c r="B211" s="546" t="s">
        <v>668</v>
      </c>
      <c r="C211" s="549" t="s">
        <v>485</v>
      </c>
      <c r="D211" s="577" t="s">
        <v>670</v>
      </c>
      <c r="E211" s="549" t="s">
        <v>1333</v>
      </c>
      <c r="F211" s="577" t="s">
        <v>1334</v>
      </c>
      <c r="G211" s="549" t="s">
        <v>1211</v>
      </c>
      <c r="H211" s="549" t="s">
        <v>1212</v>
      </c>
      <c r="I211" s="563">
        <v>9114</v>
      </c>
      <c r="J211" s="563">
        <v>1</v>
      </c>
      <c r="K211" s="564">
        <v>9114</v>
      </c>
    </row>
    <row r="212" spans="1:11" ht="14.4" customHeight="1" x14ac:dyDescent="0.3">
      <c r="A212" s="545" t="s">
        <v>472</v>
      </c>
      <c r="B212" s="546" t="s">
        <v>668</v>
      </c>
      <c r="C212" s="549" t="s">
        <v>485</v>
      </c>
      <c r="D212" s="577" t="s">
        <v>670</v>
      </c>
      <c r="E212" s="549" t="s">
        <v>1333</v>
      </c>
      <c r="F212" s="577" t="s">
        <v>1334</v>
      </c>
      <c r="G212" s="549" t="s">
        <v>1213</v>
      </c>
      <c r="H212" s="549" t="s">
        <v>1214</v>
      </c>
      <c r="I212" s="563">
        <v>6011.3</v>
      </c>
      <c r="J212" s="563">
        <v>1</v>
      </c>
      <c r="K212" s="564">
        <v>6011.3</v>
      </c>
    </row>
    <row r="213" spans="1:11" ht="14.4" customHeight="1" x14ac:dyDescent="0.3">
      <c r="A213" s="545" t="s">
        <v>472</v>
      </c>
      <c r="B213" s="546" t="s">
        <v>668</v>
      </c>
      <c r="C213" s="549" t="s">
        <v>485</v>
      </c>
      <c r="D213" s="577" t="s">
        <v>670</v>
      </c>
      <c r="E213" s="549" t="s">
        <v>1333</v>
      </c>
      <c r="F213" s="577" t="s">
        <v>1334</v>
      </c>
      <c r="G213" s="549" t="s">
        <v>1215</v>
      </c>
      <c r="H213" s="549" t="s">
        <v>1216</v>
      </c>
      <c r="I213" s="563">
        <v>21332.875</v>
      </c>
      <c r="J213" s="563">
        <v>7</v>
      </c>
      <c r="K213" s="564">
        <v>149965</v>
      </c>
    </row>
    <row r="214" spans="1:11" ht="14.4" customHeight="1" x14ac:dyDescent="0.3">
      <c r="A214" s="545" t="s">
        <v>472</v>
      </c>
      <c r="B214" s="546" t="s">
        <v>668</v>
      </c>
      <c r="C214" s="549" t="s">
        <v>485</v>
      </c>
      <c r="D214" s="577" t="s">
        <v>670</v>
      </c>
      <c r="E214" s="549" t="s">
        <v>1333</v>
      </c>
      <c r="F214" s="577" t="s">
        <v>1334</v>
      </c>
      <c r="G214" s="549" t="s">
        <v>1217</v>
      </c>
      <c r="H214" s="549" t="s">
        <v>1218</v>
      </c>
      <c r="I214" s="563">
        <v>15554</v>
      </c>
      <c r="J214" s="563">
        <v>3</v>
      </c>
      <c r="K214" s="564">
        <v>46662</v>
      </c>
    </row>
    <row r="215" spans="1:11" ht="14.4" customHeight="1" x14ac:dyDescent="0.3">
      <c r="A215" s="545" t="s">
        <v>472</v>
      </c>
      <c r="B215" s="546" t="s">
        <v>668</v>
      </c>
      <c r="C215" s="549" t="s">
        <v>485</v>
      </c>
      <c r="D215" s="577" t="s">
        <v>670</v>
      </c>
      <c r="E215" s="549" t="s">
        <v>1333</v>
      </c>
      <c r="F215" s="577" t="s">
        <v>1334</v>
      </c>
      <c r="G215" s="549" t="s">
        <v>1219</v>
      </c>
      <c r="H215" s="549" t="s">
        <v>1220</v>
      </c>
      <c r="I215" s="563">
        <v>13133.34</v>
      </c>
      <c r="J215" s="563">
        <v>3</v>
      </c>
      <c r="K215" s="564">
        <v>39400.020000000004</v>
      </c>
    </row>
    <row r="216" spans="1:11" ht="14.4" customHeight="1" x14ac:dyDescent="0.3">
      <c r="A216" s="545" t="s">
        <v>472</v>
      </c>
      <c r="B216" s="546" t="s">
        <v>668</v>
      </c>
      <c r="C216" s="549" t="s">
        <v>485</v>
      </c>
      <c r="D216" s="577" t="s">
        <v>670</v>
      </c>
      <c r="E216" s="549" t="s">
        <v>1333</v>
      </c>
      <c r="F216" s="577" t="s">
        <v>1334</v>
      </c>
      <c r="G216" s="549" t="s">
        <v>1221</v>
      </c>
      <c r="H216" s="549" t="s">
        <v>1222</v>
      </c>
      <c r="I216" s="563">
        <v>7402.78</v>
      </c>
      <c r="J216" s="563">
        <v>1</v>
      </c>
      <c r="K216" s="564">
        <v>7402.78</v>
      </c>
    </row>
    <row r="217" spans="1:11" ht="14.4" customHeight="1" x14ac:dyDescent="0.3">
      <c r="A217" s="545" t="s">
        <v>472</v>
      </c>
      <c r="B217" s="546" t="s">
        <v>668</v>
      </c>
      <c r="C217" s="549" t="s">
        <v>485</v>
      </c>
      <c r="D217" s="577" t="s">
        <v>670</v>
      </c>
      <c r="E217" s="549" t="s">
        <v>1333</v>
      </c>
      <c r="F217" s="577" t="s">
        <v>1334</v>
      </c>
      <c r="G217" s="549" t="s">
        <v>1223</v>
      </c>
      <c r="H217" s="549" t="s">
        <v>1224</v>
      </c>
      <c r="I217" s="563">
        <v>16044.62</v>
      </c>
      <c r="J217" s="563">
        <v>1</v>
      </c>
      <c r="K217" s="564">
        <v>16044.62</v>
      </c>
    </row>
    <row r="218" spans="1:11" ht="14.4" customHeight="1" x14ac:dyDescent="0.3">
      <c r="A218" s="545" t="s">
        <v>472</v>
      </c>
      <c r="B218" s="546" t="s">
        <v>668</v>
      </c>
      <c r="C218" s="549" t="s">
        <v>485</v>
      </c>
      <c r="D218" s="577" t="s">
        <v>670</v>
      </c>
      <c r="E218" s="549" t="s">
        <v>1333</v>
      </c>
      <c r="F218" s="577" t="s">
        <v>1334</v>
      </c>
      <c r="G218" s="549" t="s">
        <v>1225</v>
      </c>
      <c r="H218" s="549" t="s">
        <v>1226</v>
      </c>
      <c r="I218" s="563">
        <v>7589.46</v>
      </c>
      <c r="J218" s="563">
        <v>2</v>
      </c>
      <c r="K218" s="564">
        <v>15178.92</v>
      </c>
    </row>
    <row r="219" spans="1:11" ht="14.4" customHeight="1" x14ac:dyDescent="0.3">
      <c r="A219" s="545" t="s">
        <v>472</v>
      </c>
      <c r="B219" s="546" t="s">
        <v>668</v>
      </c>
      <c r="C219" s="549" t="s">
        <v>485</v>
      </c>
      <c r="D219" s="577" t="s">
        <v>670</v>
      </c>
      <c r="E219" s="549" t="s">
        <v>1333</v>
      </c>
      <c r="F219" s="577" t="s">
        <v>1334</v>
      </c>
      <c r="G219" s="549" t="s">
        <v>1227</v>
      </c>
      <c r="H219" s="549" t="s">
        <v>1228</v>
      </c>
      <c r="I219" s="563">
        <v>14580.5</v>
      </c>
      <c r="J219" s="563">
        <v>3</v>
      </c>
      <c r="K219" s="564">
        <v>42471</v>
      </c>
    </row>
    <row r="220" spans="1:11" ht="14.4" customHeight="1" x14ac:dyDescent="0.3">
      <c r="A220" s="545" t="s">
        <v>472</v>
      </c>
      <c r="B220" s="546" t="s">
        <v>668</v>
      </c>
      <c r="C220" s="549" t="s">
        <v>485</v>
      </c>
      <c r="D220" s="577" t="s">
        <v>670</v>
      </c>
      <c r="E220" s="549" t="s">
        <v>1333</v>
      </c>
      <c r="F220" s="577" t="s">
        <v>1334</v>
      </c>
      <c r="G220" s="549" t="s">
        <v>1229</v>
      </c>
      <c r="H220" s="549" t="s">
        <v>1230</v>
      </c>
      <c r="I220" s="563">
        <v>2031</v>
      </c>
      <c r="J220" s="563">
        <v>1</v>
      </c>
      <c r="K220" s="564">
        <v>2031</v>
      </c>
    </row>
    <row r="221" spans="1:11" ht="14.4" customHeight="1" x14ac:dyDescent="0.3">
      <c r="A221" s="545" t="s">
        <v>472</v>
      </c>
      <c r="B221" s="546" t="s">
        <v>668</v>
      </c>
      <c r="C221" s="549" t="s">
        <v>485</v>
      </c>
      <c r="D221" s="577" t="s">
        <v>670</v>
      </c>
      <c r="E221" s="549" t="s">
        <v>1333</v>
      </c>
      <c r="F221" s="577" t="s">
        <v>1334</v>
      </c>
      <c r="G221" s="549" t="s">
        <v>1231</v>
      </c>
      <c r="H221" s="549" t="s">
        <v>1232</v>
      </c>
      <c r="I221" s="563">
        <v>191024.1</v>
      </c>
      <c r="J221" s="563">
        <v>1</v>
      </c>
      <c r="K221" s="564">
        <v>191024.1</v>
      </c>
    </row>
    <row r="222" spans="1:11" ht="14.4" customHeight="1" x14ac:dyDescent="0.3">
      <c r="A222" s="545" t="s">
        <v>472</v>
      </c>
      <c r="B222" s="546" t="s">
        <v>668</v>
      </c>
      <c r="C222" s="549" t="s">
        <v>485</v>
      </c>
      <c r="D222" s="577" t="s">
        <v>670</v>
      </c>
      <c r="E222" s="549" t="s">
        <v>1333</v>
      </c>
      <c r="F222" s="577" t="s">
        <v>1334</v>
      </c>
      <c r="G222" s="549" t="s">
        <v>1233</v>
      </c>
      <c r="H222" s="549" t="s">
        <v>1234</v>
      </c>
      <c r="I222" s="563">
        <v>15195.470000000001</v>
      </c>
      <c r="J222" s="563">
        <v>4</v>
      </c>
      <c r="K222" s="564">
        <v>60809.460000000006</v>
      </c>
    </row>
    <row r="223" spans="1:11" ht="14.4" customHeight="1" x14ac:dyDescent="0.3">
      <c r="A223" s="545" t="s">
        <v>472</v>
      </c>
      <c r="B223" s="546" t="s">
        <v>668</v>
      </c>
      <c r="C223" s="549" t="s">
        <v>485</v>
      </c>
      <c r="D223" s="577" t="s">
        <v>670</v>
      </c>
      <c r="E223" s="549" t="s">
        <v>1333</v>
      </c>
      <c r="F223" s="577" t="s">
        <v>1334</v>
      </c>
      <c r="G223" s="549" t="s">
        <v>1235</v>
      </c>
      <c r="H223" s="549" t="s">
        <v>1236</v>
      </c>
      <c r="I223" s="563">
        <v>5747.66</v>
      </c>
      <c r="J223" s="563">
        <v>1</v>
      </c>
      <c r="K223" s="564">
        <v>5747.66</v>
      </c>
    </row>
    <row r="224" spans="1:11" ht="14.4" customHeight="1" x14ac:dyDescent="0.3">
      <c r="A224" s="545" t="s">
        <v>472</v>
      </c>
      <c r="B224" s="546" t="s">
        <v>668</v>
      </c>
      <c r="C224" s="549" t="s">
        <v>485</v>
      </c>
      <c r="D224" s="577" t="s">
        <v>670</v>
      </c>
      <c r="E224" s="549" t="s">
        <v>1333</v>
      </c>
      <c r="F224" s="577" t="s">
        <v>1334</v>
      </c>
      <c r="G224" s="549" t="s">
        <v>1237</v>
      </c>
      <c r="H224" s="549" t="s">
        <v>1238</v>
      </c>
      <c r="I224" s="563">
        <v>3722.35</v>
      </c>
      <c r="J224" s="563">
        <v>2</v>
      </c>
      <c r="K224" s="564">
        <v>7444.7</v>
      </c>
    </row>
    <row r="225" spans="1:11" ht="14.4" customHeight="1" x14ac:dyDescent="0.3">
      <c r="A225" s="545" t="s">
        <v>472</v>
      </c>
      <c r="B225" s="546" t="s">
        <v>668</v>
      </c>
      <c r="C225" s="549" t="s">
        <v>485</v>
      </c>
      <c r="D225" s="577" t="s">
        <v>670</v>
      </c>
      <c r="E225" s="549" t="s">
        <v>1333</v>
      </c>
      <c r="F225" s="577" t="s">
        <v>1334</v>
      </c>
      <c r="G225" s="549" t="s">
        <v>1239</v>
      </c>
      <c r="H225" s="549" t="s">
        <v>1240</v>
      </c>
      <c r="I225" s="563">
        <v>17908</v>
      </c>
      <c r="J225" s="563">
        <v>1</v>
      </c>
      <c r="K225" s="564">
        <v>17908</v>
      </c>
    </row>
    <row r="226" spans="1:11" ht="14.4" customHeight="1" x14ac:dyDescent="0.3">
      <c r="A226" s="545" t="s">
        <v>472</v>
      </c>
      <c r="B226" s="546" t="s">
        <v>668</v>
      </c>
      <c r="C226" s="549" t="s">
        <v>485</v>
      </c>
      <c r="D226" s="577" t="s">
        <v>670</v>
      </c>
      <c r="E226" s="549" t="s">
        <v>1333</v>
      </c>
      <c r="F226" s="577" t="s">
        <v>1334</v>
      </c>
      <c r="G226" s="549" t="s">
        <v>1241</v>
      </c>
      <c r="H226" s="549" t="s">
        <v>1242</v>
      </c>
      <c r="I226" s="563">
        <v>45512.153333333328</v>
      </c>
      <c r="J226" s="563">
        <v>4</v>
      </c>
      <c r="K226" s="564">
        <v>182782.72</v>
      </c>
    </row>
    <row r="227" spans="1:11" ht="14.4" customHeight="1" x14ac:dyDescent="0.3">
      <c r="A227" s="545" t="s">
        <v>472</v>
      </c>
      <c r="B227" s="546" t="s">
        <v>668</v>
      </c>
      <c r="C227" s="549" t="s">
        <v>485</v>
      </c>
      <c r="D227" s="577" t="s">
        <v>670</v>
      </c>
      <c r="E227" s="549" t="s">
        <v>1333</v>
      </c>
      <c r="F227" s="577" t="s">
        <v>1334</v>
      </c>
      <c r="G227" s="549" t="s">
        <v>1243</v>
      </c>
      <c r="H227" s="549" t="s">
        <v>1244</v>
      </c>
      <c r="I227" s="563">
        <v>195051.93333333335</v>
      </c>
      <c r="J227" s="563">
        <v>4</v>
      </c>
      <c r="K227" s="564">
        <v>783353.6</v>
      </c>
    </row>
    <row r="228" spans="1:11" ht="14.4" customHeight="1" x14ac:dyDescent="0.3">
      <c r="A228" s="545" t="s">
        <v>472</v>
      </c>
      <c r="B228" s="546" t="s">
        <v>668</v>
      </c>
      <c r="C228" s="549" t="s">
        <v>485</v>
      </c>
      <c r="D228" s="577" t="s">
        <v>670</v>
      </c>
      <c r="E228" s="549" t="s">
        <v>1333</v>
      </c>
      <c r="F228" s="577" t="s">
        <v>1334</v>
      </c>
      <c r="G228" s="549" t="s">
        <v>1245</v>
      </c>
      <c r="H228" s="549" t="s">
        <v>1246</v>
      </c>
      <c r="I228" s="563">
        <v>8470</v>
      </c>
      <c r="J228" s="563">
        <v>1</v>
      </c>
      <c r="K228" s="564">
        <v>8470</v>
      </c>
    </row>
    <row r="229" spans="1:11" ht="14.4" customHeight="1" x14ac:dyDescent="0.3">
      <c r="A229" s="545" t="s">
        <v>472</v>
      </c>
      <c r="B229" s="546" t="s">
        <v>668</v>
      </c>
      <c r="C229" s="549" t="s">
        <v>485</v>
      </c>
      <c r="D229" s="577" t="s">
        <v>670</v>
      </c>
      <c r="E229" s="549" t="s">
        <v>1333</v>
      </c>
      <c r="F229" s="577" t="s">
        <v>1334</v>
      </c>
      <c r="G229" s="549" t="s">
        <v>1247</v>
      </c>
      <c r="H229" s="549" t="s">
        <v>1248</v>
      </c>
      <c r="I229" s="563">
        <v>18379.893333333333</v>
      </c>
      <c r="J229" s="563">
        <v>3</v>
      </c>
      <c r="K229" s="564">
        <v>55139.68</v>
      </c>
    </row>
    <row r="230" spans="1:11" ht="14.4" customHeight="1" x14ac:dyDescent="0.3">
      <c r="A230" s="545" t="s">
        <v>472</v>
      </c>
      <c r="B230" s="546" t="s">
        <v>668</v>
      </c>
      <c r="C230" s="549" t="s">
        <v>485</v>
      </c>
      <c r="D230" s="577" t="s">
        <v>670</v>
      </c>
      <c r="E230" s="549" t="s">
        <v>1333</v>
      </c>
      <c r="F230" s="577" t="s">
        <v>1334</v>
      </c>
      <c r="G230" s="549" t="s">
        <v>1249</v>
      </c>
      <c r="H230" s="549" t="s">
        <v>1250</v>
      </c>
      <c r="I230" s="563">
        <v>12795.75</v>
      </c>
      <c r="J230" s="563">
        <v>2</v>
      </c>
      <c r="K230" s="564">
        <v>25591.5</v>
      </c>
    </row>
    <row r="231" spans="1:11" ht="14.4" customHeight="1" x14ac:dyDescent="0.3">
      <c r="A231" s="545" t="s">
        <v>472</v>
      </c>
      <c r="B231" s="546" t="s">
        <v>668</v>
      </c>
      <c r="C231" s="549" t="s">
        <v>485</v>
      </c>
      <c r="D231" s="577" t="s">
        <v>670</v>
      </c>
      <c r="E231" s="549" t="s">
        <v>1333</v>
      </c>
      <c r="F231" s="577" t="s">
        <v>1334</v>
      </c>
      <c r="G231" s="549" t="s">
        <v>1251</v>
      </c>
      <c r="H231" s="549" t="s">
        <v>1252</v>
      </c>
      <c r="I231" s="563">
        <v>16489.165000000001</v>
      </c>
      <c r="J231" s="563">
        <v>2</v>
      </c>
      <c r="K231" s="564">
        <v>32978.33</v>
      </c>
    </row>
    <row r="232" spans="1:11" ht="14.4" customHeight="1" x14ac:dyDescent="0.3">
      <c r="A232" s="545" t="s">
        <v>472</v>
      </c>
      <c r="B232" s="546" t="s">
        <v>668</v>
      </c>
      <c r="C232" s="549" t="s">
        <v>485</v>
      </c>
      <c r="D232" s="577" t="s">
        <v>670</v>
      </c>
      <c r="E232" s="549" t="s">
        <v>1333</v>
      </c>
      <c r="F232" s="577" t="s">
        <v>1334</v>
      </c>
      <c r="G232" s="549" t="s">
        <v>1253</v>
      </c>
      <c r="H232" s="549" t="s">
        <v>1254</v>
      </c>
      <c r="I232" s="563">
        <v>8893.5</v>
      </c>
      <c r="J232" s="563">
        <v>1</v>
      </c>
      <c r="K232" s="564">
        <v>8893.5</v>
      </c>
    </row>
    <row r="233" spans="1:11" ht="14.4" customHeight="1" x14ac:dyDescent="0.3">
      <c r="A233" s="545" t="s">
        <v>472</v>
      </c>
      <c r="B233" s="546" t="s">
        <v>668</v>
      </c>
      <c r="C233" s="549" t="s">
        <v>485</v>
      </c>
      <c r="D233" s="577" t="s">
        <v>670</v>
      </c>
      <c r="E233" s="549" t="s">
        <v>1333</v>
      </c>
      <c r="F233" s="577" t="s">
        <v>1334</v>
      </c>
      <c r="G233" s="549" t="s">
        <v>1255</v>
      </c>
      <c r="H233" s="549" t="s">
        <v>1256</v>
      </c>
      <c r="I233" s="563">
        <v>14590.33</v>
      </c>
      <c r="J233" s="563">
        <v>1</v>
      </c>
      <c r="K233" s="564">
        <v>14590.33</v>
      </c>
    </row>
    <row r="234" spans="1:11" ht="14.4" customHeight="1" x14ac:dyDescent="0.3">
      <c r="A234" s="545" t="s">
        <v>472</v>
      </c>
      <c r="B234" s="546" t="s">
        <v>668</v>
      </c>
      <c r="C234" s="549" t="s">
        <v>485</v>
      </c>
      <c r="D234" s="577" t="s">
        <v>670</v>
      </c>
      <c r="E234" s="549" t="s">
        <v>1333</v>
      </c>
      <c r="F234" s="577" t="s">
        <v>1334</v>
      </c>
      <c r="G234" s="549" t="s">
        <v>1257</v>
      </c>
      <c r="H234" s="549" t="s">
        <v>1258</v>
      </c>
      <c r="I234" s="563">
        <v>14590.33</v>
      </c>
      <c r="J234" s="563">
        <v>1</v>
      </c>
      <c r="K234" s="564">
        <v>14590.33</v>
      </c>
    </row>
    <row r="235" spans="1:11" ht="14.4" customHeight="1" x14ac:dyDescent="0.3">
      <c r="A235" s="545" t="s">
        <v>472</v>
      </c>
      <c r="B235" s="546" t="s">
        <v>668</v>
      </c>
      <c r="C235" s="549" t="s">
        <v>485</v>
      </c>
      <c r="D235" s="577" t="s">
        <v>670</v>
      </c>
      <c r="E235" s="549" t="s">
        <v>1333</v>
      </c>
      <c r="F235" s="577" t="s">
        <v>1334</v>
      </c>
      <c r="G235" s="549" t="s">
        <v>1259</v>
      </c>
      <c r="H235" s="549" t="s">
        <v>1260</v>
      </c>
      <c r="I235" s="563">
        <v>8893.5</v>
      </c>
      <c r="J235" s="563">
        <v>1</v>
      </c>
      <c r="K235" s="564">
        <v>8893.5</v>
      </c>
    </row>
    <row r="236" spans="1:11" ht="14.4" customHeight="1" x14ac:dyDescent="0.3">
      <c r="A236" s="545" t="s">
        <v>472</v>
      </c>
      <c r="B236" s="546" t="s">
        <v>668</v>
      </c>
      <c r="C236" s="549" t="s">
        <v>485</v>
      </c>
      <c r="D236" s="577" t="s">
        <v>670</v>
      </c>
      <c r="E236" s="549" t="s">
        <v>1333</v>
      </c>
      <c r="F236" s="577" t="s">
        <v>1334</v>
      </c>
      <c r="G236" s="549" t="s">
        <v>1261</v>
      </c>
      <c r="H236" s="549" t="s">
        <v>1262</v>
      </c>
      <c r="I236" s="563">
        <v>7614.28</v>
      </c>
      <c r="J236" s="563">
        <v>1</v>
      </c>
      <c r="K236" s="564">
        <v>7614.28</v>
      </c>
    </row>
    <row r="237" spans="1:11" ht="14.4" customHeight="1" x14ac:dyDescent="0.3">
      <c r="A237" s="545" t="s">
        <v>472</v>
      </c>
      <c r="B237" s="546" t="s">
        <v>668</v>
      </c>
      <c r="C237" s="549" t="s">
        <v>485</v>
      </c>
      <c r="D237" s="577" t="s">
        <v>670</v>
      </c>
      <c r="E237" s="549" t="s">
        <v>1333</v>
      </c>
      <c r="F237" s="577" t="s">
        <v>1334</v>
      </c>
      <c r="G237" s="549" t="s">
        <v>1263</v>
      </c>
      <c r="H237" s="549" t="s">
        <v>1264</v>
      </c>
      <c r="I237" s="563">
        <v>7614.29</v>
      </c>
      <c r="J237" s="563">
        <v>1</v>
      </c>
      <c r="K237" s="564">
        <v>7614.29</v>
      </c>
    </row>
    <row r="238" spans="1:11" ht="14.4" customHeight="1" x14ac:dyDescent="0.3">
      <c r="A238" s="545" t="s">
        <v>472</v>
      </c>
      <c r="B238" s="546" t="s">
        <v>668</v>
      </c>
      <c r="C238" s="549" t="s">
        <v>485</v>
      </c>
      <c r="D238" s="577" t="s">
        <v>670</v>
      </c>
      <c r="E238" s="549" t="s">
        <v>1333</v>
      </c>
      <c r="F238" s="577" t="s">
        <v>1334</v>
      </c>
      <c r="G238" s="549" t="s">
        <v>1265</v>
      </c>
      <c r="H238" s="549" t="s">
        <v>1266</v>
      </c>
      <c r="I238" s="563">
        <v>1837.5</v>
      </c>
      <c r="J238" s="563">
        <v>4</v>
      </c>
      <c r="K238" s="564">
        <v>7350</v>
      </c>
    </row>
    <row r="239" spans="1:11" ht="14.4" customHeight="1" x14ac:dyDescent="0.3">
      <c r="A239" s="545" t="s">
        <v>472</v>
      </c>
      <c r="B239" s="546" t="s">
        <v>668</v>
      </c>
      <c r="C239" s="549" t="s">
        <v>485</v>
      </c>
      <c r="D239" s="577" t="s">
        <v>670</v>
      </c>
      <c r="E239" s="549" t="s">
        <v>1333</v>
      </c>
      <c r="F239" s="577" t="s">
        <v>1334</v>
      </c>
      <c r="G239" s="549" t="s">
        <v>1267</v>
      </c>
      <c r="H239" s="549" t="s">
        <v>1268</v>
      </c>
      <c r="I239" s="563">
        <v>19663.536666666667</v>
      </c>
      <c r="J239" s="563">
        <v>5</v>
      </c>
      <c r="K239" s="564">
        <v>98386.22</v>
      </c>
    </row>
    <row r="240" spans="1:11" ht="14.4" customHeight="1" x14ac:dyDescent="0.3">
      <c r="A240" s="545" t="s">
        <v>472</v>
      </c>
      <c r="B240" s="546" t="s">
        <v>668</v>
      </c>
      <c r="C240" s="549" t="s">
        <v>485</v>
      </c>
      <c r="D240" s="577" t="s">
        <v>670</v>
      </c>
      <c r="E240" s="549" t="s">
        <v>1333</v>
      </c>
      <c r="F240" s="577" t="s">
        <v>1334</v>
      </c>
      <c r="G240" s="549" t="s">
        <v>1269</v>
      </c>
      <c r="H240" s="549" t="s">
        <v>1270</v>
      </c>
      <c r="I240" s="563">
        <v>21599</v>
      </c>
      <c r="J240" s="563">
        <v>1</v>
      </c>
      <c r="K240" s="564">
        <v>21599</v>
      </c>
    </row>
    <row r="241" spans="1:11" ht="14.4" customHeight="1" x14ac:dyDescent="0.3">
      <c r="A241" s="545" t="s">
        <v>472</v>
      </c>
      <c r="B241" s="546" t="s">
        <v>668</v>
      </c>
      <c r="C241" s="549" t="s">
        <v>485</v>
      </c>
      <c r="D241" s="577" t="s">
        <v>670</v>
      </c>
      <c r="E241" s="549" t="s">
        <v>1333</v>
      </c>
      <c r="F241" s="577" t="s">
        <v>1334</v>
      </c>
      <c r="G241" s="549" t="s">
        <v>1271</v>
      </c>
      <c r="H241" s="549" t="s">
        <v>1272</v>
      </c>
      <c r="I241" s="563">
        <v>3134</v>
      </c>
      <c r="J241" s="563">
        <v>1</v>
      </c>
      <c r="K241" s="564">
        <v>3134</v>
      </c>
    </row>
    <row r="242" spans="1:11" ht="14.4" customHeight="1" x14ac:dyDescent="0.3">
      <c r="A242" s="545" t="s">
        <v>472</v>
      </c>
      <c r="B242" s="546" t="s">
        <v>668</v>
      </c>
      <c r="C242" s="549" t="s">
        <v>485</v>
      </c>
      <c r="D242" s="577" t="s">
        <v>670</v>
      </c>
      <c r="E242" s="549" t="s">
        <v>1333</v>
      </c>
      <c r="F242" s="577" t="s">
        <v>1334</v>
      </c>
      <c r="G242" s="549" t="s">
        <v>1273</v>
      </c>
      <c r="H242" s="549" t="s">
        <v>1274</v>
      </c>
      <c r="I242" s="563">
        <v>49101.8</v>
      </c>
      <c r="J242" s="563">
        <v>1</v>
      </c>
      <c r="K242" s="564">
        <v>49101.8</v>
      </c>
    </row>
    <row r="243" spans="1:11" ht="14.4" customHeight="1" x14ac:dyDescent="0.3">
      <c r="A243" s="545" t="s">
        <v>472</v>
      </c>
      <c r="B243" s="546" t="s">
        <v>668</v>
      </c>
      <c r="C243" s="549" t="s">
        <v>485</v>
      </c>
      <c r="D243" s="577" t="s">
        <v>670</v>
      </c>
      <c r="E243" s="549" t="s">
        <v>1333</v>
      </c>
      <c r="F243" s="577" t="s">
        <v>1334</v>
      </c>
      <c r="G243" s="549" t="s">
        <v>1275</v>
      </c>
      <c r="H243" s="549" t="s">
        <v>1276</v>
      </c>
      <c r="I243" s="563">
        <v>4805.0200000000004</v>
      </c>
      <c r="J243" s="563">
        <v>1</v>
      </c>
      <c r="K243" s="564">
        <v>4805.0200000000004</v>
      </c>
    </row>
    <row r="244" spans="1:11" ht="14.4" customHeight="1" x14ac:dyDescent="0.3">
      <c r="A244" s="545" t="s">
        <v>472</v>
      </c>
      <c r="B244" s="546" t="s">
        <v>668</v>
      </c>
      <c r="C244" s="549" t="s">
        <v>485</v>
      </c>
      <c r="D244" s="577" t="s">
        <v>670</v>
      </c>
      <c r="E244" s="549" t="s">
        <v>1333</v>
      </c>
      <c r="F244" s="577" t="s">
        <v>1334</v>
      </c>
      <c r="G244" s="549" t="s">
        <v>1277</v>
      </c>
      <c r="H244" s="549" t="s">
        <v>1278</v>
      </c>
      <c r="I244" s="563">
        <v>1249.96</v>
      </c>
      <c r="J244" s="563">
        <v>1</v>
      </c>
      <c r="K244" s="564">
        <v>1249.96</v>
      </c>
    </row>
    <row r="245" spans="1:11" ht="14.4" customHeight="1" x14ac:dyDescent="0.3">
      <c r="A245" s="545" t="s">
        <v>472</v>
      </c>
      <c r="B245" s="546" t="s">
        <v>668</v>
      </c>
      <c r="C245" s="549" t="s">
        <v>485</v>
      </c>
      <c r="D245" s="577" t="s">
        <v>670</v>
      </c>
      <c r="E245" s="549" t="s">
        <v>1333</v>
      </c>
      <c r="F245" s="577" t="s">
        <v>1334</v>
      </c>
      <c r="G245" s="549" t="s">
        <v>1279</v>
      </c>
      <c r="H245" s="549" t="s">
        <v>1280</v>
      </c>
      <c r="I245" s="563">
        <v>4805.0200000000004</v>
      </c>
      <c r="J245" s="563">
        <v>1</v>
      </c>
      <c r="K245" s="564">
        <v>4805.0200000000004</v>
      </c>
    </row>
    <row r="246" spans="1:11" ht="14.4" customHeight="1" x14ac:dyDescent="0.3">
      <c r="A246" s="545" t="s">
        <v>472</v>
      </c>
      <c r="B246" s="546" t="s">
        <v>668</v>
      </c>
      <c r="C246" s="549" t="s">
        <v>485</v>
      </c>
      <c r="D246" s="577" t="s">
        <v>670</v>
      </c>
      <c r="E246" s="549" t="s">
        <v>1333</v>
      </c>
      <c r="F246" s="577" t="s">
        <v>1334</v>
      </c>
      <c r="G246" s="549" t="s">
        <v>1281</v>
      </c>
      <c r="H246" s="549" t="s">
        <v>1282</v>
      </c>
      <c r="I246" s="563">
        <v>13068</v>
      </c>
      <c r="J246" s="563">
        <v>1</v>
      </c>
      <c r="K246" s="564">
        <v>13068</v>
      </c>
    </row>
    <row r="247" spans="1:11" ht="14.4" customHeight="1" x14ac:dyDescent="0.3">
      <c r="A247" s="545" t="s">
        <v>472</v>
      </c>
      <c r="B247" s="546" t="s">
        <v>668</v>
      </c>
      <c r="C247" s="549" t="s">
        <v>485</v>
      </c>
      <c r="D247" s="577" t="s">
        <v>670</v>
      </c>
      <c r="E247" s="549" t="s">
        <v>1333</v>
      </c>
      <c r="F247" s="577" t="s">
        <v>1334</v>
      </c>
      <c r="G247" s="549" t="s">
        <v>1283</v>
      </c>
      <c r="H247" s="549" t="s">
        <v>1284</v>
      </c>
      <c r="I247" s="563">
        <v>30440.6</v>
      </c>
      <c r="J247" s="563">
        <v>1</v>
      </c>
      <c r="K247" s="564">
        <v>30440.6</v>
      </c>
    </row>
    <row r="248" spans="1:11" ht="14.4" customHeight="1" x14ac:dyDescent="0.3">
      <c r="A248" s="545" t="s">
        <v>472</v>
      </c>
      <c r="B248" s="546" t="s">
        <v>668</v>
      </c>
      <c r="C248" s="549" t="s">
        <v>485</v>
      </c>
      <c r="D248" s="577" t="s">
        <v>670</v>
      </c>
      <c r="E248" s="549" t="s">
        <v>1333</v>
      </c>
      <c r="F248" s="577" t="s">
        <v>1334</v>
      </c>
      <c r="G248" s="549" t="s">
        <v>1285</v>
      </c>
      <c r="H248" s="549" t="s">
        <v>1286</v>
      </c>
      <c r="I248" s="563">
        <v>11795.73</v>
      </c>
      <c r="J248" s="563">
        <v>1</v>
      </c>
      <c r="K248" s="564">
        <v>11795.73</v>
      </c>
    </row>
    <row r="249" spans="1:11" ht="14.4" customHeight="1" x14ac:dyDescent="0.3">
      <c r="A249" s="545" t="s">
        <v>472</v>
      </c>
      <c r="B249" s="546" t="s">
        <v>668</v>
      </c>
      <c r="C249" s="549" t="s">
        <v>485</v>
      </c>
      <c r="D249" s="577" t="s">
        <v>670</v>
      </c>
      <c r="E249" s="549" t="s">
        <v>1333</v>
      </c>
      <c r="F249" s="577" t="s">
        <v>1334</v>
      </c>
      <c r="G249" s="549" t="s">
        <v>1287</v>
      </c>
      <c r="H249" s="549" t="s">
        <v>1288</v>
      </c>
      <c r="I249" s="563">
        <v>7610.15</v>
      </c>
      <c r="J249" s="563">
        <v>1</v>
      </c>
      <c r="K249" s="564">
        <v>7610.15</v>
      </c>
    </row>
    <row r="250" spans="1:11" ht="14.4" customHeight="1" x14ac:dyDescent="0.3">
      <c r="A250" s="545" t="s">
        <v>472</v>
      </c>
      <c r="B250" s="546" t="s">
        <v>668</v>
      </c>
      <c r="C250" s="549" t="s">
        <v>485</v>
      </c>
      <c r="D250" s="577" t="s">
        <v>670</v>
      </c>
      <c r="E250" s="549" t="s">
        <v>1333</v>
      </c>
      <c r="F250" s="577" t="s">
        <v>1334</v>
      </c>
      <c r="G250" s="549" t="s">
        <v>1289</v>
      </c>
      <c r="H250" s="549" t="s">
        <v>1290</v>
      </c>
      <c r="I250" s="563">
        <v>15220.3</v>
      </c>
      <c r="J250" s="563">
        <v>1</v>
      </c>
      <c r="K250" s="564">
        <v>15220.3</v>
      </c>
    </row>
    <row r="251" spans="1:11" ht="14.4" customHeight="1" x14ac:dyDescent="0.3">
      <c r="A251" s="545" t="s">
        <v>472</v>
      </c>
      <c r="B251" s="546" t="s">
        <v>668</v>
      </c>
      <c r="C251" s="549" t="s">
        <v>485</v>
      </c>
      <c r="D251" s="577" t="s">
        <v>670</v>
      </c>
      <c r="E251" s="549" t="s">
        <v>1333</v>
      </c>
      <c r="F251" s="577" t="s">
        <v>1334</v>
      </c>
      <c r="G251" s="549" t="s">
        <v>1291</v>
      </c>
      <c r="H251" s="549" t="s">
        <v>1292</v>
      </c>
      <c r="I251" s="563">
        <v>15221.68</v>
      </c>
      <c r="J251" s="563">
        <v>3</v>
      </c>
      <c r="K251" s="564">
        <v>45666.42</v>
      </c>
    </row>
    <row r="252" spans="1:11" ht="14.4" customHeight="1" x14ac:dyDescent="0.3">
      <c r="A252" s="545" t="s">
        <v>472</v>
      </c>
      <c r="B252" s="546" t="s">
        <v>668</v>
      </c>
      <c r="C252" s="549" t="s">
        <v>485</v>
      </c>
      <c r="D252" s="577" t="s">
        <v>670</v>
      </c>
      <c r="E252" s="549" t="s">
        <v>1333</v>
      </c>
      <c r="F252" s="577" t="s">
        <v>1334</v>
      </c>
      <c r="G252" s="549" t="s">
        <v>1293</v>
      </c>
      <c r="H252" s="549" t="s">
        <v>1294</v>
      </c>
      <c r="I252" s="563">
        <v>44229.66</v>
      </c>
      <c r="J252" s="563">
        <v>2</v>
      </c>
      <c r="K252" s="564">
        <v>88459.32</v>
      </c>
    </row>
    <row r="253" spans="1:11" ht="14.4" customHeight="1" x14ac:dyDescent="0.3">
      <c r="A253" s="545" t="s">
        <v>472</v>
      </c>
      <c r="B253" s="546" t="s">
        <v>668</v>
      </c>
      <c r="C253" s="549" t="s">
        <v>485</v>
      </c>
      <c r="D253" s="577" t="s">
        <v>670</v>
      </c>
      <c r="E253" s="549" t="s">
        <v>1333</v>
      </c>
      <c r="F253" s="577" t="s">
        <v>1334</v>
      </c>
      <c r="G253" s="549" t="s">
        <v>1295</v>
      </c>
      <c r="H253" s="549" t="s">
        <v>1296</v>
      </c>
      <c r="I253" s="563">
        <v>11100</v>
      </c>
      <c r="J253" s="563">
        <v>1</v>
      </c>
      <c r="K253" s="564">
        <v>11100</v>
      </c>
    </row>
    <row r="254" spans="1:11" ht="14.4" customHeight="1" x14ac:dyDescent="0.3">
      <c r="A254" s="545" t="s">
        <v>472</v>
      </c>
      <c r="B254" s="546" t="s">
        <v>668</v>
      </c>
      <c r="C254" s="549" t="s">
        <v>485</v>
      </c>
      <c r="D254" s="577" t="s">
        <v>670</v>
      </c>
      <c r="E254" s="549" t="s">
        <v>1333</v>
      </c>
      <c r="F254" s="577" t="s">
        <v>1334</v>
      </c>
      <c r="G254" s="549" t="s">
        <v>1297</v>
      </c>
      <c r="H254" s="549" t="s">
        <v>1298</v>
      </c>
      <c r="I254" s="563">
        <v>1668.89</v>
      </c>
      <c r="J254" s="563">
        <v>1</v>
      </c>
      <c r="K254" s="564">
        <v>1668.89</v>
      </c>
    </row>
    <row r="255" spans="1:11" ht="14.4" customHeight="1" x14ac:dyDescent="0.3">
      <c r="A255" s="545" t="s">
        <v>472</v>
      </c>
      <c r="B255" s="546" t="s">
        <v>668</v>
      </c>
      <c r="C255" s="549" t="s">
        <v>485</v>
      </c>
      <c r="D255" s="577" t="s">
        <v>670</v>
      </c>
      <c r="E255" s="549" t="s">
        <v>1333</v>
      </c>
      <c r="F255" s="577" t="s">
        <v>1334</v>
      </c>
      <c r="G255" s="549" t="s">
        <v>1299</v>
      </c>
      <c r="H255" s="549" t="s">
        <v>1300</v>
      </c>
      <c r="I255" s="563">
        <v>30440.6</v>
      </c>
      <c r="J255" s="563">
        <v>1</v>
      </c>
      <c r="K255" s="564">
        <v>30440.6</v>
      </c>
    </row>
    <row r="256" spans="1:11" ht="14.4" customHeight="1" x14ac:dyDescent="0.3">
      <c r="A256" s="545" t="s">
        <v>472</v>
      </c>
      <c r="B256" s="546" t="s">
        <v>668</v>
      </c>
      <c r="C256" s="549" t="s">
        <v>485</v>
      </c>
      <c r="D256" s="577" t="s">
        <v>670</v>
      </c>
      <c r="E256" s="549" t="s">
        <v>1333</v>
      </c>
      <c r="F256" s="577" t="s">
        <v>1334</v>
      </c>
      <c r="G256" s="549" t="s">
        <v>1301</v>
      </c>
      <c r="H256" s="549" t="s">
        <v>1302</v>
      </c>
      <c r="I256" s="563">
        <v>15220.3</v>
      </c>
      <c r="J256" s="563">
        <v>1</v>
      </c>
      <c r="K256" s="564">
        <v>15220.3</v>
      </c>
    </row>
    <row r="257" spans="1:11" ht="14.4" customHeight="1" x14ac:dyDescent="0.3">
      <c r="A257" s="545" t="s">
        <v>472</v>
      </c>
      <c r="B257" s="546" t="s">
        <v>668</v>
      </c>
      <c r="C257" s="549" t="s">
        <v>485</v>
      </c>
      <c r="D257" s="577" t="s">
        <v>670</v>
      </c>
      <c r="E257" s="549" t="s">
        <v>1333</v>
      </c>
      <c r="F257" s="577" t="s">
        <v>1334</v>
      </c>
      <c r="G257" s="549" t="s">
        <v>1303</v>
      </c>
      <c r="H257" s="549" t="s">
        <v>1304</v>
      </c>
      <c r="I257" s="563">
        <v>30440.6</v>
      </c>
      <c r="J257" s="563">
        <v>1</v>
      </c>
      <c r="K257" s="564">
        <v>30440.6</v>
      </c>
    </row>
    <row r="258" spans="1:11" ht="14.4" customHeight="1" x14ac:dyDescent="0.3">
      <c r="A258" s="545" t="s">
        <v>472</v>
      </c>
      <c r="B258" s="546" t="s">
        <v>668</v>
      </c>
      <c r="C258" s="549" t="s">
        <v>485</v>
      </c>
      <c r="D258" s="577" t="s">
        <v>670</v>
      </c>
      <c r="E258" s="549" t="s">
        <v>1333</v>
      </c>
      <c r="F258" s="577" t="s">
        <v>1334</v>
      </c>
      <c r="G258" s="549" t="s">
        <v>1305</v>
      </c>
      <c r="H258" s="549" t="s">
        <v>1306</v>
      </c>
      <c r="I258" s="563">
        <v>63972.7</v>
      </c>
      <c r="J258" s="563">
        <v>1</v>
      </c>
      <c r="K258" s="564">
        <v>63972.7</v>
      </c>
    </row>
    <row r="259" spans="1:11" ht="14.4" customHeight="1" x14ac:dyDescent="0.3">
      <c r="A259" s="545" t="s">
        <v>472</v>
      </c>
      <c r="B259" s="546" t="s">
        <v>668</v>
      </c>
      <c r="C259" s="549" t="s">
        <v>485</v>
      </c>
      <c r="D259" s="577" t="s">
        <v>670</v>
      </c>
      <c r="E259" s="549" t="s">
        <v>1333</v>
      </c>
      <c r="F259" s="577" t="s">
        <v>1334</v>
      </c>
      <c r="G259" s="549" t="s">
        <v>1307</v>
      </c>
      <c r="H259" s="549" t="s">
        <v>1308</v>
      </c>
      <c r="I259" s="563">
        <v>87725</v>
      </c>
      <c r="J259" s="563">
        <v>1</v>
      </c>
      <c r="K259" s="564">
        <v>87725</v>
      </c>
    </row>
    <row r="260" spans="1:11" ht="14.4" customHeight="1" x14ac:dyDescent="0.3">
      <c r="A260" s="545" t="s">
        <v>472</v>
      </c>
      <c r="B260" s="546" t="s">
        <v>668</v>
      </c>
      <c r="C260" s="549" t="s">
        <v>485</v>
      </c>
      <c r="D260" s="577" t="s">
        <v>670</v>
      </c>
      <c r="E260" s="549" t="s">
        <v>1333</v>
      </c>
      <c r="F260" s="577" t="s">
        <v>1334</v>
      </c>
      <c r="G260" s="549" t="s">
        <v>1309</v>
      </c>
      <c r="H260" s="549" t="s">
        <v>1310</v>
      </c>
      <c r="I260" s="563">
        <v>7611.53</v>
      </c>
      <c r="J260" s="563">
        <v>1</v>
      </c>
      <c r="K260" s="564">
        <v>7611.53</v>
      </c>
    </row>
    <row r="261" spans="1:11" ht="14.4" customHeight="1" x14ac:dyDescent="0.3">
      <c r="A261" s="545" t="s">
        <v>472</v>
      </c>
      <c r="B261" s="546" t="s">
        <v>668</v>
      </c>
      <c r="C261" s="549" t="s">
        <v>485</v>
      </c>
      <c r="D261" s="577" t="s">
        <v>670</v>
      </c>
      <c r="E261" s="549" t="s">
        <v>1333</v>
      </c>
      <c r="F261" s="577" t="s">
        <v>1334</v>
      </c>
      <c r="G261" s="549" t="s">
        <v>1311</v>
      </c>
      <c r="H261" s="549" t="s">
        <v>1312</v>
      </c>
      <c r="I261" s="563">
        <v>5747.5</v>
      </c>
      <c r="J261" s="563">
        <v>1</v>
      </c>
      <c r="K261" s="564">
        <v>5747.5</v>
      </c>
    </row>
    <row r="262" spans="1:11" ht="14.4" customHeight="1" x14ac:dyDescent="0.3">
      <c r="A262" s="545" t="s">
        <v>472</v>
      </c>
      <c r="B262" s="546" t="s">
        <v>668</v>
      </c>
      <c r="C262" s="549" t="s">
        <v>485</v>
      </c>
      <c r="D262" s="577" t="s">
        <v>670</v>
      </c>
      <c r="E262" s="549" t="s">
        <v>1333</v>
      </c>
      <c r="F262" s="577" t="s">
        <v>1334</v>
      </c>
      <c r="G262" s="549" t="s">
        <v>1313</v>
      </c>
      <c r="H262" s="549" t="s">
        <v>1314</v>
      </c>
      <c r="I262" s="563">
        <v>5747.5</v>
      </c>
      <c r="J262" s="563">
        <v>1</v>
      </c>
      <c r="K262" s="564">
        <v>5747.5</v>
      </c>
    </row>
    <row r="263" spans="1:11" ht="14.4" customHeight="1" x14ac:dyDescent="0.3">
      <c r="A263" s="545" t="s">
        <v>472</v>
      </c>
      <c r="B263" s="546" t="s">
        <v>668</v>
      </c>
      <c r="C263" s="549" t="s">
        <v>485</v>
      </c>
      <c r="D263" s="577" t="s">
        <v>670</v>
      </c>
      <c r="E263" s="549" t="s">
        <v>1333</v>
      </c>
      <c r="F263" s="577" t="s">
        <v>1334</v>
      </c>
      <c r="G263" s="549" t="s">
        <v>1315</v>
      </c>
      <c r="H263" s="549" t="s">
        <v>1316</v>
      </c>
      <c r="I263" s="563">
        <v>5906.42</v>
      </c>
      <c r="J263" s="563">
        <v>1</v>
      </c>
      <c r="K263" s="564">
        <v>5906.42</v>
      </c>
    </row>
    <row r="264" spans="1:11" ht="14.4" customHeight="1" x14ac:dyDescent="0.3">
      <c r="A264" s="545" t="s">
        <v>472</v>
      </c>
      <c r="B264" s="546" t="s">
        <v>668</v>
      </c>
      <c r="C264" s="549" t="s">
        <v>485</v>
      </c>
      <c r="D264" s="577" t="s">
        <v>670</v>
      </c>
      <c r="E264" s="549" t="s">
        <v>1333</v>
      </c>
      <c r="F264" s="577" t="s">
        <v>1334</v>
      </c>
      <c r="G264" s="549" t="s">
        <v>1317</v>
      </c>
      <c r="H264" s="549" t="s">
        <v>1318</v>
      </c>
      <c r="I264" s="563">
        <v>84071</v>
      </c>
      <c r="J264" s="563">
        <v>1</v>
      </c>
      <c r="K264" s="564">
        <v>84071</v>
      </c>
    </row>
    <row r="265" spans="1:11" ht="14.4" customHeight="1" thickBot="1" x14ac:dyDescent="0.35">
      <c r="A265" s="553" t="s">
        <v>472</v>
      </c>
      <c r="B265" s="554" t="s">
        <v>668</v>
      </c>
      <c r="C265" s="557" t="s">
        <v>485</v>
      </c>
      <c r="D265" s="578" t="s">
        <v>670</v>
      </c>
      <c r="E265" s="557" t="s">
        <v>1333</v>
      </c>
      <c r="F265" s="578" t="s">
        <v>1334</v>
      </c>
      <c r="G265" s="557" t="s">
        <v>1319</v>
      </c>
      <c r="H265" s="557" t="s">
        <v>1320</v>
      </c>
      <c r="I265" s="565">
        <v>1024.7448275862066</v>
      </c>
      <c r="J265" s="565">
        <v>29</v>
      </c>
      <c r="K265" s="566">
        <v>29717.599999999995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4" width="13.109375" customWidth="1"/>
    <col min="5" max="5" width="13.109375" hidden="1" customWidth="1"/>
    <col min="6" max="7" width="13.109375" customWidth="1"/>
    <col min="8" max="8" width="13.109375" hidden="1" customWidth="1"/>
    <col min="9" max="9" width="13.109375" customWidth="1"/>
    <col min="10" max="20" width="13.109375" hidden="1" customWidth="1"/>
    <col min="21" max="21" width="13.109375" customWidth="1"/>
    <col min="22" max="28" width="13.109375" hidden="1" customWidth="1"/>
    <col min="29" max="29" width="13.109375" customWidth="1"/>
    <col min="30" max="32" width="13.109375" hidden="1" customWidth="1"/>
    <col min="33" max="33" width="13.109375" customWidth="1"/>
  </cols>
  <sheetData>
    <row r="1" spans="1:34" ht="18.600000000000001" thickBot="1" x14ac:dyDescent="0.4">
      <c r="A1" s="394" t="s">
        <v>107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  <c r="Z1" s="356"/>
      <c r="AA1" s="356"/>
      <c r="AB1" s="356"/>
      <c r="AC1" s="356"/>
      <c r="AD1" s="356"/>
      <c r="AE1" s="356"/>
      <c r="AF1" s="356"/>
      <c r="AG1" s="356"/>
    </row>
    <row r="2" spans="1:34" ht="15" thickBot="1" x14ac:dyDescent="0.35">
      <c r="A2" s="235" t="s">
        <v>281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</row>
    <row r="3" spans="1:34" x14ac:dyDescent="0.3">
      <c r="A3" s="254" t="s">
        <v>227</v>
      </c>
      <c r="B3" s="395" t="s">
        <v>208</v>
      </c>
      <c r="C3" s="237">
        <v>0</v>
      </c>
      <c r="D3" s="238">
        <v>101</v>
      </c>
      <c r="E3" s="238">
        <v>102</v>
      </c>
      <c r="F3" s="257">
        <v>305</v>
      </c>
      <c r="G3" s="257">
        <v>306</v>
      </c>
      <c r="H3" s="257">
        <v>408</v>
      </c>
      <c r="I3" s="257">
        <v>409</v>
      </c>
      <c r="J3" s="257">
        <v>410</v>
      </c>
      <c r="K3" s="257">
        <v>415</v>
      </c>
      <c r="L3" s="257">
        <v>416</v>
      </c>
      <c r="M3" s="257">
        <v>418</v>
      </c>
      <c r="N3" s="257">
        <v>419</v>
      </c>
      <c r="O3" s="257">
        <v>420</v>
      </c>
      <c r="P3" s="257">
        <v>421</v>
      </c>
      <c r="Q3" s="257">
        <v>522</v>
      </c>
      <c r="R3" s="257">
        <v>523</v>
      </c>
      <c r="S3" s="257">
        <v>524</v>
      </c>
      <c r="T3" s="257">
        <v>525</v>
      </c>
      <c r="U3" s="257">
        <v>526</v>
      </c>
      <c r="V3" s="257">
        <v>527</v>
      </c>
      <c r="W3" s="257">
        <v>528</v>
      </c>
      <c r="X3" s="257">
        <v>629</v>
      </c>
      <c r="Y3" s="257">
        <v>630</v>
      </c>
      <c r="Z3" s="257">
        <v>636</v>
      </c>
      <c r="AA3" s="257">
        <v>637</v>
      </c>
      <c r="AB3" s="257">
        <v>640</v>
      </c>
      <c r="AC3" s="257">
        <v>642</v>
      </c>
      <c r="AD3" s="257">
        <v>743</v>
      </c>
      <c r="AE3" s="238">
        <v>745</v>
      </c>
      <c r="AF3" s="238">
        <v>746</v>
      </c>
      <c r="AG3" s="588">
        <v>930</v>
      </c>
      <c r="AH3" s="604"/>
    </row>
    <row r="4" spans="1:34" ht="36.6" outlineLevel="1" thickBot="1" x14ac:dyDescent="0.35">
      <c r="A4" s="255">
        <v>2014</v>
      </c>
      <c r="B4" s="396"/>
      <c r="C4" s="239" t="s">
        <v>209</v>
      </c>
      <c r="D4" s="240" t="s">
        <v>210</v>
      </c>
      <c r="E4" s="240" t="s">
        <v>211</v>
      </c>
      <c r="F4" s="258" t="s">
        <v>239</v>
      </c>
      <c r="G4" s="258" t="s">
        <v>240</v>
      </c>
      <c r="H4" s="258" t="s">
        <v>241</v>
      </c>
      <c r="I4" s="258" t="s">
        <v>242</v>
      </c>
      <c r="J4" s="258" t="s">
        <v>243</v>
      </c>
      <c r="K4" s="258" t="s">
        <v>244</v>
      </c>
      <c r="L4" s="258" t="s">
        <v>245</v>
      </c>
      <c r="M4" s="258" t="s">
        <v>246</v>
      </c>
      <c r="N4" s="258" t="s">
        <v>247</v>
      </c>
      <c r="O4" s="258" t="s">
        <v>248</v>
      </c>
      <c r="P4" s="258" t="s">
        <v>249</v>
      </c>
      <c r="Q4" s="258" t="s">
        <v>250</v>
      </c>
      <c r="R4" s="258" t="s">
        <v>251</v>
      </c>
      <c r="S4" s="258" t="s">
        <v>252</v>
      </c>
      <c r="T4" s="258" t="s">
        <v>253</v>
      </c>
      <c r="U4" s="258" t="s">
        <v>254</v>
      </c>
      <c r="V4" s="258" t="s">
        <v>255</v>
      </c>
      <c r="W4" s="258" t="s">
        <v>264</v>
      </c>
      <c r="X4" s="258" t="s">
        <v>256</v>
      </c>
      <c r="Y4" s="258" t="s">
        <v>265</v>
      </c>
      <c r="Z4" s="258" t="s">
        <v>257</v>
      </c>
      <c r="AA4" s="258" t="s">
        <v>258</v>
      </c>
      <c r="AB4" s="258" t="s">
        <v>259</v>
      </c>
      <c r="AC4" s="258" t="s">
        <v>260</v>
      </c>
      <c r="AD4" s="258" t="s">
        <v>261</v>
      </c>
      <c r="AE4" s="240" t="s">
        <v>262</v>
      </c>
      <c r="AF4" s="240" t="s">
        <v>263</v>
      </c>
      <c r="AG4" s="589" t="s">
        <v>229</v>
      </c>
      <c r="AH4" s="604"/>
    </row>
    <row r="5" spans="1:34" x14ac:dyDescent="0.3">
      <c r="A5" s="241" t="s">
        <v>212</v>
      </c>
      <c r="B5" s="277"/>
      <c r="C5" s="278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79"/>
      <c r="AB5" s="279"/>
      <c r="AC5" s="279"/>
      <c r="AD5" s="279"/>
      <c r="AE5" s="279"/>
      <c r="AF5" s="279"/>
      <c r="AG5" s="590"/>
      <c r="AH5" s="604"/>
    </row>
    <row r="6" spans="1:34" ht="15" collapsed="1" thickBot="1" x14ac:dyDescent="0.35">
      <c r="A6" s="242" t="s">
        <v>73</v>
      </c>
      <c r="B6" s="280">
        <f xml:space="preserve">
TRUNC(IF($A$4&lt;=12,SUMIFS('ON Data'!F:F,'ON Data'!$D:$D,$A$4,'ON Data'!$E:$E,1),SUMIFS('ON Data'!F:F,'ON Data'!$E:$E,1)/'ON Data'!$D$3),1)</f>
        <v>26.4</v>
      </c>
      <c r="C6" s="281">
        <f xml:space="preserve">
TRUNC(IF($A$4&lt;=12,SUMIFS('ON Data'!G:G,'ON Data'!$D:$D,$A$4,'ON Data'!$E:$E,1),SUMIFS('ON Data'!G:G,'ON Data'!$E:$E,1)/'ON Data'!$D$3),1)</f>
        <v>0</v>
      </c>
      <c r="D6" s="282">
        <f xml:space="preserve">
TRUNC(IF($A$4&lt;=12,SUMIFS('ON Data'!H:H,'ON Data'!$D:$D,$A$4,'ON Data'!$E:$E,1),SUMIFS('ON Data'!H:H,'ON Data'!$E:$E,1)/'ON Data'!$D$3),1)</f>
        <v>5.0999999999999996</v>
      </c>
      <c r="E6" s="282">
        <f xml:space="preserve">
TRUNC(IF($A$4&lt;=12,SUMIFS('ON Data'!I:I,'ON Data'!$D:$D,$A$4,'ON Data'!$E:$E,1),SUMIFS('ON Data'!I:I,'ON Data'!$E:$E,1)/'ON Data'!$D$3),1)</f>
        <v>0</v>
      </c>
      <c r="F6" s="282">
        <f xml:space="preserve">
TRUNC(IF($A$4&lt;=12,SUMIFS('ON Data'!K:K,'ON Data'!$D:$D,$A$4,'ON Data'!$E:$E,1),SUMIFS('ON Data'!K:K,'ON Data'!$E:$E,1)/'ON Data'!$D$3),1)</f>
        <v>2.8</v>
      </c>
      <c r="G6" s="282">
        <f xml:space="preserve">
TRUNC(IF($A$4&lt;=12,SUMIFS('ON Data'!L:L,'ON Data'!$D:$D,$A$4,'ON Data'!$E:$E,1),SUMIFS('ON Data'!L:L,'ON Data'!$E:$E,1)/'ON Data'!$D$3),1)</f>
        <v>0.5</v>
      </c>
      <c r="H6" s="282">
        <f xml:space="preserve">
TRUNC(IF($A$4&lt;=12,SUMIFS('ON Data'!M:M,'ON Data'!$D:$D,$A$4,'ON Data'!$E:$E,1),SUMIFS('ON Data'!M:M,'ON Data'!$E:$E,1)/'ON Data'!$D$3),1)</f>
        <v>0</v>
      </c>
      <c r="I6" s="282">
        <f xml:space="preserve">
TRUNC(IF($A$4&lt;=12,SUMIFS('ON Data'!N:N,'ON Data'!$D:$D,$A$4,'ON Data'!$E:$E,1),SUMIFS('ON Data'!N:N,'ON Data'!$E:$E,1)/'ON Data'!$D$3),1)</f>
        <v>6.7</v>
      </c>
      <c r="J6" s="282">
        <f xml:space="preserve">
TRUNC(IF($A$4&lt;=12,SUMIFS('ON Data'!O:O,'ON Data'!$D:$D,$A$4,'ON Data'!$E:$E,1),SUMIFS('ON Data'!O:O,'ON Data'!$E:$E,1)/'ON Data'!$D$3),1)</f>
        <v>0</v>
      </c>
      <c r="K6" s="282">
        <f xml:space="preserve">
TRUNC(IF($A$4&lt;=12,SUMIFS('ON Data'!P:P,'ON Data'!$D:$D,$A$4,'ON Data'!$E:$E,1),SUMIFS('ON Data'!P:P,'ON Data'!$E:$E,1)/'ON Data'!$D$3),1)</f>
        <v>0</v>
      </c>
      <c r="L6" s="282">
        <f xml:space="preserve">
TRUNC(IF($A$4&lt;=12,SUMIFS('ON Data'!Q:Q,'ON Data'!$D:$D,$A$4,'ON Data'!$E:$E,1),SUMIFS('ON Data'!Q:Q,'ON Data'!$E:$E,1)/'ON Data'!$D$3),1)</f>
        <v>0</v>
      </c>
      <c r="M6" s="282">
        <f xml:space="preserve">
TRUNC(IF($A$4&lt;=12,SUMIFS('ON Data'!R:R,'ON Data'!$D:$D,$A$4,'ON Data'!$E:$E,1),SUMIFS('ON Data'!R:R,'ON Data'!$E:$E,1)/'ON Data'!$D$3),1)</f>
        <v>0</v>
      </c>
      <c r="N6" s="282">
        <f xml:space="preserve">
TRUNC(IF($A$4&lt;=12,SUMIFS('ON Data'!S:S,'ON Data'!$D:$D,$A$4,'ON Data'!$E:$E,1),SUMIFS('ON Data'!S:S,'ON Data'!$E:$E,1)/'ON Data'!$D$3),1)</f>
        <v>0</v>
      </c>
      <c r="O6" s="282">
        <f xml:space="preserve">
TRUNC(IF($A$4&lt;=12,SUMIFS('ON Data'!T:T,'ON Data'!$D:$D,$A$4,'ON Data'!$E:$E,1),SUMIFS('ON Data'!T:T,'ON Data'!$E:$E,1)/'ON Data'!$D$3),1)</f>
        <v>0</v>
      </c>
      <c r="P6" s="282">
        <f xml:space="preserve">
TRUNC(IF($A$4&lt;=12,SUMIFS('ON Data'!U:U,'ON Data'!$D:$D,$A$4,'ON Data'!$E:$E,1),SUMIFS('ON Data'!U:U,'ON Data'!$E:$E,1)/'ON Data'!$D$3),1)</f>
        <v>0</v>
      </c>
      <c r="Q6" s="282">
        <f xml:space="preserve">
TRUNC(IF($A$4&lt;=12,SUMIFS('ON Data'!V:V,'ON Data'!$D:$D,$A$4,'ON Data'!$E:$E,1),SUMIFS('ON Data'!V:V,'ON Data'!$E:$E,1)/'ON Data'!$D$3),1)</f>
        <v>0</v>
      </c>
      <c r="R6" s="282">
        <f xml:space="preserve">
TRUNC(IF($A$4&lt;=12,SUMIFS('ON Data'!W:W,'ON Data'!$D:$D,$A$4,'ON Data'!$E:$E,1),SUMIFS('ON Data'!W:W,'ON Data'!$E:$E,1)/'ON Data'!$D$3),1)</f>
        <v>0</v>
      </c>
      <c r="S6" s="282">
        <f xml:space="preserve">
TRUNC(IF($A$4&lt;=12,SUMIFS('ON Data'!X:X,'ON Data'!$D:$D,$A$4,'ON Data'!$E:$E,1),SUMIFS('ON Data'!X:X,'ON Data'!$E:$E,1)/'ON Data'!$D$3),1)</f>
        <v>0</v>
      </c>
      <c r="T6" s="282">
        <f xml:space="preserve">
TRUNC(IF($A$4&lt;=12,SUMIFS('ON Data'!Y:Y,'ON Data'!$D:$D,$A$4,'ON Data'!$E:$E,1),SUMIFS('ON Data'!Y:Y,'ON Data'!$E:$E,1)/'ON Data'!$D$3),1)</f>
        <v>0</v>
      </c>
      <c r="U6" s="282">
        <f xml:space="preserve">
TRUNC(IF($A$4&lt;=12,SUMIFS('ON Data'!Z:Z,'ON Data'!$D:$D,$A$4,'ON Data'!$E:$E,1),SUMIFS('ON Data'!Z:Z,'ON Data'!$E:$E,1)/'ON Data'!$D$3),1)</f>
        <v>8.3000000000000007</v>
      </c>
      <c r="V6" s="282">
        <f xml:space="preserve">
TRUNC(IF($A$4&lt;=12,SUMIFS('ON Data'!AA:AA,'ON Data'!$D:$D,$A$4,'ON Data'!$E:$E,1),SUMIFS('ON Data'!AA:AA,'ON Data'!$E:$E,1)/'ON Data'!$D$3),1)</f>
        <v>0</v>
      </c>
      <c r="W6" s="282">
        <f xml:space="preserve">
TRUNC(IF($A$4&lt;=12,SUMIFS('ON Data'!AB:AB,'ON Data'!$D:$D,$A$4,'ON Data'!$E:$E,1),SUMIFS('ON Data'!AB:AB,'ON Data'!$E:$E,1)/'ON Data'!$D$3),1)</f>
        <v>0</v>
      </c>
      <c r="X6" s="282">
        <f xml:space="preserve">
TRUNC(IF($A$4&lt;=12,SUMIFS('ON Data'!AC:AC,'ON Data'!$D:$D,$A$4,'ON Data'!$E:$E,1),SUMIFS('ON Data'!AC:AC,'ON Data'!$E:$E,1)/'ON Data'!$D$3),1)</f>
        <v>0</v>
      </c>
      <c r="Y6" s="282">
        <f xml:space="preserve">
TRUNC(IF($A$4&lt;=12,SUMIFS('ON Data'!AD:AD,'ON Data'!$D:$D,$A$4,'ON Data'!$E:$E,1),SUMIFS('ON Data'!AD:AD,'ON Data'!$E:$E,1)/'ON Data'!$D$3),1)</f>
        <v>0</v>
      </c>
      <c r="Z6" s="282">
        <f xml:space="preserve">
TRUNC(IF($A$4&lt;=12,SUMIFS('ON Data'!AE:AE,'ON Data'!$D:$D,$A$4,'ON Data'!$E:$E,1),SUMIFS('ON Data'!AE:AE,'ON Data'!$E:$E,1)/'ON Data'!$D$3),1)</f>
        <v>0</v>
      </c>
      <c r="AA6" s="282">
        <f xml:space="preserve">
TRUNC(IF($A$4&lt;=12,SUMIFS('ON Data'!AF:AF,'ON Data'!$D:$D,$A$4,'ON Data'!$E:$E,1),SUMIFS('ON Data'!AF:AF,'ON Data'!$E:$E,1)/'ON Data'!$D$3),1)</f>
        <v>0</v>
      </c>
      <c r="AB6" s="282">
        <f xml:space="preserve">
TRUNC(IF($A$4&lt;=12,SUMIFS('ON Data'!AG:AG,'ON Data'!$D:$D,$A$4,'ON Data'!$E:$E,1),SUMIFS('ON Data'!AG:AG,'ON Data'!$E:$E,1)/'ON Data'!$D$3),1)</f>
        <v>0</v>
      </c>
      <c r="AC6" s="282">
        <f xml:space="preserve">
TRUNC(IF($A$4&lt;=12,SUMIFS('ON Data'!AH:AH,'ON Data'!$D:$D,$A$4,'ON Data'!$E:$E,1),SUMIFS('ON Data'!AH:AH,'ON Data'!$E:$E,1)/'ON Data'!$D$3),1)</f>
        <v>1</v>
      </c>
      <c r="AD6" s="282">
        <f xml:space="preserve">
TRUNC(IF($A$4&lt;=12,SUMIFS('ON Data'!AI:AI,'ON Data'!$D:$D,$A$4,'ON Data'!$E:$E,1),SUMIFS('ON Data'!AI:AI,'ON Data'!$E:$E,1)/'ON Data'!$D$3),1)</f>
        <v>0</v>
      </c>
      <c r="AE6" s="282">
        <f xml:space="preserve">
TRUNC(IF($A$4&lt;=12,SUMIFS('ON Data'!AJ:AJ,'ON Data'!$D:$D,$A$4,'ON Data'!$E:$E,1),SUMIFS('ON Data'!AJ:AJ,'ON Data'!$E:$E,1)/'ON Data'!$D$3),1)</f>
        <v>0</v>
      </c>
      <c r="AF6" s="282">
        <f xml:space="preserve">
TRUNC(IF($A$4&lt;=12,SUMIFS('ON Data'!AK:AK,'ON Data'!$D:$D,$A$4,'ON Data'!$E:$E,1),SUMIFS('ON Data'!AK:AK,'ON Data'!$E:$E,1)/'ON Data'!$D$3),1)</f>
        <v>0</v>
      </c>
      <c r="AG6" s="591">
        <f xml:space="preserve">
TRUNC(IF($A$4&lt;=12,SUMIFS('ON Data'!AM:AM,'ON Data'!$D:$D,$A$4,'ON Data'!$E:$E,1),SUMIFS('ON Data'!AM:AM,'ON Data'!$E:$E,1)/'ON Data'!$D$3),1)</f>
        <v>1.8</v>
      </c>
      <c r="AH6" s="604"/>
    </row>
    <row r="7" spans="1:34" ht="15" hidden="1" outlineLevel="1" thickBot="1" x14ac:dyDescent="0.35">
      <c r="A7" s="242" t="s">
        <v>108</v>
      </c>
      <c r="B7" s="280"/>
      <c r="C7" s="283"/>
      <c r="D7" s="282"/>
      <c r="E7" s="282"/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82"/>
      <c r="R7" s="282"/>
      <c r="S7" s="282"/>
      <c r="T7" s="282"/>
      <c r="U7" s="282"/>
      <c r="V7" s="282"/>
      <c r="W7" s="282"/>
      <c r="X7" s="282"/>
      <c r="Y7" s="282"/>
      <c r="Z7" s="282"/>
      <c r="AA7" s="282"/>
      <c r="AB7" s="282"/>
      <c r="AC7" s="282"/>
      <c r="AD7" s="282"/>
      <c r="AE7" s="282"/>
      <c r="AF7" s="282"/>
      <c r="AG7" s="591"/>
      <c r="AH7" s="604"/>
    </row>
    <row r="8" spans="1:34" ht="15" hidden="1" outlineLevel="1" thickBot="1" x14ac:dyDescent="0.35">
      <c r="A8" s="242" t="s">
        <v>75</v>
      </c>
      <c r="B8" s="280"/>
      <c r="C8" s="283"/>
      <c r="D8" s="282"/>
      <c r="E8" s="282"/>
      <c r="F8" s="282"/>
      <c r="G8" s="282"/>
      <c r="H8" s="282"/>
      <c r="I8" s="282"/>
      <c r="J8" s="282"/>
      <c r="K8" s="282"/>
      <c r="L8" s="282"/>
      <c r="M8" s="282"/>
      <c r="N8" s="282"/>
      <c r="O8" s="282"/>
      <c r="P8" s="282"/>
      <c r="Q8" s="282"/>
      <c r="R8" s="282"/>
      <c r="S8" s="282"/>
      <c r="T8" s="282"/>
      <c r="U8" s="282"/>
      <c r="V8" s="282"/>
      <c r="W8" s="282"/>
      <c r="X8" s="282"/>
      <c r="Y8" s="282"/>
      <c r="Z8" s="282"/>
      <c r="AA8" s="282"/>
      <c r="AB8" s="282"/>
      <c r="AC8" s="282"/>
      <c r="AD8" s="282"/>
      <c r="AE8" s="282"/>
      <c r="AF8" s="282"/>
      <c r="AG8" s="591"/>
      <c r="AH8" s="604"/>
    </row>
    <row r="9" spans="1:34" ht="15" hidden="1" outlineLevel="1" thickBot="1" x14ac:dyDescent="0.35">
      <c r="A9" s="243" t="s">
        <v>68</v>
      </c>
      <c r="B9" s="284"/>
      <c r="C9" s="285"/>
      <c r="D9" s="286"/>
      <c r="E9" s="286"/>
      <c r="F9" s="286"/>
      <c r="G9" s="286"/>
      <c r="H9" s="286"/>
      <c r="I9" s="286"/>
      <c r="J9" s="286"/>
      <c r="K9" s="286"/>
      <c r="L9" s="286"/>
      <c r="M9" s="286"/>
      <c r="N9" s="286"/>
      <c r="O9" s="286"/>
      <c r="P9" s="286"/>
      <c r="Q9" s="286"/>
      <c r="R9" s="286"/>
      <c r="S9" s="286"/>
      <c r="T9" s="286"/>
      <c r="U9" s="286"/>
      <c r="V9" s="286"/>
      <c r="W9" s="286"/>
      <c r="X9" s="286"/>
      <c r="Y9" s="286"/>
      <c r="Z9" s="286"/>
      <c r="AA9" s="286"/>
      <c r="AB9" s="286"/>
      <c r="AC9" s="286"/>
      <c r="AD9" s="286"/>
      <c r="AE9" s="286"/>
      <c r="AF9" s="286"/>
      <c r="AG9" s="592"/>
      <c r="AH9" s="604"/>
    </row>
    <row r="10" spans="1:34" x14ac:dyDescent="0.3">
      <c r="A10" s="244" t="s">
        <v>213</v>
      </c>
      <c r="B10" s="259"/>
      <c r="C10" s="260"/>
      <c r="D10" s="261"/>
      <c r="E10" s="261"/>
      <c r="F10" s="261"/>
      <c r="G10" s="261"/>
      <c r="H10" s="261"/>
      <c r="I10" s="261"/>
      <c r="J10" s="261"/>
      <c r="K10" s="261"/>
      <c r="L10" s="261"/>
      <c r="M10" s="261"/>
      <c r="N10" s="261"/>
      <c r="O10" s="261"/>
      <c r="P10" s="261"/>
      <c r="Q10" s="261"/>
      <c r="R10" s="261"/>
      <c r="S10" s="261"/>
      <c r="T10" s="261"/>
      <c r="U10" s="261"/>
      <c r="V10" s="261"/>
      <c r="W10" s="261"/>
      <c r="X10" s="261"/>
      <c r="Y10" s="261"/>
      <c r="Z10" s="261"/>
      <c r="AA10" s="261"/>
      <c r="AB10" s="261"/>
      <c r="AC10" s="261"/>
      <c r="AD10" s="261"/>
      <c r="AE10" s="261"/>
      <c r="AF10" s="261"/>
      <c r="AG10" s="593"/>
      <c r="AH10" s="604"/>
    </row>
    <row r="11" spans="1:34" x14ac:dyDescent="0.3">
      <c r="A11" s="245" t="s">
        <v>214</v>
      </c>
      <c r="B11" s="262">
        <f xml:space="preserve">
IF($A$4&lt;=12,SUMIFS('ON Data'!F:F,'ON Data'!$D:$D,$A$4,'ON Data'!$E:$E,2),SUMIFS('ON Data'!F:F,'ON Data'!$E:$E,2))</f>
        <v>47149.600000000006</v>
      </c>
      <c r="C11" s="263">
        <f xml:space="preserve">
IF($A$4&lt;=12,SUMIFS('ON Data'!G:G,'ON Data'!$D:$D,$A$4,'ON Data'!$E:$E,2),SUMIFS('ON Data'!G:G,'ON Data'!$E:$E,2))</f>
        <v>0</v>
      </c>
      <c r="D11" s="264">
        <f xml:space="preserve">
IF($A$4&lt;=12,SUMIFS('ON Data'!H:H,'ON Data'!$D:$D,$A$4,'ON Data'!$E:$E,2),SUMIFS('ON Data'!H:H,'ON Data'!$E:$E,2))</f>
        <v>9446.4000000000015</v>
      </c>
      <c r="E11" s="264">
        <f xml:space="preserve">
IF($A$4&lt;=12,SUMIFS('ON Data'!I:I,'ON Data'!$D:$D,$A$4,'ON Data'!$E:$E,2),SUMIFS('ON Data'!I:I,'ON Data'!$E:$E,2))</f>
        <v>0</v>
      </c>
      <c r="F11" s="264">
        <f xml:space="preserve">
IF($A$4&lt;=12,SUMIFS('ON Data'!K:K,'ON Data'!$D:$D,$A$4,'ON Data'!$E:$E,2),SUMIFS('ON Data'!K:K,'ON Data'!$E:$E,2))</f>
        <v>4676</v>
      </c>
      <c r="G11" s="264">
        <f xml:space="preserve">
IF($A$4&lt;=12,SUMIFS('ON Data'!L:L,'ON Data'!$D:$D,$A$4,'ON Data'!$E:$E,2),SUMIFS('ON Data'!L:L,'ON Data'!$E:$E,2))</f>
        <v>896</v>
      </c>
      <c r="H11" s="264">
        <f xml:space="preserve">
IF($A$4&lt;=12,SUMIFS('ON Data'!M:M,'ON Data'!$D:$D,$A$4,'ON Data'!$E:$E,2),SUMIFS('ON Data'!M:M,'ON Data'!$E:$E,2))</f>
        <v>0</v>
      </c>
      <c r="I11" s="264">
        <f xml:space="preserve">
IF($A$4&lt;=12,SUMIFS('ON Data'!N:N,'ON Data'!$D:$D,$A$4,'ON Data'!$E:$E,2),SUMIFS('ON Data'!N:N,'ON Data'!$E:$E,2))</f>
        <v>12344</v>
      </c>
      <c r="J11" s="264">
        <f xml:space="preserve">
IF($A$4&lt;=12,SUMIFS('ON Data'!O:O,'ON Data'!$D:$D,$A$4,'ON Data'!$E:$E,2),SUMIFS('ON Data'!O:O,'ON Data'!$E:$E,2))</f>
        <v>0</v>
      </c>
      <c r="K11" s="264">
        <f xml:space="preserve">
IF($A$4&lt;=12,SUMIFS('ON Data'!P:P,'ON Data'!$D:$D,$A$4,'ON Data'!$E:$E,2),SUMIFS('ON Data'!P:P,'ON Data'!$E:$E,2))</f>
        <v>0</v>
      </c>
      <c r="L11" s="264">
        <f xml:space="preserve">
IF($A$4&lt;=12,SUMIFS('ON Data'!Q:Q,'ON Data'!$D:$D,$A$4,'ON Data'!$E:$E,2),SUMIFS('ON Data'!Q:Q,'ON Data'!$E:$E,2))</f>
        <v>0</v>
      </c>
      <c r="M11" s="264">
        <f xml:space="preserve">
IF($A$4&lt;=12,SUMIFS('ON Data'!R:R,'ON Data'!$D:$D,$A$4,'ON Data'!$E:$E,2),SUMIFS('ON Data'!R:R,'ON Data'!$E:$E,2))</f>
        <v>0</v>
      </c>
      <c r="N11" s="264">
        <f xml:space="preserve">
IF($A$4&lt;=12,SUMIFS('ON Data'!S:S,'ON Data'!$D:$D,$A$4,'ON Data'!$E:$E,2),SUMIFS('ON Data'!S:S,'ON Data'!$E:$E,2))</f>
        <v>0</v>
      </c>
      <c r="O11" s="264">
        <f xml:space="preserve">
IF($A$4&lt;=12,SUMIFS('ON Data'!T:T,'ON Data'!$D:$D,$A$4,'ON Data'!$E:$E,2),SUMIFS('ON Data'!T:T,'ON Data'!$E:$E,2))</f>
        <v>0</v>
      </c>
      <c r="P11" s="264">
        <f xml:space="preserve">
IF($A$4&lt;=12,SUMIFS('ON Data'!U:U,'ON Data'!$D:$D,$A$4,'ON Data'!$E:$E,2),SUMIFS('ON Data'!U:U,'ON Data'!$E:$E,2))</f>
        <v>0</v>
      </c>
      <c r="Q11" s="264">
        <f xml:space="preserve">
IF($A$4&lt;=12,SUMIFS('ON Data'!V:V,'ON Data'!$D:$D,$A$4,'ON Data'!$E:$E,2),SUMIFS('ON Data'!V:V,'ON Data'!$E:$E,2))</f>
        <v>0</v>
      </c>
      <c r="R11" s="264">
        <f xml:space="preserve">
IF($A$4&lt;=12,SUMIFS('ON Data'!W:W,'ON Data'!$D:$D,$A$4,'ON Data'!$E:$E,2),SUMIFS('ON Data'!W:W,'ON Data'!$E:$E,2))</f>
        <v>0</v>
      </c>
      <c r="S11" s="264">
        <f xml:space="preserve">
IF($A$4&lt;=12,SUMIFS('ON Data'!X:X,'ON Data'!$D:$D,$A$4,'ON Data'!$E:$E,2),SUMIFS('ON Data'!X:X,'ON Data'!$E:$E,2))</f>
        <v>0</v>
      </c>
      <c r="T11" s="264">
        <f xml:space="preserve">
IF($A$4&lt;=12,SUMIFS('ON Data'!Y:Y,'ON Data'!$D:$D,$A$4,'ON Data'!$E:$E,2),SUMIFS('ON Data'!Y:Y,'ON Data'!$E:$E,2))</f>
        <v>0</v>
      </c>
      <c r="U11" s="264">
        <f xml:space="preserve">
IF($A$4&lt;=12,SUMIFS('ON Data'!Z:Z,'ON Data'!$D:$D,$A$4,'ON Data'!$E:$E,2),SUMIFS('ON Data'!Z:Z,'ON Data'!$E:$E,2))</f>
        <v>14978.4</v>
      </c>
      <c r="V11" s="264">
        <f xml:space="preserve">
IF($A$4&lt;=12,SUMIFS('ON Data'!AA:AA,'ON Data'!$D:$D,$A$4,'ON Data'!$E:$E,2),SUMIFS('ON Data'!AA:AA,'ON Data'!$E:$E,2))</f>
        <v>0</v>
      </c>
      <c r="W11" s="264">
        <f xml:space="preserve">
IF($A$4&lt;=12,SUMIFS('ON Data'!AB:AB,'ON Data'!$D:$D,$A$4,'ON Data'!$E:$E,2),SUMIFS('ON Data'!AB:AB,'ON Data'!$E:$E,2))</f>
        <v>0</v>
      </c>
      <c r="X11" s="264">
        <f xml:space="preserve">
IF($A$4&lt;=12,SUMIFS('ON Data'!AC:AC,'ON Data'!$D:$D,$A$4,'ON Data'!$E:$E,2),SUMIFS('ON Data'!AC:AC,'ON Data'!$E:$E,2))</f>
        <v>0</v>
      </c>
      <c r="Y11" s="264">
        <f xml:space="preserve">
IF($A$4&lt;=12,SUMIFS('ON Data'!AD:AD,'ON Data'!$D:$D,$A$4,'ON Data'!$E:$E,2),SUMIFS('ON Data'!AD:AD,'ON Data'!$E:$E,2))</f>
        <v>0</v>
      </c>
      <c r="Z11" s="264">
        <f xml:space="preserve">
IF($A$4&lt;=12,SUMIFS('ON Data'!AE:AE,'ON Data'!$D:$D,$A$4,'ON Data'!$E:$E,2),SUMIFS('ON Data'!AE:AE,'ON Data'!$E:$E,2))</f>
        <v>0</v>
      </c>
      <c r="AA11" s="264">
        <f xml:space="preserve">
IF($A$4&lt;=12,SUMIFS('ON Data'!AF:AF,'ON Data'!$D:$D,$A$4,'ON Data'!$E:$E,2),SUMIFS('ON Data'!AF:AF,'ON Data'!$E:$E,2))</f>
        <v>0</v>
      </c>
      <c r="AB11" s="264">
        <f xml:space="preserve">
IF($A$4&lt;=12,SUMIFS('ON Data'!AG:AG,'ON Data'!$D:$D,$A$4,'ON Data'!$E:$E,2),SUMIFS('ON Data'!AG:AG,'ON Data'!$E:$E,2))</f>
        <v>0</v>
      </c>
      <c r="AC11" s="264">
        <f xml:space="preserve">
IF($A$4&lt;=12,SUMIFS('ON Data'!AH:AH,'ON Data'!$D:$D,$A$4,'ON Data'!$E:$E,2),SUMIFS('ON Data'!AH:AH,'ON Data'!$E:$E,2))</f>
        <v>1396</v>
      </c>
      <c r="AD11" s="264">
        <f xml:space="preserve">
IF($A$4&lt;=12,SUMIFS('ON Data'!AI:AI,'ON Data'!$D:$D,$A$4,'ON Data'!$E:$E,2),SUMIFS('ON Data'!AI:AI,'ON Data'!$E:$E,2))</f>
        <v>0</v>
      </c>
      <c r="AE11" s="264">
        <f xml:space="preserve">
IF($A$4&lt;=12,SUMIFS('ON Data'!AJ:AJ,'ON Data'!$D:$D,$A$4,'ON Data'!$E:$E,2),SUMIFS('ON Data'!AJ:AJ,'ON Data'!$E:$E,2))</f>
        <v>0</v>
      </c>
      <c r="AF11" s="264">
        <f xml:space="preserve">
IF($A$4&lt;=12,SUMIFS('ON Data'!AK:AK,'ON Data'!$D:$D,$A$4,'ON Data'!$E:$E,2),SUMIFS('ON Data'!AK:AK,'ON Data'!$E:$E,2))</f>
        <v>0</v>
      </c>
      <c r="AG11" s="594">
        <f xml:space="preserve">
IF($A$4&lt;=12,SUMIFS('ON Data'!AM:AM,'ON Data'!$D:$D,$A$4,'ON Data'!$E:$E,2),SUMIFS('ON Data'!AM:AM,'ON Data'!$E:$E,2))</f>
        <v>3412.7999999999997</v>
      </c>
      <c r="AH11" s="604"/>
    </row>
    <row r="12" spans="1:34" x14ac:dyDescent="0.3">
      <c r="A12" s="245" t="s">
        <v>215</v>
      </c>
      <c r="B12" s="262">
        <f xml:space="preserve">
IF($A$4&lt;=12,SUMIFS('ON Data'!F:F,'ON Data'!$D:$D,$A$4,'ON Data'!$E:$E,3),SUMIFS('ON Data'!F:F,'ON Data'!$E:$E,3))</f>
        <v>198</v>
      </c>
      <c r="C12" s="263">
        <f xml:space="preserve">
IF($A$4&lt;=12,SUMIFS('ON Data'!G:G,'ON Data'!$D:$D,$A$4,'ON Data'!$E:$E,3),SUMIFS('ON Data'!G:G,'ON Data'!$E:$E,3))</f>
        <v>0</v>
      </c>
      <c r="D12" s="264">
        <f xml:space="preserve">
IF($A$4&lt;=12,SUMIFS('ON Data'!H:H,'ON Data'!$D:$D,$A$4,'ON Data'!$E:$E,3),SUMIFS('ON Data'!H:H,'ON Data'!$E:$E,3))</f>
        <v>0</v>
      </c>
      <c r="E12" s="264">
        <f xml:space="preserve">
IF($A$4&lt;=12,SUMIFS('ON Data'!I:I,'ON Data'!$D:$D,$A$4,'ON Data'!$E:$E,3),SUMIFS('ON Data'!I:I,'ON Data'!$E:$E,3))</f>
        <v>0</v>
      </c>
      <c r="F12" s="264">
        <f xml:space="preserve">
IF($A$4&lt;=12,SUMIFS('ON Data'!K:K,'ON Data'!$D:$D,$A$4,'ON Data'!$E:$E,3),SUMIFS('ON Data'!K:K,'ON Data'!$E:$E,3))</f>
        <v>198</v>
      </c>
      <c r="G12" s="264">
        <f xml:space="preserve">
IF($A$4&lt;=12,SUMIFS('ON Data'!L:L,'ON Data'!$D:$D,$A$4,'ON Data'!$E:$E,3),SUMIFS('ON Data'!L:L,'ON Data'!$E:$E,3))</f>
        <v>0</v>
      </c>
      <c r="H12" s="264">
        <f xml:space="preserve">
IF($A$4&lt;=12,SUMIFS('ON Data'!M:M,'ON Data'!$D:$D,$A$4,'ON Data'!$E:$E,3),SUMIFS('ON Data'!M:M,'ON Data'!$E:$E,3))</f>
        <v>0</v>
      </c>
      <c r="I12" s="264">
        <f xml:space="preserve">
IF($A$4&lt;=12,SUMIFS('ON Data'!N:N,'ON Data'!$D:$D,$A$4,'ON Data'!$E:$E,3),SUMIFS('ON Data'!N:N,'ON Data'!$E:$E,3))</f>
        <v>0</v>
      </c>
      <c r="J12" s="264">
        <f xml:space="preserve">
IF($A$4&lt;=12,SUMIFS('ON Data'!O:O,'ON Data'!$D:$D,$A$4,'ON Data'!$E:$E,3),SUMIFS('ON Data'!O:O,'ON Data'!$E:$E,3))</f>
        <v>0</v>
      </c>
      <c r="K12" s="264">
        <f xml:space="preserve">
IF($A$4&lt;=12,SUMIFS('ON Data'!P:P,'ON Data'!$D:$D,$A$4,'ON Data'!$E:$E,3),SUMIFS('ON Data'!P:P,'ON Data'!$E:$E,3))</f>
        <v>0</v>
      </c>
      <c r="L12" s="264">
        <f xml:space="preserve">
IF($A$4&lt;=12,SUMIFS('ON Data'!Q:Q,'ON Data'!$D:$D,$A$4,'ON Data'!$E:$E,3),SUMIFS('ON Data'!Q:Q,'ON Data'!$E:$E,3))</f>
        <v>0</v>
      </c>
      <c r="M12" s="264">
        <f xml:space="preserve">
IF($A$4&lt;=12,SUMIFS('ON Data'!R:R,'ON Data'!$D:$D,$A$4,'ON Data'!$E:$E,3),SUMIFS('ON Data'!R:R,'ON Data'!$E:$E,3))</f>
        <v>0</v>
      </c>
      <c r="N12" s="264">
        <f xml:space="preserve">
IF($A$4&lt;=12,SUMIFS('ON Data'!S:S,'ON Data'!$D:$D,$A$4,'ON Data'!$E:$E,3),SUMIFS('ON Data'!S:S,'ON Data'!$E:$E,3))</f>
        <v>0</v>
      </c>
      <c r="O12" s="264">
        <f xml:space="preserve">
IF($A$4&lt;=12,SUMIFS('ON Data'!T:T,'ON Data'!$D:$D,$A$4,'ON Data'!$E:$E,3),SUMIFS('ON Data'!T:T,'ON Data'!$E:$E,3))</f>
        <v>0</v>
      </c>
      <c r="P12" s="264">
        <f xml:space="preserve">
IF($A$4&lt;=12,SUMIFS('ON Data'!U:U,'ON Data'!$D:$D,$A$4,'ON Data'!$E:$E,3),SUMIFS('ON Data'!U:U,'ON Data'!$E:$E,3))</f>
        <v>0</v>
      </c>
      <c r="Q12" s="264">
        <f xml:space="preserve">
IF($A$4&lt;=12,SUMIFS('ON Data'!V:V,'ON Data'!$D:$D,$A$4,'ON Data'!$E:$E,3),SUMIFS('ON Data'!V:V,'ON Data'!$E:$E,3))</f>
        <v>0</v>
      </c>
      <c r="R12" s="264">
        <f xml:space="preserve">
IF($A$4&lt;=12,SUMIFS('ON Data'!W:W,'ON Data'!$D:$D,$A$4,'ON Data'!$E:$E,3),SUMIFS('ON Data'!W:W,'ON Data'!$E:$E,3))</f>
        <v>0</v>
      </c>
      <c r="S12" s="264">
        <f xml:space="preserve">
IF($A$4&lt;=12,SUMIFS('ON Data'!X:X,'ON Data'!$D:$D,$A$4,'ON Data'!$E:$E,3),SUMIFS('ON Data'!X:X,'ON Data'!$E:$E,3))</f>
        <v>0</v>
      </c>
      <c r="T12" s="264">
        <f xml:space="preserve">
IF($A$4&lt;=12,SUMIFS('ON Data'!Y:Y,'ON Data'!$D:$D,$A$4,'ON Data'!$E:$E,3),SUMIFS('ON Data'!Y:Y,'ON Data'!$E:$E,3))</f>
        <v>0</v>
      </c>
      <c r="U12" s="264">
        <f xml:space="preserve">
IF($A$4&lt;=12,SUMIFS('ON Data'!Z:Z,'ON Data'!$D:$D,$A$4,'ON Data'!$E:$E,3),SUMIFS('ON Data'!Z:Z,'ON Data'!$E:$E,3))</f>
        <v>0</v>
      </c>
      <c r="V12" s="264">
        <f xml:space="preserve">
IF($A$4&lt;=12,SUMIFS('ON Data'!AA:AA,'ON Data'!$D:$D,$A$4,'ON Data'!$E:$E,3),SUMIFS('ON Data'!AA:AA,'ON Data'!$E:$E,3))</f>
        <v>0</v>
      </c>
      <c r="W12" s="264">
        <f xml:space="preserve">
IF($A$4&lt;=12,SUMIFS('ON Data'!AB:AB,'ON Data'!$D:$D,$A$4,'ON Data'!$E:$E,3),SUMIFS('ON Data'!AB:AB,'ON Data'!$E:$E,3))</f>
        <v>0</v>
      </c>
      <c r="X12" s="264">
        <f xml:space="preserve">
IF($A$4&lt;=12,SUMIFS('ON Data'!AC:AC,'ON Data'!$D:$D,$A$4,'ON Data'!$E:$E,3),SUMIFS('ON Data'!AC:AC,'ON Data'!$E:$E,3))</f>
        <v>0</v>
      </c>
      <c r="Y12" s="264">
        <f xml:space="preserve">
IF($A$4&lt;=12,SUMIFS('ON Data'!AD:AD,'ON Data'!$D:$D,$A$4,'ON Data'!$E:$E,3),SUMIFS('ON Data'!AD:AD,'ON Data'!$E:$E,3))</f>
        <v>0</v>
      </c>
      <c r="Z12" s="264">
        <f xml:space="preserve">
IF($A$4&lt;=12,SUMIFS('ON Data'!AE:AE,'ON Data'!$D:$D,$A$4,'ON Data'!$E:$E,3),SUMIFS('ON Data'!AE:AE,'ON Data'!$E:$E,3))</f>
        <v>0</v>
      </c>
      <c r="AA12" s="264">
        <f xml:space="preserve">
IF($A$4&lt;=12,SUMIFS('ON Data'!AF:AF,'ON Data'!$D:$D,$A$4,'ON Data'!$E:$E,3),SUMIFS('ON Data'!AF:AF,'ON Data'!$E:$E,3))</f>
        <v>0</v>
      </c>
      <c r="AB12" s="264">
        <f xml:space="preserve">
IF($A$4&lt;=12,SUMIFS('ON Data'!AG:AG,'ON Data'!$D:$D,$A$4,'ON Data'!$E:$E,3),SUMIFS('ON Data'!AG:AG,'ON Data'!$E:$E,3))</f>
        <v>0</v>
      </c>
      <c r="AC12" s="264">
        <f xml:space="preserve">
IF($A$4&lt;=12,SUMIFS('ON Data'!AH:AH,'ON Data'!$D:$D,$A$4,'ON Data'!$E:$E,3),SUMIFS('ON Data'!AH:AH,'ON Data'!$E:$E,3))</f>
        <v>0</v>
      </c>
      <c r="AD12" s="264">
        <f xml:space="preserve">
IF($A$4&lt;=12,SUMIFS('ON Data'!AI:AI,'ON Data'!$D:$D,$A$4,'ON Data'!$E:$E,3),SUMIFS('ON Data'!AI:AI,'ON Data'!$E:$E,3))</f>
        <v>0</v>
      </c>
      <c r="AE12" s="264">
        <f xml:space="preserve">
IF($A$4&lt;=12,SUMIFS('ON Data'!AJ:AJ,'ON Data'!$D:$D,$A$4,'ON Data'!$E:$E,3),SUMIFS('ON Data'!AJ:AJ,'ON Data'!$E:$E,3))</f>
        <v>0</v>
      </c>
      <c r="AF12" s="264">
        <f xml:space="preserve">
IF($A$4&lt;=12,SUMIFS('ON Data'!AK:AK,'ON Data'!$D:$D,$A$4,'ON Data'!$E:$E,3),SUMIFS('ON Data'!AK:AK,'ON Data'!$E:$E,3))</f>
        <v>0</v>
      </c>
      <c r="AG12" s="594">
        <f xml:space="preserve">
IF($A$4&lt;=12,SUMIFS('ON Data'!AM:AM,'ON Data'!$D:$D,$A$4,'ON Data'!$E:$E,3),SUMIFS('ON Data'!AM:AM,'ON Data'!$E:$E,3))</f>
        <v>0</v>
      </c>
      <c r="AH12" s="604"/>
    </row>
    <row r="13" spans="1:34" x14ac:dyDescent="0.3">
      <c r="A13" s="245" t="s">
        <v>222</v>
      </c>
      <c r="B13" s="262">
        <f xml:space="preserve">
IF($A$4&lt;=12,SUMIFS('ON Data'!F:F,'ON Data'!$D:$D,$A$4,'ON Data'!$E:$E,4),SUMIFS('ON Data'!F:F,'ON Data'!$E:$E,4))</f>
        <v>0</v>
      </c>
      <c r="C13" s="263">
        <f xml:space="preserve">
IF($A$4&lt;=12,SUMIFS('ON Data'!G:G,'ON Data'!$D:$D,$A$4,'ON Data'!$E:$E,4),SUMIFS('ON Data'!G:G,'ON Data'!$E:$E,4))</f>
        <v>0</v>
      </c>
      <c r="D13" s="264">
        <f xml:space="preserve">
IF($A$4&lt;=12,SUMIFS('ON Data'!H:H,'ON Data'!$D:$D,$A$4,'ON Data'!$E:$E,4),SUMIFS('ON Data'!H:H,'ON Data'!$E:$E,4))</f>
        <v>0</v>
      </c>
      <c r="E13" s="264">
        <f xml:space="preserve">
IF($A$4&lt;=12,SUMIFS('ON Data'!I:I,'ON Data'!$D:$D,$A$4,'ON Data'!$E:$E,4),SUMIFS('ON Data'!I:I,'ON Data'!$E:$E,4))</f>
        <v>0</v>
      </c>
      <c r="F13" s="264">
        <f xml:space="preserve">
IF($A$4&lt;=12,SUMIFS('ON Data'!K:K,'ON Data'!$D:$D,$A$4,'ON Data'!$E:$E,4),SUMIFS('ON Data'!K:K,'ON Data'!$E:$E,4))</f>
        <v>0</v>
      </c>
      <c r="G13" s="264">
        <f xml:space="preserve">
IF($A$4&lt;=12,SUMIFS('ON Data'!L:L,'ON Data'!$D:$D,$A$4,'ON Data'!$E:$E,4),SUMIFS('ON Data'!L:L,'ON Data'!$E:$E,4))</f>
        <v>0</v>
      </c>
      <c r="H13" s="264">
        <f xml:space="preserve">
IF($A$4&lt;=12,SUMIFS('ON Data'!M:M,'ON Data'!$D:$D,$A$4,'ON Data'!$E:$E,4),SUMIFS('ON Data'!M:M,'ON Data'!$E:$E,4))</f>
        <v>0</v>
      </c>
      <c r="I13" s="264">
        <f xml:space="preserve">
IF($A$4&lt;=12,SUMIFS('ON Data'!N:N,'ON Data'!$D:$D,$A$4,'ON Data'!$E:$E,4),SUMIFS('ON Data'!N:N,'ON Data'!$E:$E,4))</f>
        <v>0</v>
      </c>
      <c r="J13" s="264">
        <f xml:space="preserve">
IF($A$4&lt;=12,SUMIFS('ON Data'!O:O,'ON Data'!$D:$D,$A$4,'ON Data'!$E:$E,4),SUMIFS('ON Data'!O:O,'ON Data'!$E:$E,4))</f>
        <v>0</v>
      </c>
      <c r="K13" s="264">
        <f xml:space="preserve">
IF($A$4&lt;=12,SUMIFS('ON Data'!P:P,'ON Data'!$D:$D,$A$4,'ON Data'!$E:$E,4),SUMIFS('ON Data'!P:P,'ON Data'!$E:$E,4))</f>
        <v>0</v>
      </c>
      <c r="L13" s="264">
        <f xml:space="preserve">
IF($A$4&lt;=12,SUMIFS('ON Data'!Q:Q,'ON Data'!$D:$D,$A$4,'ON Data'!$E:$E,4),SUMIFS('ON Data'!Q:Q,'ON Data'!$E:$E,4))</f>
        <v>0</v>
      </c>
      <c r="M13" s="264">
        <f xml:space="preserve">
IF($A$4&lt;=12,SUMIFS('ON Data'!R:R,'ON Data'!$D:$D,$A$4,'ON Data'!$E:$E,4),SUMIFS('ON Data'!R:R,'ON Data'!$E:$E,4))</f>
        <v>0</v>
      </c>
      <c r="N13" s="264">
        <f xml:space="preserve">
IF($A$4&lt;=12,SUMIFS('ON Data'!S:S,'ON Data'!$D:$D,$A$4,'ON Data'!$E:$E,4),SUMIFS('ON Data'!S:S,'ON Data'!$E:$E,4))</f>
        <v>0</v>
      </c>
      <c r="O13" s="264">
        <f xml:space="preserve">
IF($A$4&lt;=12,SUMIFS('ON Data'!T:T,'ON Data'!$D:$D,$A$4,'ON Data'!$E:$E,4),SUMIFS('ON Data'!T:T,'ON Data'!$E:$E,4))</f>
        <v>0</v>
      </c>
      <c r="P13" s="264">
        <f xml:space="preserve">
IF($A$4&lt;=12,SUMIFS('ON Data'!U:U,'ON Data'!$D:$D,$A$4,'ON Data'!$E:$E,4),SUMIFS('ON Data'!U:U,'ON Data'!$E:$E,4))</f>
        <v>0</v>
      </c>
      <c r="Q13" s="264">
        <f xml:space="preserve">
IF($A$4&lt;=12,SUMIFS('ON Data'!V:V,'ON Data'!$D:$D,$A$4,'ON Data'!$E:$E,4),SUMIFS('ON Data'!V:V,'ON Data'!$E:$E,4))</f>
        <v>0</v>
      </c>
      <c r="R13" s="264">
        <f xml:space="preserve">
IF($A$4&lt;=12,SUMIFS('ON Data'!W:W,'ON Data'!$D:$D,$A$4,'ON Data'!$E:$E,4),SUMIFS('ON Data'!W:W,'ON Data'!$E:$E,4))</f>
        <v>0</v>
      </c>
      <c r="S13" s="264">
        <f xml:space="preserve">
IF($A$4&lt;=12,SUMIFS('ON Data'!X:X,'ON Data'!$D:$D,$A$4,'ON Data'!$E:$E,4),SUMIFS('ON Data'!X:X,'ON Data'!$E:$E,4))</f>
        <v>0</v>
      </c>
      <c r="T13" s="264">
        <f xml:space="preserve">
IF($A$4&lt;=12,SUMIFS('ON Data'!Y:Y,'ON Data'!$D:$D,$A$4,'ON Data'!$E:$E,4),SUMIFS('ON Data'!Y:Y,'ON Data'!$E:$E,4))</f>
        <v>0</v>
      </c>
      <c r="U13" s="264">
        <f xml:space="preserve">
IF($A$4&lt;=12,SUMIFS('ON Data'!Z:Z,'ON Data'!$D:$D,$A$4,'ON Data'!$E:$E,4),SUMIFS('ON Data'!Z:Z,'ON Data'!$E:$E,4))</f>
        <v>0</v>
      </c>
      <c r="V13" s="264">
        <f xml:space="preserve">
IF($A$4&lt;=12,SUMIFS('ON Data'!AA:AA,'ON Data'!$D:$D,$A$4,'ON Data'!$E:$E,4),SUMIFS('ON Data'!AA:AA,'ON Data'!$E:$E,4))</f>
        <v>0</v>
      </c>
      <c r="W13" s="264">
        <f xml:space="preserve">
IF($A$4&lt;=12,SUMIFS('ON Data'!AB:AB,'ON Data'!$D:$D,$A$4,'ON Data'!$E:$E,4),SUMIFS('ON Data'!AB:AB,'ON Data'!$E:$E,4))</f>
        <v>0</v>
      </c>
      <c r="X13" s="264">
        <f xml:space="preserve">
IF($A$4&lt;=12,SUMIFS('ON Data'!AC:AC,'ON Data'!$D:$D,$A$4,'ON Data'!$E:$E,4),SUMIFS('ON Data'!AC:AC,'ON Data'!$E:$E,4))</f>
        <v>0</v>
      </c>
      <c r="Y13" s="264">
        <f xml:space="preserve">
IF($A$4&lt;=12,SUMIFS('ON Data'!AD:AD,'ON Data'!$D:$D,$A$4,'ON Data'!$E:$E,4),SUMIFS('ON Data'!AD:AD,'ON Data'!$E:$E,4))</f>
        <v>0</v>
      </c>
      <c r="Z13" s="264">
        <f xml:space="preserve">
IF($A$4&lt;=12,SUMIFS('ON Data'!AE:AE,'ON Data'!$D:$D,$A$4,'ON Data'!$E:$E,4),SUMIFS('ON Data'!AE:AE,'ON Data'!$E:$E,4))</f>
        <v>0</v>
      </c>
      <c r="AA13" s="264">
        <f xml:space="preserve">
IF($A$4&lt;=12,SUMIFS('ON Data'!AF:AF,'ON Data'!$D:$D,$A$4,'ON Data'!$E:$E,4),SUMIFS('ON Data'!AF:AF,'ON Data'!$E:$E,4))</f>
        <v>0</v>
      </c>
      <c r="AB13" s="264">
        <f xml:space="preserve">
IF($A$4&lt;=12,SUMIFS('ON Data'!AG:AG,'ON Data'!$D:$D,$A$4,'ON Data'!$E:$E,4),SUMIFS('ON Data'!AG:AG,'ON Data'!$E:$E,4))</f>
        <v>0</v>
      </c>
      <c r="AC13" s="264">
        <f xml:space="preserve">
IF($A$4&lt;=12,SUMIFS('ON Data'!AH:AH,'ON Data'!$D:$D,$A$4,'ON Data'!$E:$E,4),SUMIFS('ON Data'!AH:AH,'ON Data'!$E:$E,4))</f>
        <v>0</v>
      </c>
      <c r="AD13" s="264">
        <f xml:space="preserve">
IF($A$4&lt;=12,SUMIFS('ON Data'!AI:AI,'ON Data'!$D:$D,$A$4,'ON Data'!$E:$E,4),SUMIFS('ON Data'!AI:AI,'ON Data'!$E:$E,4))</f>
        <v>0</v>
      </c>
      <c r="AE13" s="264">
        <f xml:space="preserve">
IF($A$4&lt;=12,SUMIFS('ON Data'!AJ:AJ,'ON Data'!$D:$D,$A$4,'ON Data'!$E:$E,4),SUMIFS('ON Data'!AJ:AJ,'ON Data'!$E:$E,4))</f>
        <v>0</v>
      </c>
      <c r="AF13" s="264">
        <f xml:space="preserve">
IF($A$4&lt;=12,SUMIFS('ON Data'!AK:AK,'ON Data'!$D:$D,$A$4,'ON Data'!$E:$E,4),SUMIFS('ON Data'!AK:AK,'ON Data'!$E:$E,4))</f>
        <v>0</v>
      </c>
      <c r="AG13" s="594">
        <f xml:space="preserve">
IF($A$4&lt;=12,SUMIFS('ON Data'!AM:AM,'ON Data'!$D:$D,$A$4,'ON Data'!$E:$E,4),SUMIFS('ON Data'!AM:AM,'ON Data'!$E:$E,4))</f>
        <v>0</v>
      </c>
      <c r="AH13" s="604"/>
    </row>
    <row r="14" spans="1:34" ht="15" thickBot="1" x14ac:dyDescent="0.35">
      <c r="A14" s="246" t="s">
        <v>216</v>
      </c>
      <c r="B14" s="265">
        <f xml:space="preserve">
IF($A$4&lt;=12,SUMIFS('ON Data'!F:F,'ON Data'!$D:$D,$A$4,'ON Data'!$E:$E,5),SUMIFS('ON Data'!F:F,'ON Data'!$E:$E,5))</f>
        <v>0</v>
      </c>
      <c r="C14" s="266">
        <f xml:space="preserve">
IF($A$4&lt;=12,SUMIFS('ON Data'!G:G,'ON Data'!$D:$D,$A$4,'ON Data'!$E:$E,5),SUMIFS('ON Data'!G:G,'ON Data'!$E:$E,5))</f>
        <v>0</v>
      </c>
      <c r="D14" s="267">
        <f xml:space="preserve">
IF($A$4&lt;=12,SUMIFS('ON Data'!H:H,'ON Data'!$D:$D,$A$4,'ON Data'!$E:$E,5),SUMIFS('ON Data'!H:H,'ON Data'!$E:$E,5))</f>
        <v>0</v>
      </c>
      <c r="E14" s="267">
        <f xml:space="preserve">
IF($A$4&lt;=12,SUMIFS('ON Data'!I:I,'ON Data'!$D:$D,$A$4,'ON Data'!$E:$E,5),SUMIFS('ON Data'!I:I,'ON Data'!$E:$E,5))</f>
        <v>0</v>
      </c>
      <c r="F14" s="267">
        <f xml:space="preserve">
IF($A$4&lt;=12,SUMIFS('ON Data'!K:K,'ON Data'!$D:$D,$A$4,'ON Data'!$E:$E,5),SUMIFS('ON Data'!K:K,'ON Data'!$E:$E,5))</f>
        <v>0</v>
      </c>
      <c r="G14" s="267">
        <f xml:space="preserve">
IF($A$4&lt;=12,SUMIFS('ON Data'!L:L,'ON Data'!$D:$D,$A$4,'ON Data'!$E:$E,5),SUMIFS('ON Data'!L:L,'ON Data'!$E:$E,5))</f>
        <v>0</v>
      </c>
      <c r="H14" s="267">
        <f xml:space="preserve">
IF($A$4&lt;=12,SUMIFS('ON Data'!M:M,'ON Data'!$D:$D,$A$4,'ON Data'!$E:$E,5),SUMIFS('ON Data'!M:M,'ON Data'!$E:$E,5))</f>
        <v>0</v>
      </c>
      <c r="I14" s="267">
        <f xml:space="preserve">
IF($A$4&lt;=12,SUMIFS('ON Data'!N:N,'ON Data'!$D:$D,$A$4,'ON Data'!$E:$E,5),SUMIFS('ON Data'!N:N,'ON Data'!$E:$E,5))</f>
        <v>0</v>
      </c>
      <c r="J14" s="267">
        <f xml:space="preserve">
IF($A$4&lt;=12,SUMIFS('ON Data'!O:O,'ON Data'!$D:$D,$A$4,'ON Data'!$E:$E,5),SUMIFS('ON Data'!O:O,'ON Data'!$E:$E,5))</f>
        <v>0</v>
      </c>
      <c r="K14" s="267">
        <f xml:space="preserve">
IF($A$4&lt;=12,SUMIFS('ON Data'!P:P,'ON Data'!$D:$D,$A$4,'ON Data'!$E:$E,5),SUMIFS('ON Data'!P:P,'ON Data'!$E:$E,5))</f>
        <v>0</v>
      </c>
      <c r="L14" s="267">
        <f xml:space="preserve">
IF($A$4&lt;=12,SUMIFS('ON Data'!Q:Q,'ON Data'!$D:$D,$A$4,'ON Data'!$E:$E,5),SUMIFS('ON Data'!Q:Q,'ON Data'!$E:$E,5))</f>
        <v>0</v>
      </c>
      <c r="M14" s="267">
        <f xml:space="preserve">
IF($A$4&lt;=12,SUMIFS('ON Data'!R:R,'ON Data'!$D:$D,$A$4,'ON Data'!$E:$E,5),SUMIFS('ON Data'!R:R,'ON Data'!$E:$E,5))</f>
        <v>0</v>
      </c>
      <c r="N14" s="267">
        <f xml:space="preserve">
IF($A$4&lt;=12,SUMIFS('ON Data'!S:S,'ON Data'!$D:$D,$A$4,'ON Data'!$E:$E,5),SUMIFS('ON Data'!S:S,'ON Data'!$E:$E,5))</f>
        <v>0</v>
      </c>
      <c r="O14" s="267">
        <f xml:space="preserve">
IF($A$4&lt;=12,SUMIFS('ON Data'!T:T,'ON Data'!$D:$D,$A$4,'ON Data'!$E:$E,5),SUMIFS('ON Data'!T:T,'ON Data'!$E:$E,5))</f>
        <v>0</v>
      </c>
      <c r="P14" s="267">
        <f xml:space="preserve">
IF($A$4&lt;=12,SUMIFS('ON Data'!U:U,'ON Data'!$D:$D,$A$4,'ON Data'!$E:$E,5),SUMIFS('ON Data'!U:U,'ON Data'!$E:$E,5))</f>
        <v>0</v>
      </c>
      <c r="Q14" s="267">
        <f xml:space="preserve">
IF($A$4&lt;=12,SUMIFS('ON Data'!V:V,'ON Data'!$D:$D,$A$4,'ON Data'!$E:$E,5),SUMIFS('ON Data'!V:V,'ON Data'!$E:$E,5))</f>
        <v>0</v>
      </c>
      <c r="R14" s="267">
        <f xml:space="preserve">
IF($A$4&lt;=12,SUMIFS('ON Data'!W:W,'ON Data'!$D:$D,$A$4,'ON Data'!$E:$E,5),SUMIFS('ON Data'!W:W,'ON Data'!$E:$E,5))</f>
        <v>0</v>
      </c>
      <c r="S14" s="267">
        <f xml:space="preserve">
IF($A$4&lt;=12,SUMIFS('ON Data'!X:X,'ON Data'!$D:$D,$A$4,'ON Data'!$E:$E,5),SUMIFS('ON Data'!X:X,'ON Data'!$E:$E,5))</f>
        <v>0</v>
      </c>
      <c r="T14" s="267">
        <f xml:space="preserve">
IF($A$4&lt;=12,SUMIFS('ON Data'!Y:Y,'ON Data'!$D:$D,$A$4,'ON Data'!$E:$E,5),SUMIFS('ON Data'!Y:Y,'ON Data'!$E:$E,5))</f>
        <v>0</v>
      </c>
      <c r="U14" s="267">
        <f xml:space="preserve">
IF($A$4&lt;=12,SUMIFS('ON Data'!Z:Z,'ON Data'!$D:$D,$A$4,'ON Data'!$E:$E,5),SUMIFS('ON Data'!Z:Z,'ON Data'!$E:$E,5))</f>
        <v>0</v>
      </c>
      <c r="V14" s="267">
        <f xml:space="preserve">
IF($A$4&lt;=12,SUMIFS('ON Data'!AA:AA,'ON Data'!$D:$D,$A$4,'ON Data'!$E:$E,5),SUMIFS('ON Data'!AA:AA,'ON Data'!$E:$E,5))</f>
        <v>0</v>
      </c>
      <c r="W14" s="267">
        <f xml:space="preserve">
IF($A$4&lt;=12,SUMIFS('ON Data'!AB:AB,'ON Data'!$D:$D,$A$4,'ON Data'!$E:$E,5),SUMIFS('ON Data'!AB:AB,'ON Data'!$E:$E,5))</f>
        <v>0</v>
      </c>
      <c r="X14" s="267">
        <f xml:space="preserve">
IF($A$4&lt;=12,SUMIFS('ON Data'!AC:AC,'ON Data'!$D:$D,$A$4,'ON Data'!$E:$E,5),SUMIFS('ON Data'!AC:AC,'ON Data'!$E:$E,5))</f>
        <v>0</v>
      </c>
      <c r="Y14" s="267">
        <f xml:space="preserve">
IF($A$4&lt;=12,SUMIFS('ON Data'!AD:AD,'ON Data'!$D:$D,$A$4,'ON Data'!$E:$E,5),SUMIFS('ON Data'!AD:AD,'ON Data'!$E:$E,5))</f>
        <v>0</v>
      </c>
      <c r="Z14" s="267">
        <f xml:space="preserve">
IF($A$4&lt;=12,SUMIFS('ON Data'!AE:AE,'ON Data'!$D:$D,$A$4,'ON Data'!$E:$E,5),SUMIFS('ON Data'!AE:AE,'ON Data'!$E:$E,5))</f>
        <v>0</v>
      </c>
      <c r="AA14" s="267">
        <f xml:space="preserve">
IF($A$4&lt;=12,SUMIFS('ON Data'!AF:AF,'ON Data'!$D:$D,$A$4,'ON Data'!$E:$E,5),SUMIFS('ON Data'!AF:AF,'ON Data'!$E:$E,5))</f>
        <v>0</v>
      </c>
      <c r="AB14" s="267">
        <f xml:space="preserve">
IF($A$4&lt;=12,SUMIFS('ON Data'!AG:AG,'ON Data'!$D:$D,$A$4,'ON Data'!$E:$E,5),SUMIFS('ON Data'!AG:AG,'ON Data'!$E:$E,5))</f>
        <v>0</v>
      </c>
      <c r="AC14" s="267">
        <f xml:space="preserve">
IF($A$4&lt;=12,SUMIFS('ON Data'!AH:AH,'ON Data'!$D:$D,$A$4,'ON Data'!$E:$E,5),SUMIFS('ON Data'!AH:AH,'ON Data'!$E:$E,5))</f>
        <v>0</v>
      </c>
      <c r="AD14" s="267">
        <f xml:space="preserve">
IF($A$4&lt;=12,SUMIFS('ON Data'!AI:AI,'ON Data'!$D:$D,$A$4,'ON Data'!$E:$E,5),SUMIFS('ON Data'!AI:AI,'ON Data'!$E:$E,5))</f>
        <v>0</v>
      </c>
      <c r="AE14" s="267">
        <f xml:space="preserve">
IF($A$4&lt;=12,SUMIFS('ON Data'!AJ:AJ,'ON Data'!$D:$D,$A$4,'ON Data'!$E:$E,5),SUMIFS('ON Data'!AJ:AJ,'ON Data'!$E:$E,5))</f>
        <v>0</v>
      </c>
      <c r="AF14" s="267">
        <f xml:space="preserve">
IF($A$4&lt;=12,SUMIFS('ON Data'!AK:AK,'ON Data'!$D:$D,$A$4,'ON Data'!$E:$E,5),SUMIFS('ON Data'!AK:AK,'ON Data'!$E:$E,5))</f>
        <v>0</v>
      </c>
      <c r="AG14" s="595">
        <f xml:space="preserve">
IF($A$4&lt;=12,SUMIFS('ON Data'!AM:AM,'ON Data'!$D:$D,$A$4,'ON Data'!$E:$E,5),SUMIFS('ON Data'!AM:AM,'ON Data'!$E:$E,5))</f>
        <v>0</v>
      </c>
      <c r="AH14" s="604"/>
    </row>
    <row r="15" spans="1:34" x14ac:dyDescent="0.3">
      <c r="A15" s="163" t="s">
        <v>226</v>
      </c>
      <c r="B15" s="268"/>
      <c r="C15" s="269"/>
      <c r="D15" s="270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0"/>
      <c r="P15" s="270"/>
      <c r="Q15" s="270"/>
      <c r="R15" s="270"/>
      <c r="S15" s="270"/>
      <c r="T15" s="270"/>
      <c r="U15" s="270"/>
      <c r="V15" s="270"/>
      <c r="W15" s="270"/>
      <c r="X15" s="270"/>
      <c r="Y15" s="270"/>
      <c r="Z15" s="270"/>
      <c r="AA15" s="270"/>
      <c r="AB15" s="270"/>
      <c r="AC15" s="270"/>
      <c r="AD15" s="270"/>
      <c r="AE15" s="270"/>
      <c r="AF15" s="270"/>
      <c r="AG15" s="596"/>
      <c r="AH15" s="604"/>
    </row>
    <row r="16" spans="1:34" x14ac:dyDescent="0.3">
      <c r="A16" s="247" t="s">
        <v>217</v>
      </c>
      <c r="B16" s="262">
        <f xml:space="preserve">
IF($A$4&lt;=12,SUMIFS('ON Data'!F:F,'ON Data'!$D:$D,$A$4,'ON Data'!$E:$E,7),SUMIFS('ON Data'!F:F,'ON Data'!$E:$E,7))</f>
        <v>0</v>
      </c>
      <c r="C16" s="263">
        <f xml:space="preserve">
IF($A$4&lt;=12,SUMIFS('ON Data'!G:G,'ON Data'!$D:$D,$A$4,'ON Data'!$E:$E,7),SUMIFS('ON Data'!G:G,'ON Data'!$E:$E,7))</f>
        <v>0</v>
      </c>
      <c r="D16" s="264">
        <f xml:space="preserve">
IF($A$4&lt;=12,SUMIFS('ON Data'!H:H,'ON Data'!$D:$D,$A$4,'ON Data'!$E:$E,7),SUMIFS('ON Data'!H:H,'ON Data'!$E:$E,7))</f>
        <v>0</v>
      </c>
      <c r="E16" s="264">
        <f xml:space="preserve">
IF($A$4&lt;=12,SUMIFS('ON Data'!I:I,'ON Data'!$D:$D,$A$4,'ON Data'!$E:$E,7),SUMIFS('ON Data'!I:I,'ON Data'!$E:$E,7))</f>
        <v>0</v>
      </c>
      <c r="F16" s="264">
        <f xml:space="preserve">
IF($A$4&lt;=12,SUMIFS('ON Data'!K:K,'ON Data'!$D:$D,$A$4,'ON Data'!$E:$E,7),SUMIFS('ON Data'!K:K,'ON Data'!$E:$E,7))</f>
        <v>0</v>
      </c>
      <c r="G16" s="264">
        <f xml:space="preserve">
IF($A$4&lt;=12,SUMIFS('ON Data'!L:L,'ON Data'!$D:$D,$A$4,'ON Data'!$E:$E,7),SUMIFS('ON Data'!L:L,'ON Data'!$E:$E,7))</f>
        <v>0</v>
      </c>
      <c r="H16" s="264">
        <f xml:space="preserve">
IF($A$4&lt;=12,SUMIFS('ON Data'!M:M,'ON Data'!$D:$D,$A$4,'ON Data'!$E:$E,7),SUMIFS('ON Data'!M:M,'ON Data'!$E:$E,7))</f>
        <v>0</v>
      </c>
      <c r="I16" s="264">
        <f xml:space="preserve">
IF($A$4&lt;=12,SUMIFS('ON Data'!N:N,'ON Data'!$D:$D,$A$4,'ON Data'!$E:$E,7),SUMIFS('ON Data'!N:N,'ON Data'!$E:$E,7))</f>
        <v>0</v>
      </c>
      <c r="J16" s="264">
        <f xml:space="preserve">
IF($A$4&lt;=12,SUMIFS('ON Data'!O:O,'ON Data'!$D:$D,$A$4,'ON Data'!$E:$E,7),SUMIFS('ON Data'!O:O,'ON Data'!$E:$E,7))</f>
        <v>0</v>
      </c>
      <c r="K16" s="264">
        <f xml:space="preserve">
IF($A$4&lt;=12,SUMIFS('ON Data'!P:P,'ON Data'!$D:$D,$A$4,'ON Data'!$E:$E,7),SUMIFS('ON Data'!P:P,'ON Data'!$E:$E,7))</f>
        <v>0</v>
      </c>
      <c r="L16" s="264">
        <f xml:space="preserve">
IF($A$4&lt;=12,SUMIFS('ON Data'!Q:Q,'ON Data'!$D:$D,$A$4,'ON Data'!$E:$E,7),SUMIFS('ON Data'!Q:Q,'ON Data'!$E:$E,7))</f>
        <v>0</v>
      </c>
      <c r="M16" s="264">
        <f xml:space="preserve">
IF($A$4&lt;=12,SUMIFS('ON Data'!R:R,'ON Data'!$D:$D,$A$4,'ON Data'!$E:$E,7),SUMIFS('ON Data'!R:R,'ON Data'!$E:$E,7))</f>
        <v>0</v>
      </c>
      <c r="N16" s="264">
        <f xml:space="preserve">
IF($A$4&lt;=12,SUMIFS('ON Data'!S:S,'ON Data'!$D:$D,$A$4,'ON Data'!$E:$E,7),SUMIFS('ON Data'!S:S,'ON Data'!$E:$E,7))</f>
        <v>0</v>
      </c>
      <c r="O16" s="264">
        <f xml:space="preserve">
IF($A$4&lt;=12,SUMIFS('ON Data'!T:T,'ON Data'!$D:$D,$A$4,'ON Data'!$E:$E,7),SUMIFS('ON Data'!T:T,'ON Data'!$E:$E,7))</f>
        <v>0</v>
      </c>
      <c r="P16" s="264">
        <f xml:space="preserve">
IF($A$4&lt;=12,SUMIFS('ON Data'!U:U,'ON Data'!$D:$D,$A$4,'ON Data'!$E:$E,7),SUMIFS('ON Data'!U:U,'ON Data'!$E:$E,7))</f>
        <v>0</v>
      </c>
      <c r="Q16" s="264">
        <f xml:space="preserve">
IF($A$4&lt;=12,SUMIFS('ON Data'!V:V,'ON Data'!$D:$D,$A$4,'ON Data'!$E:$E,7),SUMIFS('ON Data'!V:V,'ON Data'!$E:$E,7))</f>
        <v>0</v>
      </c>
      <c r="R16" s="264">
        <f xml:space="preserve">
IF($A$4&lt;=12,SUMIFS('ON Data'!W:W,'ON Data'!$D:$D,$A$4,'ON Data'!$E:$E,7),SUMIFS('ON Data'!W:W,'ON Data'!$E:$E,7))</f>
        <v>0</v>
      </c>
      <c r="S16" s="264">
        <f xml:space="preserve">
IF($A$4&lt;=12,SUMIFS('ON Data'!X:X,'ON Data'!$D:$D,$A$4,'ON Data'!$E:$E,7),SUMIFS('ON Data'!X:X,'ON Data'!$E:$E,7))</f>
        <v>0</v>
      </c>
      <c r="T16" s="264">
        <f xml:space="preserve">
IF($A$4&lt;=12,SUMIFS('ON Data'!Y:Y,'ON Data'!$D:$D,$A$4,'ON Data'!$E:$E,7),SUMIFS('ON Data'!Y:Y,'ON Data'!$E:$E,7))</f>
        <v>0</v>
      </c>
      <c r="U16" s="264">
        <f xml:space="preserve">
IF($A$4&lt;=12,SUMIFS('ON Data'!Z:Z,'ON Data'!$D:$D,$A$4,'ON Data'!$E:$E,7),SUMIFS('ON Data'!Z:Z,'ON Data'!$E:$E,7))</f>
        <v>0</v>
      </c>
      <c r="V16" s="264">
        <f xml:space="preserve">
IF($A$4&lt;=12,SUMIFS('ON Data'!AA:AA,'ON Data'!$D:$D,$A$4,'ON Data'!$E:$E,7),SUMIFS('ON Data'!AA:AA,'ON Data'!$E:$E,7))</f>
        <v>0</v>
      </c>
      <c r="W16" s="264">
        <f xml:space="preserve">
IF($A$4&lt;=12,SUMIFS('ON Data'!AB:AB,'ON Data'!$D:$D,$A$4,'ON Data'!$E:$E,7),SUMIFS('ON Data'!AB:AB,'ON Data'!$E:$E,7))</f>
        <v>0</v>
      </c>
      <c r="X16" s="264">
        <f xml:space="preserve">
IF($A$4&lt;=12,SUMIFS('ON Data'!AC:AC,'ON Data'!$D:$D,$A$4,'ON Data'!$E:$E,7),SUMIFS('ON Data'!AC:AC,'ON Data'!$E:$E,7))</f>
        <v>0</v>
      </c>
      <c r="Y16" s="264">
        <f xml:space="preserve">
IF($A$4&lt;=12,SUMIFS('ON Data'!AD:AD,'ON Data'!$D:$D,$A$4,'ON Data'!$E:$E,7),SUMIFS('ON Data'!AD:AD,'ON Data'!$E:$E,7))</f>
        <v>0</v>
      </c>
      <c r="Z16" s="264">
        <f xml:space="preserve">
IF($A$4&lt;=12,SUMIFS('ON Data'!AE:AE,'ON Data'!$D:$D,$A$4,'ON Data'!$E:$E,7),SUMIFS('ON Data'!AE:AE,'ON Data'!$E:$E,7))</f>
        <v>0</v>
      </c>
      <c r="AA16" s="264">
        <f xml:space="preserve">
IF($A$4&lt;=12,SUMIFS('ON Data'!AF:AF,'ON Data'!$D:$D,$A$4,'ON Data'!$E:$E,7),SUMIFS('ON Data'!AF:AF,'ON Data'!$E:$E,7))</f>
        <v>0</v>
      </c>
      <c r="AB16" s="264">
        <f xml:space="preserve">
IF($A$4&lt;=12,SUMIFS('ON Data'!AG:AG,'ON Data'!$D:$D,$A$4,'ON Data'!$E:$E,7),SUMIFS('ON Data'!AG:AG,'ON Data'!$E:$E,7))</f>
        <v>0</v>
      </c>
      <c r="AC16" s="264">
        <f xml:space="preserve">
IF($A$4&lt;=12,SUMIFS('ON Data'!AH:AH,'ON Data'!$D:$D,$A$4,'ON Data'!$E:$E,7),SUMIFS('ON Data'!AH:AH,'ON Data'!$E:$E,7))</f>
        <v>0</v>
      </c>
      <c r="AD16" s="264">
        <f xml:space="preserve">
IF($A$4&lt;=12,SUMIFS('ON Data'!AI:AI,'ON Data'!$D:$D,$A$4,'ON Data'!$E:$E,7),SUMIFS('ON Data'!AI:AI,'ON Data'!$E:$E,7))</f>
        <v>0</v>
      </c>
      <c r="AE16" s="264">
        <f xml:space="preserve">
IF($A$4&lt;=12,SUMIFS('ON Data'!AJ:AJ,'ON Data'!$D:$D,$A$4,'ON Data'!$E:$E,7),SUMIFS('ON Data'!AJ:AJ,'ON Data'!$E:$E,7))</f>
        <v>0</v>
      </c>
      <c r="AF16" s="264">
        <f xml:space="preserve">
IF($A$4&lt;=12,SUMIFS('ON Data'!AK:AK,'ON Data'!$D:$D,$A$4,'ON Data'!$E:$E,7),SUMIFS('ON Data'!AK:AK,'ON Data'!$E:$E,7))</f>
        <v>0</v>
      </c>
      <c r="AG16" s="594">
        <f xml:space="preserve">
IF($A$4&lt;=12,SUMIFS('ON Data'!AM:AM,'ON Data'!$D:$D,$A$4,'ON Data'!$E:$E,7),SUMIFS('ON Data'!AM:AM,'ON Data'!$E:$E,7))</f>
        <v>0</v>
      </c>
      <c r="AH16" s="604"/>
    </row>
    <row r="17" spans="1:34" x14ac:dyDescent="0.3">
      <c r="A17" s="247" t="s">
        <v>218</v>
      </c>
      <c r="B17" s="262">
        <f xml:space="preserve">
IF($A$4&lt;=12,SUMIFS('ON Data'!F:F,'ON Data'!$D:$D,$A$4,'ON Data'!$E:$E,8),SUMIFS('ON Data'!F:F,'ON Data'!$E:$E,8))</f>
        <v>0</v>
      </c>
      <c r="C17" s="263">
        <f xml:space="preserve">
IF($A$4&lt;=12,SUMIFS('ON Data'!G:G,'ON Data'!$D:$D,$A$4,'ON Data'!$E:$E,8),SUMIFS('ON Data'!G:G,'ON Data'!$E:$E,8))</f>
        <v>0</v>
      </c>
      <c r="D17" s="264">
        <f xml:space="preserve">
IF($A$4&lt;=12,SUMIFS('ON Data'!H:H,'ON Data'!$D:$D,$A$4,'ON Data'!$E:$E,8),SUMIFS('ON Data'!H:H,'ON Data'!$E:$E,8))</f>
        <v>0</v>
      </c>
      <c r="E17" s="264">
        <f xml:space="preserve">
IF($A$4&lt;=12,SUMIFS('ON Data'!I:I,'ON Data'!$D:$D,$A$4,'ON Data'!$E:$E,8),SUMIFS('ON Data'!I:I,'ON Data'!$E:$E,8))</f>
        <v>0</v>
      </c>
      <c r="F17" s="264">
        <f xml:space="preserve">
IF($A$4&lt;=12,SUMIFS('ON Data'!K:K,'ON Data'!$D:$D,$A$4,'ON Data'!$E:$E,8),SUMIFS('ON Data'!K:K,'ON Data'!$E:$E,8))</f>
        <v>0</v>
      </c>
      <c r="G17" s="264">
        <f xml:space="preserve">
IF($A$4&lt;=12,SUMIFS('ON Data'!L:L,'ON Data'!$D:$D,$A$4,'ON Data'!$E:$E,8),SUMIFS('ON Data'!L:L,'ON Data'!$E:$E,8))</f>
        <v>0</v>
      </c>
      <c r="H17" s="264">
        <f xml:space="preserve">
IF($A$4&lt;=12,SUMIFS('ON Data'!M:M,'ON Data'!$D:$D,$A$4,'ON Data'!$E:$E,8),SUMIFS('ON Data'!M:M,'ON Data'!$E:$E,8))</f>
        <v>0</v>
      </c>
      <c r="I17" s="264">
        <f xml:space="preserve">
IF($A$4&lt;=12,SUMIFS('ON Data'!N:N,'ON Data'!$D:$D,$A$4,'ON Data'!$E:$E,8),SUMIFS('ON Data'!N:N,'ON Data'!$E:$E,8))</f>
        <v>0</v>
      </c>
      <c r="J17" s="264">
        <f xml:space="preserve">
IF($A$4&lt;=12,SUMIFS('ON Data'!O:O,'ON Data'!$D:$D,$A$4,'ON Data'!$E:$E,8),SUMIFS('ON Data'!O:O,'ON Data'!$E:$E,8))</f>
        <v>0</v>
      </c>
      <c r="K17" s="264">
        <f xml:space="preserve">
IF($A$4&lt;=12,SUMIFS('ON Data'!P:P,'ON Data'!$D:$D,$A$4,'ON Data'!$E:$E,8),SUMIFS('ON Data'!P:P,'ON Data'!$E:$E,8))</f>
        <v>0</v>
      </c>
      <c r="L17" s="264">
        <f xml:space="preserve">
IF($A$4&lt;=12,SUMIFS('ON Data'!Q:Q,'ON Data'!$D:$D,$A$4,'ON Data'!$E:$E,8),SUMIFS('ON Data'!Q:Q,'ON Data'!$E:$E,8))</f>
        <v>0</v>
      </c>
      <c r="M17" s="264">
        <f xml:space="preserve">
IF($A$4&lt;=12,SUMIFS('ON Data'!R:R,'ON Data'!$D:$D,$A$4,'ON Data'!$E:$E,8),SUMIFS('ON Data'!R:R,'ON Data'!$E:$E,8))</f>
        <v>0</v>
      </c>
      <c r="N17" s="264">
        <f xml:space="preserve">
IF($A$4&lt;=12,SUMIFS('ON Data'!S:S,'ON Data'!$D:$D,$A$4,'ON Data'!$E:$E,8),SUMIFS('ON Data'!S:S,'ON Data'!$E:$E,8))</f>
        <v>0</v>
      </c>
      <c r="O17" s="264">
        <f xml:space="preserve">
IF($A$4&lt;=12,SUMIFS('ON Data'!T:T,'ON Data'!$D:$D,$A$4,'ON Data'!$E:$E,8),SUMIFS('ON Data'!T:T,'ON Data'!$E:$E,8))</f>
        <v>0</v>
      </c>
      <c r="P17" s="264">
        <f xml:space="preserve">
IF($A$4&lt;=12,SUMIFS('ON Data'!U:U,'ON Data'!$D:$D,$A$4,'ON Data'!$E:$E,8),SUMIFS('ON Data'!U:U,'ON Data'!$E:$E,8))</f>
        <v>0</v>
      </c>
      <c r="Q17" s="264">
        <f xml:space="preserve">
IF($A$4&lt;=12,SUMIFS('ON Data'!V:V,'ON Data'!$D:$D,$A$4,'ON Data'!$E:$E,8),SUMIFS('ON Data'!V:V,'ON Data'!$E:$E,8))</f>
        <v>0</v>
      </c>
      <c r="R17" s="264">
        <f xml:space="preserve">
IF($A$4&lt;=12,SUMIFS('ON Data'!W:W,'ON Data'!$D:$D,$A$4,'ON Data'!$E:$E,8),SUMIFS('ON Data'!W:W,'ON Data'!$E:$E,8))</f>
        <v>0</v>
      </c>
      <c r="S17" s="264">
        <f xml:space="preserve">
IF($A$4&lt;=12,SUMIFS('ON Data'!X:X,'ON Data'!$D:$D,$A$4,'ON Data'!$E:$E,8),SUMIFS('ON Data'!X:X,'ON Data'!$E:$E,8))</f>
        <v>0</v>
      </c>
      <c r="T17" s="264">
        <f xml:space="preserve">
IF($A$4&lt;=12,SUMIFS('ON Data'!Y:Y,'ON Data'!$D:$D,$A$4,'ON Data'!$E:$E,8),SUMIFS('ON Data'!Y:Y,'ON Data'!$E:$E,8))</f>
        <v>0</v>
      </c>
      <c r="U17" s="264">
        <f xml:space="preserve">
IF($A$4&lt;=12,SUMIFS('ON Data'!Z:Z,'ON Data'!$D:$D,$A$4,'ON Data'!$E:$E,8),SUMIFS('ON Data'!Z:Z,'ON Data'!$E:$E,8))</f>
        <v>0</v>
      </c>
      <c r="V17" s="264">
        <f xml:space="preserve">
IF($A$4&lt;=12,SUMIFS('ON Data'!AA:AA,'ON Data'!$D:$D,$A$4,'ON Data'!$E:$E,8),SUMIFS('ON Data'!AA:AA,'ON Data'!$E:$E,8))</f>
        <v>0</v>
      </c>
      <c r="W17" s="264">
        <f xml:space="preserve">
IF($A$4&lt;=12,SUMIFS('ON Data'!AB:AB,'ON Data'!$D:$D,$A$4,'ON Data'!$E:$E,8),SUMIFS('ON Data'!AB:AB,'ON Data'!$E:$E,8))</f>
        <v>0</v>
      </c>
      <c r="X17" s="264">
        <f xml:space="preserve">
IF($A$4&lt;=12,SUMIFS('ON Data'!AC:AC,'ON Data'!$D:$D,$A$4,'ON Data'!$E:$E,8),SUMIFS('ON Data'!AC:AC,'ON Data'!$E:$E,8))</f>
        <v>0</v>
      </c>
      <c r="Y17" s="264">
        <f xml:space="preserve">
IF($A$4&lt;=12,SUMIFS('ON Data'!AD:AD,'ON Data'!$D:$D,$A$4,'ON Data'!$E:$E,8),SUMIFS('ON Data'!AD:AD,'ON Data'!$E:$E,8))</f>
        <v>0</v>
      </c>
      <c r="Z17" s="264">
        <f xml:space="preserve">
IF($A$4&lt;=12,SUMIFS('ON Data'!AE:AE,'ON Data'!$D:$D,$A$4,'ON Data'!$E:$E,8),SUMIFS('ON Data'!AE:AE,'ON Data'!$E:$E,8))</f>
        <v>0</v>
      </c>
      <c r="AA17" s="264">
        <f xml:space="preserve">
IF($A$4&lt;=12,SUMIFS('ON Data'!AF:AF,'ON Data'!$D:$D,$A$4,'ON Data'!$E:$E,8),SUMIFS('ON Data'!AF:AF,'ON Data'!$E:$E,8))</f>
        <v>0</v>
      </c>
      <c r="AB17" s="264">
        <f xml:space="preserve">
IF($A$4&lt;=12,SUMIFS('ON Data'!AG:AG,'ON Data'!$D:$D,$A$4,'ON Data'!$E:$E,8),SUMIFS('ON Data'!AG:AG,'ON Data'!$E:$E,8))</f>
        <v>0</v>
      </c>
      <c r="AC17" s="264">
        <f xml:space="preserve">
IF($A$4&lt;=12,SUMIFS('ON Data'!AH:AH,'ON Data'!$D:$D,$A$4,'ON Data'!$E:$E,8),SUMIFS('ON Data'!AH:AH,'ON Data'!$E:$E,8))</f>
        <v>0</v>
      </c>
      <c r="AD17" s="264">
        <f xml:space="preserve">
IF($A$4&lt;=12,SUMIFS('ON Data'!AI:AI,'ON Data'!$D:$D,$A$4,'ON Data'!$E:$E,8),SUMIFS('ON Data'!AI:AI,'ON Data'!$E:$E,8))</f>
        <v>0</v>
      </c>
      <c r="AE17" s="264">
        <f xml:space="preserve">
IF($A$4&lt;=12,SUMIFS('ON Data'!AJ:AJ,'ON Data'!$D:$D,$A$4,'ON Data'!$E:$E,8),SUMIFS('ON Data'!AJ:AJ,'ON Data'!$E:$E,8))</f>
        <v>0</v>
      </c>
      <c r="AF17" s="264">
        <f xml:space="preserve">
IF($A$4&lt;=12,SUMIFS('ON Data'!AK:AK,'ON Data'!$D:$D,$A$4,'ON Data'!$E:$E,8),SUMIFS('ON Data'!AK:AK,'ON Data'!$E:$E,8))</f>
        <v>0</v>
      </c>
      <c r="AG17" s="594">
        <f xml:space="preserve">
IF($A$4&lt;=12,SUMIFS('ON Data'!AM:AM,'ON Data'!$D:$D,$A$4,'ON Data'!$E:$E,8),SUMIFS('ON Data'!AM:AM,'ON Data'!$E:$E,8))</f>
        <v>0</v>
      </c>
      <c r="AH17" s="604"/>
    </row>
    <row r="18" spans="1:34" x14ac:dyDescent="0.3">
      <c r="A18" s="247" t="s">
        <v>219</v>
      </c>
      <c r="B18" s="262">
        <f xml:space="preserve">
B19-B16-B17</f>
        <v>1056544</v>
      </c>
      <c r="C18" s="263">
        <f t="shared" ref="C18" si="0" xml:space="preserve">
C19-C16-C17</f>
        <v>660</v>
      </c>
      <c r="D18" s="264">
        <f t="shared" ref="D18:AG18" si="1" xml:space="preserve">
D19-D16-D17</f>
        <v>491548</v>
      </c>
      <c r="E18" s="264">
        <f t="shared" si="1"/>
        <v>0</v>
      </c>
      <c r="F18" s="264">
        <f t="shared" si="1"/>
        <v>143014</v>
      </c>
      <c r="G18" s="264">
        <f t="shared" si="1"/>
        <v>13000</v>
      </c>
      <c r="H18" s="264">
        <f t="shared" si="1"/>
        <v>0</v>
      </c>
      <c r="I18" s="264">
        <f t="shared" si="1"/>
        <v>141044</v>
      </c>
      <c r="J18" s="264">
        <f t="shared" si="1"/>
        <v>0</v>
      </c>
      <c r="K18" s="264">
        <f t="shared" si="1"/>
        <v>0</v>
      </c>
      <c r="L18" s="264">
        <f t="shared" si="1"/>
        <v>0</v>
      </c>
      <c r="M18" s="264">
        <f t="shared" si="1"/>
        <v>0</v>
      </c>
      <c r="N18" s="264">
        <f t="shared" si="1"/>
        <v>0</v>
      </c>
      <c r="O18" s="264">
        <f t="shared" si="1"/>
        <v>0</v>
      </c>
      <c r="P18" s="264">
        <f t="shared" si="1"/>
        <v>0</v>
      </c>
      <c r="Q18" s="264">
        <f t="shared" si="1"/>
        <v>0</v>
      </c>
      <c r="R18" s="264">
        <f t="shared" si="1"/>
        <v>0</v>
      </c>
      <c r="S18" s="264">
        <f t="shared" si="1"/>
        <v>0</v>
      </c>
      <c r="T18" s="264">
        <f t="shared" si="1"/>
        <v>0</v>
      </c>
      <c r="U18" s="264">
        <f t="shared" si="1"/>
        <v>215429</v>
      </c>
      <c r="V18" s="264">
        <f t="shared" si="1"/>
        <v>0</v>
      </c>
      <c r="W18" s="264">
        <f t="shared" si="1"/>
        <v>0</v>
      </c>
      <c r="X18" s="264">
        <f t="shared" si="1"/>
        <v>0</v>
      </c>
      <c r="Y18" s="264">
        <f t="shared" si="1"/>
        <v>0</v>
      </c>
      <c r="Z18" s="264">
        <f t="shared" si="1"/>
        <v>0</v>
      </c>
      <c r="AA18" s="264">
        <f t="shared" si="1"/>
        <v>0</v>
      </c>
      <c r="AB18" s="264">
        <f t="shared" si="1"/>
        <v>0</v>
      </c>
      <c r="AC18" s="264">
        <f t="shared" si="1"/>
        <v>10618</v>
      </c>
      <c r="AD18" s="264">
        <f t="shared" si="1"/>
        <v>0</v>
      </c>
      <c r="AE18" s="264">
        <f t="shared" si="1"/>
        <v>0</v>
      </c>
      <c r="AF18" s="264">
        <f t="shared" si="1"/>
        <v>0</v>
      </c>
      <c r="AG18" s="594">
        <f t="shared" si="1"/>
        <v>41231</v>
      </c>
      <c r="AH18" s="604"/>
    </row>
    <row r="19" spans="1:34" ht="15" thickBot="1" x14ac:dyDescent="0.35">
      <c r="A19" s="248" t="s">
        <v>220</v>
      </c>
      <c r="B19" s="271">
        <f xml:space="preserve">
IF($A$4&lt;=12,SUMIFS('ON Data'!F:F,'ON Data'!$D:$D,$A$4,'ON Data'!$E:$E,9),SUMIFS('ON Data'!F:F,'ON Data'!$E:$E,9))</f>
        <v>1056544</v>
      </c>
      <c r="C19" s="272">
        <f xml:space="preserve">
IF($A$4&lt;=12,SUMIFS('ON Data'!G:G,'ON Data'!$D:$D,$A$4,'ON Data'!$E:$E,9),SUMIFS('ON Data'!G:G,'ON Data'!$E:$E,9))</f>
        <v>660</v>
      </c>
      <c r="D19" s="273">
        <f xml:space="preserve">
IF($A$4&lt;=12,SUMIFS('ON Data'!H:H,'ON Data'!$D:$D,$A$4,'ON Data'!$E:$E,9),SUMIFS('ON Data'!H:H,'ON Data'!$E:$E,9))</f>
        <v>491548</v>
      </c>
      <c r="E19" s="273">
        <f xml:space="preserve">
IF($A$4&lt;=12,SUMIFS('ON Data'!I:I,'ON Data'!$D:$D,$A$4,'ON Data'!$E:$E,9),SUMIFS('ON Data'!I:I,'ON Data'!$E:$E,9))</f>
        <v>0</v>
      </c>
      <c r="F19" s="273">
        <f xml:space="preserve">
IF($A$4&lt;=12,SUMIFS('ON Data'!K:K,'ON Data'!$D:$D,$A$4,'ON Data'!$E:$E,9),SUMIFS('ON Data'!K:K,'ON Data'!$E:$E,9))</f>
        <v>143014</v>
      </c>
      <c r="G19" s="273">
        <f xml:space="preserve">
IF($A$4&lt;=12,SUMIFS('ON Data'!L:L,'ON Data'!$D:$D,$A$4,'ON Data'!$E:$E,9),SUMIFS('ON Data'!L:L,'ON Data'!$E:$E,9))</f>
        <v>13000</v>
      </c>
      <c r="H19" s="273">
        <f xml:space="preserve">
IF($A$4&lt;=12,SUMIFS('ON Data'!M:M,'ON Data'!$D:$D,$A$4,'ON Data'!$E:$E,9),SUMIFS('ON Data'!M:M,'ON Data'!$E:$E,9))</f>
        <v>0</v>
      </c>
      <c r="I19" s="273">
        <f xml:space="preserve">
IF($A$4&lt;=12,SUMIFS('ON Data'!N:N,'ON Data'!$D:$D,$A$4,'ON Data'!$E:$E,9),SUMIFS('ON Data'!N:N,'ON Data'!$E:$E,9))</f>
        <v>141044</v>
      </c>
      <c r="J19" s="273">
        <f xml:space="preserve">
IF($A$4&lt;=12,SUMIFS('ON Data'!O:O,'ON Data'!$D:$D,$A$4,'ON Data'!$E:$E,9),SUMIFS('ON Data'!O:O,'ON Data'!$E:$E,9))</f>
        <v>0</v>
      </c>
      <c r="K19" s="273">
        <f xml:space="preserve">
IF($A$4&lt;=12,SUMIFS('ON Data'!P:P,'ON Data'!$D:$D,$A$4,'ON Data'!$E:$E,9),SUMIFS('ON Data'!P:P,'ON Data'!$E:$E,9))</f>
        <v>0</v>
      </c>
      <c r="L19" s="273">
        <f xml:space="preserve">
IF($A$4&lt;=12,SUMIFS('ON Data'!Q:Q,'ON Data'!$D:$D,$A$4,'ON Data'!$E:$E,9),SUMIFS('ON Data'!Q:Q,'ON Data'!$E:$E,9))</f>
        <v>0</v>
      </c>
      <c r="M19" s="273">
        <f xml:space="preserve">
IF($A$4&lt;=12,SUMIFS('ON Data'!R:R,'ON Data'!$D:$D,$A$4,'ON Data'!$E:$E,9),SUMIFS('ON Data'!R:R,'ON Data'!$E:$E,9))</f>
        <v>0</v>
      </c>
      <c r="N19" s="273">
        <f xml:space="preserve">
IF($A$4&lt;=12,SUMIFS('ON Data'!S:S,'ON Data'!$D:$D,$A$4,'ON Data'!$E:$E,9),SUMIFS('ON Data'!S:S,'ON Data'!$E:$E,9))</f>
        <v>0</v>
      </c>
      <c r="O19" s="273">
        <f xml:space="preserve">
IF($A$4&lt;=12,SUMIFS('ON Data'!T:T,'ON Data'!$D:$D,$A$4,'ON Data'!$E:$E,9),SUMIFS('ON Data'!T:T,'ON Data'!$E:$E,9))</f>
        <v>0</v>
      </c>
      <c r="P19" s="273">
        <f xml:space="preserve">
IF($A$4&lt;=12,SUMIFS('ON Data'!U:U,'ON Data'!$D:$D,$A$4,'ON Data'!$E:$E,9),SUMIFS('ON Data'!U:U,'ON Data'!$E:$E,9))</f>
        <v>0</v>
      </c>
      <c r="Q19" s="273">
        <f xml:space="preserve">
IF($A$4&lt;=12,SUMIFS('ON Data'!V:V,'ON Data'!$D:$D,$A$4,'ON Data'!$E:$E,9),SUMIFS('ON Data'!V:V,'ON Data'!$E:$E,9))</f>
        <v>0</v>
      </c>
      <c r="R19" s="273">
        <f xml:space="preserve">
IF($A$4&lt;=12,SUMIFS('ON Data'!W:W,'ON Data'!$D:$D,$A$4,'ON Data'!$E:$E,9),SUMIFS('ON Data'!W:W,'ON Data'!$E:$E,9))</f>
        <v>0</v>
      </c>
      <c r="S19" s="273">
        <f xml:space="preserve">
IF($A$4&lt;=12,SUMIFS('ON Data'!X:X,'ON Data'!$D:$D,$A$4,'ON Data'!$E:$E,9),SUMIFS('ON Data'!X:X,'ON Data'!$E:$E,9))</f>
        <v>0</v>
      </c>
      <c r="T19" s="273">
        <f xml:space="preserve">
IF($A$4&lt;=12,SUMIFS('ON Data'!Y:Y,'ON Data'!$D:$D,$A$4,'ON Data'!$E:$E,9),SUMIFS('ON Data'!Y:Y,'ON Data'!$E:$E,9))</f>
        <v>0</v>
      </c>
      <c r="U19" s="273">
        <f xml:space="preserve">
IF($A$4&lt;=12,SUMIFS('ON Data'!Z:Z,'ON Data'!$D:$D,$A$4,'ON Data'!$E:$E,9),SUMIFS('ON Data'!Z:Z,'ON Data'!$E:$E,9))</f>
        <v>215429</v>
      </c>
      <c r="V19" s="273">
        <f xml:space="preserve">
IF($A$4&lt;=12,SUMIFS('ON Data'!AA:AA,'ON Data'!$D:$D,$A$4,'ON Data'!$E:$E,9),SUMIFS('ON Data'!AA:AA,'ON Data'!$E:$E,9))</f>
        <v>0</v>
      </c>
      <c r="W19" s="273">
        <f xml:space="preserve">
IF($A$4&lt;=12,SUMIFS('ON Data'!AB:AB,'ON Data'!$D:$D,$A$4,'ON Data'!$E:$E,9),SUMIFS('ON Data'!AB:AB,'ON Data'!$E:$E,9))</f>
        <v>0</v>
      </c>
      <c r="X19" s="273">
        <f xml:space="preserve">
IF($A$4&lt;=12,SUMIFS('ON Data'!AC:AC,'ON Data'!$D:$D,$A$4,'ON Data'!$E:$E,9),SUMIFS('ON Data'!AC:AC,'ON Data'!$E:$E,9))</f>
        <v>0</v>
      </c>
      <c r="Y19" s="273">
        <f xml:space="preserve">
IF($A$4&lt;=12,SUMIFS('ON Data'!AD:AD,'ON Data'!$D:$D,$A$4,'ON Data'!$E:$E,9),SUMIFS('ON Data'!AD:AD,'ON Data'!$E:$E,9))</f>
        <v>0</v>
      </c>
      <c r="Z19" s="273">
        <f xml:space="preserve">
IF($A$4&lt;=12,SUMIFS('ON Data'!AE:AE,'ON Data'!$D:$D,$A$4,'ON Data'!$E:$E,9),SUMIFS('ON Data'!AE:AE,'ON Data'!$E:$E,9))</f>
        <v>0</v>
      </c>
      <c r="AA19" s="273">
        <f xml:space="preserve">
IF($A$4&lt;=12,SUMIFS('ON Data'!AF:AF,'ON Data'!$D:$D,$A$4,'ON Data'!$E:$E,9),SUMIFS('ON Data'!AF:AF,'ON Data'!$E:$E,9))</f>
        <v>0</v>
      </c>
      <c r="AB19" s="273">
        <f xml:space="preserve">
IF($A$4&lt;=12,SUMIFS('ON Data'!AG:AG,'ON Data'!$D:$D,$A$4,'ON Data'!$E:$E,9),SUMIFS('ON Data'!AG:AG,'ON Data'!$E:$E,9))</f>
        <v>0</v>
      </c>
      <c r="AC19" s="273">
        <f xml:space="preserve">
IF($A$4&lt;=12,SUMIFS('ON Data'!AH:AH,'ON Data'!$D:$D,$A$4,'ON Data'!$E:$E,9),SUMIFS('ON Data'!AH:AH,'ON Data'!$E:$E,9))</f>
        <v>10618</v>
      </c>
      <c r="AD19" s="273">
        <f xml:space="preserve">
IF($A$4&lt;=12,SUMIFS('ON Data'!AI:AI,'ON Data'!$D:$D,$A$4,'ON Data'!$E:$E,9),SUMIFS('ON Data'!AI:AI,'ON Data'!$E:$E,9))</f>
        <v>0</v>
      </c>
      <c r="AE19" s="273">
        <f xml:space="preserve">
IF($A$4&lt;=12,SUMIFS('ON Data'!AJ:AJ,'ON Data'!$D:$D,$A$4,'ON Data'!$E:$E,9),SUMIFS('ON Data'!AJ:AJ,'ON Data'!$E:$E,9))</f>
        <v>0</v>
      </c>
      <c r="AF19" s="273">
        <f xml:space="preserve">
IF($A$4&lt;=12,SUMIFS('ON Data'!AK:AK,'ON Data'!$D:$D,$A$4,'ON Data'!$E:$E,9),SUMIFS('ON Data'!AK:AK,'ON Data'!$E:$E,9))</f>
        <v>0</v>
      </c>
      <c r="AG19" s="597">
        <f xml:space="preserve">
IF($A$4&lt;=12,SUMIFS('ON Data'!AM:AM,'ON Data'!$D:$D,$A$4,'ON Data'!$E:$E,9),SUMIFS('ON Data'!AM:AM,'ON Data'!$E:$E,9))</f>
        <v>41231</v>
      </c>
      <c r="AH19" s="604"/>
    </row>
    <row r="20" spans="1:34" ht="15" collapsed="1" thickBot="1" x14ac:dyDescent="0.35">
      <c r="A20" s="249" t="s">
        <v>73</v>
      </c>
      <c r="B20" s="274">
        <f xml:space="preserve">
IF($A$4&lt;=12,SUMIFS('ON Data'!F:F,'ON Data'!$D:$D,$A$4,'ON Data'!$E:$E,6),SUMIFS('ON Data'!F:F,'ON Data'!$E:$E,6))</f>
        <v>10938907</v>
      </c>
      <c r="C20" s="275">
        <f xml:space="preserve">
IF($A$4&lt;=12,SUMIFS('ON Data'!G:G,'ON Data'!$D:$D,$A$4,'ON Data'!$E:$E,6),SUMIFS('ON Data'!G:G,'ON Data'!$E:$E,6))</f>
        <v>12400</v>
      </c>
      <c r="D20" s="276">
        <f xml:space="preserve">
IF($A$4&lt;=12,SUMIFS('ON Data'!H:H,'ON Data'!$D:$D,$A$4,'ON Data'!$E:$E,6),SUMIFS('ON Data'!H:H,'ON Data'!$E:$E,6))</f>
        <v>3948672</v>
      </c>
      <c r="E20" s="276">
        <f xml:space="preserve">
IF($A$4&lt;=12,SUMIFS('ON Data'!I:I,'ON Data'!$D:$D,$A$4,'ON Data'!$E:$E,6),SUMIFS('ON Data'!I:I,'ON Data'!$E:$E,6))</f>
        <v>0</v>
      </c>
      <c r="F20" s="276">
        <f xml:space="preserve">
IF($A$4&lt;=12,SUMIFS('ON Data'!K:K,'ON Data'!$D:$D,$A$4,'ON Data'!$E:$E,6),SUMIFS('ON Data'!K:K,'ON Data'!$E:$E,6))</f>
        <v>1130071</v>
      </c>
      <c r="G20" s="276">
        <f xml:space="preserve">
IF($A$4&lt;=12,SUMIFS('ON Data'!L:L,'ON Data'!$D:$D,$A$4,'ON Data'!$E:$E,6),SUMIFS('ON Data'!L:L,'ON Data'!$E:$E,6))</f>
        <v>150589</v>
      </c>
      <c r="H20" s="276">
        <f xml:space="preserve">
IF($A$4&lt;=12,SUMIFS('ON Data'!M:M,'ON Data'!$D:$D,$A$4,'ON Data'!$E:$E,6),SUMIFS('ON Data'!M:M,'ON Data'!$E:$E,6))</f>
        <v>0</v>
      </c>
      <c r="I20" s="276">
        <f xml:space="preserve">
IF($A$4&lt;=12,SUMIFS('ON Data'!N:N,'ON Data'!$D:$D,$A$4,'ON Data'!$E:$E,6),SUMIFS('ON Data'!N:N,'ON Data'!$E:$E,6))</f>
        <v>1925506</v>
      </c>
      <c r="J20" s="276">
        <f xml:space="preserve">
IF($A$4&lt;=12,SUMIFS('ON Data'!O:O,'ON Data'!$D:$D,$A$4,'ON Data'!$E:$E,6),SUMIFS('ON Data'!O:O,'ON Data'!$E:$E,6))</f>
        <v>0</v>
      </c>
      <c r="K20" s="276">
        <f xml:space="preserve">
IF($A$4&lt;=12,SUMIFS('ON Data'!P:P,'ON Data'!$D:$D,$A$4,'ON Data'!$E:$E,6),SUMIFS('ON Data'!P:P,'ON Data'!$E:$E,6))</f>
        <v>0</v>
      </c>
      <c r="L20" s="276">
        <f xml:space="preserve">
IF($A$4&lt;=12,SUMIFS('ON Data'!Q:Q,'ON Data'!$D:$D,$A$4,'ON Data'!$E:$E,6),SUMIFS('ON Data'!Q:Q,'ON Data'!$E:$E,6))</f>
        <v>0</v>
      </c>
      <c r="M20" s="276">
        <f xml:space="preserve">
IF($A$4&lt;=12,SUMIFS('ON Data'!R:R,'ON Data'!$D:$D,$A$4,'ON Data'!$E:$E,6),SUMIFS('ON Data'!R:R,'ON Data'!$E:$E,6))</f>
        <v>0</v>
      </c>
      <c r="N20" s="276">
        <f xml:space="preserve">
IF($A$4&lt;=12,SUMIFS('ON Data'!S:S,'ON Data'!$D:$D,$A$4,'ON Data'!$E:$E,6),SUMIFS('ON Data'!S:S,'ON Data'!$E:$E,6))</f>
        <v>0</v>
      </c>
      <c r="O20" s="276">
        <f xml:space="preserve">
IF($A$4&lt;=12,SUMIFS('ON Data'!T:T,'ON Data'!$D:$D,$A$4,'ON Data'!$E:$E,6),SUMIFS('ON Data'!T:T,'ON Data'!$E:$E,6))</f>
        <v>0</v>
      </c>
      <c r="P20" s="276">
        <f xml:space="preserve">
IF($A$4&lt;=12,SUMIFS('ON Data'!U:U,'ON Data'!$D:$D,$A$4,'ON Data'!$E:$E,6),SUMIFS('ON Data'!U:U,'ON Data'!$E:$E,6))</f>
        <v>0</v>
      </c>
      <c r="Q20" s="276">
        <f xml:space="preserve">
IF($A$4&lt;=12,SUMIFS('ON Data'!V:V,'ON Data'!$D:$D,$A$4,'ON Data'!$E:$E,6),SUMIFS('ON Data'!V:V,'ON Data'!$E:$E,6))</f>
        <v>0</v>
      </c>
      <c r="R20" s="276">
        <f xml:space="preserve">
IF($A$4&lt;=12,SUMIFS('ON Data'!W:W,'ON Data'!$D:$D,$A$4,'ON Data'!$E:$E,6),SUMIFS('ON Data'!W:W,'ON Data'!$E:$E,6))</f>
        <v>0</v>
      </c>
      <c r="S20" s="276">
        <f xml:space="preserve">
IF($A$4&lt;=12,SUMIFS('ON Data'!X:X,'ON Data'!$D:$D,$A$4,'ON Data'!$E:$E,6),SUMIFS('ON Data'!X:X,'ON Data'!$E:$E,6))</f>
        <v>0</v>
      </c>
      <c r="T20" s="276">
        <f xml:space="preserve">
IF($A$4&lt;=12,SUMIFS('ON Data'!Y:Y,'ON Data'!$D:$D,$A$4,'ON Data'!$E:$E,6),SUMIFS('ON Data'!Y:Y,'ON Data'!$E:$E,6))</f>
        <v>0</v>
      </c>
      <c r="U20" s="276">
        <f xml:space="preserve">
IF($A$4&lt;=12,SUMIFS('ON Data'!Z:Z,'ON Data'!$D:$D,$A$4,'ON Data'!$E:$E,6),SUMIFS('ON Data'!Z:Z,'ON Data'!$E:$E,6))</f>
        <v>3130480</v>
      </c>
      <c r="V20" s="276">
        <f xml:space="preserve">
IF($A$4&lt;=12,SUMIFS('ON Data'!AA:AA,'ON Data'!$D:$D,$A$4,'ON Data'!$E:$E,6),SUMIFS('ON Data'!AA:AA,'ON Data'!$E:$E,6))</f>
        <v>0</v>
      </c>
      <c r="W20" s="276">
        <f xml:space="preserve">
IF($A$4&lt;=12,SUMIFS('ON Data'!AB:AB,'ON Data'!$D:$D,$A$4,'ON Data'!$E:$E,6),SUMIFS('ON Data'!AB:AB,'ON Data'!$E:$E,6))</f>
        <v>0</v>
      </c>
      <c r="X20" s="276">
        <f xml:space="preserve">
IF($A$4&lt;=12,SUMIFS('ON Data'!AC:AC,'ON Data'!$D:$D,$A$4,'ON Data'!$E:$E,6),SUMIFS('ON Data'!AC:AC,'ON Data'!$E:$E,6))</f>
        <v>0</v>
      </c>
      <c r="Y20" s="276">
        <f xml:space="preserve">
IF($A$4&lt;=12,SUMIFS('ON Data'!AD:AD,'ON Data'!$D:$D,$A$4,'ON Data'!$E:$E,6),SUMIFS('ON Data'!AD:AD,'ON Data'!$E:$E,6))</f>
        <v>0</v>
      </c>
      <c r="Z20" s="276">
        <f xml:space="preserve">
IF($A$4&lt;=12,SUMIFS('ON Data'!AE:AE,'ON Data'!$D:$D,$A$4,'ON Data'!$E:$E,6),SUMIFS('ON Data'!AE:AE,'ON Data'!$E:$E,6))</f>
        <v>0</v>
      </c>
      <c r="AA20" s="276">
        <f xml:space="preserve">
IF($A$4&lt;=12,SUMIFS('ON Data'!AF:AF,'ON Data'!$D:$D,$A$4,'ON Data'!$E:$E,6),SUMIFS('ON Data'!AF:AF,'ON Data'!$E:$E,6))</f>
        <v>0</v>
      </c>
      <c r="AB20" s="276">
        <f xml:space="preserve">
IF($A$4&lt;=12,SUMIFS('ON Data'!AG:AG,'ON Data'!$D:$D,$A$4,'ON Data'!$E:$E,6),SUMIFS('ON Data'!AG:AG,'ON Data'!$E:$E,6))</f>
        <v>0</v>
      </c>
      <c r="AC20" s="276">
        <f xml:space="preserve">
IF($A$4&lt;=12,SUMIFS('ON Data'!AH:AH,'ON Data'!$D:$D,$A$4,'ON Data'!$E:$E,6),SUMIFS('ON Data'!AH:AH,'ON Data'!$E:$E,6))</f>
        <v>149438</v>
      </c>
      <c r="AD20" s="276">
        <f xml:space="preserve">
IF($A$4&lt;=12,SUMIFS('ON Data'!AI:AI,'ON Data'!$D:$D,$A$4,'ON Data'!$E:$E,6),SUMIFS('ON Data'!AI:AI,'ON Data'!$E:$E,6))</f>
        <v>0</v>
      </c>
      <c r="AE20" s="276">
        <f xml:space="preserve">
IF($A$4&lt;=12,SUMIFS('ON Data'!AJ:AJ,'ON Data'!$D:$D,$A$4,'ON Data'!$E:$E,6),SUMIFS('ON Data'!AJ:AJ,'ON Data'!$E:$E,6))</f>
        <v>0</v>
      </c>
      <c r="AF20" s="276">
        <f xml:space="preserve">
IF($A$4&lt;=12,SUMIFS('ON Data'!AK:AK,'ON Data'!$D:$D,$A$4,'ON Data'!$E:$E,6),SUMIFS('ON Data'!AK:AK,'ON Data'!$E:$E,6))</f>
        <v>0</v>
      </c>
      <c r="AG20" s="598">
        <f xml:space="preserve">
IF($A$4&lt;=12,SUMIFS('ON Data'!AM:AM,'ON Data'!$D:$D,$A$4,'ON Data'!$E:$E,6),SUMIFS('ON Data'!AM:AM,'ON Data'!$E:$E,6))</f>
        <v>491751</v>
      </c>
      <c r="AH20" s="604"/>
    </row>
    <row r="21" spans="1:34" ht="15" hidden="1" outlineLevel="1" thickBot="1" x14ac:dyDescent="0.35">
      <c r="A21" s="242" t="s">
        <v>108</v>
      </c>
      <c r="B21" s="262">
        <f xml:space="preserve">
IF($A$4&lt;=12,SUMIFS('ON Data'!F:F,'ON Data'!$D:$D,$A$4,'ON Data'!$E:$E,12),SUMIFS('ON Data'!F:F,'ON Data'!$E:$E,12))</f>
        <v>0</v>
      </c>
      <c r="C21" s="263">
        <f xml:space="preserve">
IF($A$4&lt;=12,SUMIFS('ON Data'!G:G,'ON Data'!$D:$D,$A$4,'ON Data'!$E:$E,12),SUMIFS('ON Data'!G:G,'ON Data'!$E:$E,12))</f>
        <v>0</v>
      </c>
      <c r="D21" s="264">
        <f xml:space="preserve">
IF($A$4&lt;=12,SUMIFS('ON Data'!H:H,'ON Data'!$D:$D,$A$4,'ON Data'!$E:$E,12),SUMIFS('ON Data'!H:H,'ON Data'!$E:$E,12))</f>
        <v>0</v>
      </c>
      <c r="E21" s="264">
        <f xml:space="preserve">
IF($A$4&lt;=12,SUMIFS('ON Data'!I:I,'ON Data'!$D:$D,$A$4,'ON Data'!$E:$E,12),SUMIFS('ON Data'!I:I,'ON Data'!$E:$E,12))</f>
        <v>0</v>
      </c>
      <c r="F21" s="264">
        <f xml:space="preserve">
IF($A$4&lt;=12,SUMIFS('ON Data'!K:K,'ON Data'!$D:$D,$A$4,'ON Data'!$E:$E,12),SUMIFS('ON Data'!K:K,'ON Data'!$E:$E,12))</f>
        <v>0</v>
      </c>
      <c r="G21" s="264">
        <f xml:space="preserve">
IF($A$4&lt;=12,SUMIFS('ON Data'!L:L,'ON Data'!$D:$D,$A$4,'ON Data'!$E:$E,12),SUMIFS('ON Data'!L:L,'ON Data'!$E:$E,12))</f>
        <v>0</v>
      </c>
      <c r="H21" s="264">
        <f xml:space="preserve">
IF($A$4&lt;=12,SUMIFS('ON Data'!M:M,'ON Data'!$D:$D,$A$4,'ON Data'!$E:$E,12),SUMIFS('ON Data'!M:M,'ON Data'!$E:$E,12))</f>
        <v>0</v>
      </c>
      <c r="I21" s="264">
        <f xml:space="preserve">
IF($A$4&lt;=12,SUMIFS('ON Data'!N:N,'ON Data'!$D:$D,$A$4,'ON Data'!$E:$E,12),SUMIFS('ON Data'!N:N,'ON Data'!$E:$E,12))</f>
        <v>0</v>
      </c>
      <c r="J21" s="264">
        <f xml:space="preserve">
IF($A$4&lt;=12,SUMIFS('ON Data'!O:O,'ON Data'!$D:$D,$A$4,'ON Data'!$E:$E,12),SUMIFS('ON Data'!O:O,'ON Data'!$E:$E,12))</f>
        <v>0</v>
      </c>
      <c r="K21" s="264">
        <f xml:space="preserve">
IF($A$4&lt;=12,SUMIFS('ON Data'!P:P,'ON Data'!$D:$D,$A$4,'ON Data'!$E:$E,12),SUMIFS('ON Data'!P:P,'ON Data'!$E:$E,12))</f>
        <v>0</v>
      </c>
      <c r="L21" s="264">
        <f xml:space="preserve">
IF($A$4&lt;=12,SUMIFS('ON Data'!Q:Q,'ON Data'!$D:$D,$A$4,'ON Data'!$E:$E,12),SUMIFS('ON Data'!Q:Q,'ON Data'!$E:$E,12))</f>
        <v>0</v>
      </c>
      <c r="M21" s="264">
        <f xml:space="preserve">
IF($A$4&lt;=12,SUMIFS('ON Data'!R:R,'ON Data'!$D:$D,$A$4,'ON Data'!$E:$E,12),SUMIFS('ON Data'!R:R,'ON Data'!$E:$E,12))</f>
        <v>0</v>
      </c>
      <c r="N21" s="264">
        <f xml:space="preserve">
IF($A$4&lt;=12,SUMIFS('ON Data'!S:S,'ON Data'!$D:$D,$A$4,'ON Data'!$E:$E,12),SUMIFS('ON Data'!S:S,'ON Data'!$E:$E,12))</f>
        <v>0</v>
      </c>
      <c r="O21" s="264">
        <f xml:space="preserve">
IF($A$4&lt;=12,SUMIFS('ON Data'!T:T,'ON Data'!$D:$D,$A$4,'ON Data'!$E:$E,12),SUMIFS('ON Data'!T:T,'ON Data'!$E:$E,12))</f>
        <v>0</v>
      </c>
      <c r="P21" s="264">
        <f xml:space="preserve">
IF($A$4&lt;=12,SUMIFS('ON Data'!U:U,'ON Data'!$D:$D,$A$4,'ON Data'!$E:$E,12),SUMIFS('ON Data'!U:U,'ON Data'!$E:$E,12))</f>
        <v>0</v>
      </c>
      <c r="Q21" s="264">
        <f xml:space="preserve">
IF($A$4&lt;=12,SUMIFS('ON Data'!V:V,'ON Data'!$D:$D,$A$4,'ON Data'!$E:$E,12),SUMIFS('ON Data'!V:V,'ON Data'!$E:$E,12))</f>
        <v>0</v>
      </c>
      <c r="R21" s="264">
        <f xml:space="preserve">
IF($A$4&lt;=12,SUMIFS('ON Data'!W:W,'ON Data'!$D:$D,$A$4,'ON Data'!$E:$E,12),SUMIFS('ON Data'!W:W,'ON Data'!$E:$E,12))</f>
        <v>0</v>
      </c>
      <c r="S21" s="264">
        <f xml:space="preserve">
IF($A$4&lt;=12,SUMIFS('ON Data'!X:X,'ON Data'!$D:$D,$A$4,'ON Data'!$E:$E,12),SUMIFS('ON Data'!X:X,'ON Data'!$E:$E,12))</f>
        <v>0</v>
      </c>
      <c r="T21" s="264">
        <f xml:space="preserve">
IF($A$4&lt;=12,SUMIFS('ON Data'!Y:Y,'ON Data'!$D:$D,$A$4,'ON Data'!$E:$E,12),SUMIFS('ON Data'!Y:Y,'ON Data'!$E:$E,12))</f>
        <v>0</v>
      </c>
      <c r="U21" s="264">
        <f xml:space="preserve">
IF($A$4&lt;=12,SUMIFS('ON Data'!Z:Z,'ON Data'!$D:$D,$A$4,'ON Data'!$E:$E,12),SUMIFS('ON Data'!Z:Z,'ON Data'!$E:$E,12))</f>
        <v>0</v>
      </c>
      <c r="V21" s="264">
        <f xml:space="preserve">
IF($A$4&lt;=12,SUMIFS('ON Data'!AA:AA,'ON Data'!$D:$D,$A$4,'ON Data'!$E:$E,12),SUMIFS('ON Data'!AA:AA,'ON Data'!$E:$E,12))</f>
        <v>0</v>
      </c>
      <c r="W21" s="264">
        <f xml:space="preserve">
IF($A$4&lt;=12,SUMIFS('ON Data'!AB:AB,'ON Data'!$D:$D,$A$4,'ON Data'!$E:$E,12),SUMIFS('ON Data'!AB:AB,'ON Data'!$E:$E,12))</f>
        <v>0</v>
      </c>
      <c r="X21" s="264">
        <f xml:space="preserve">
IF($A$4&lt;=12,SUMIFS('ON Data'!AC:AC,'ON Data'!$D:$D,$A$4,'ON Data'!$E:$E,12),SUMIFS('ON Data'!AC:AC,'ON Data'!$E:$E,12))</f>
        <v>0</v>
      </c>
      <c r="Y21" s="264">
        <f xml:space="preserve">
IF($A$4&lt;=12,SUMIFS('ON Data'!AD:AD,'ON Data'!$D:$D,$A$4,'ON Data'!$E:$E,12),SUMIFS('ON Data'!AD:AD,'ON Data'!$E:$E,12))</f>
        <v>0</v>
      </c>
      <c r="Z21" s="264">
        <f xml:space="preserve">
IF($A$4&lt;=12,SUMIFS('ON Data'!AE:AE,'ON Data'!$D:$D,$A$4,'ON Data'!$E:$E,12),SUMIFS('ON Data'!AE:AE,'ON Data'!$E:$E,12))</f>
        <v>0</v>
      </c>
      <c r="AA21" s="264">
        <f xml:space="preserve">
IF($A$4&lt;=12,SUMIFS('ON Data'!AF:AF,'ON Data'!$D:$D,$A$4,'ON Data'!$E:$E,12),SUMIFS('ON Data'!AF:AF,'ON Data'!$E:$E,12))</f>
        <v>0</v>
      </c>
      <c r="AB21" s="264">
        <f xml:space="preserve">
IF($A$4&lt;=12,SUMIFS('ON Data'!AG:AG,'ON Data'!$D:$D,$A$4,'ON Data'!$E:$E,12),SUMIFS('ON Data'!AG:AG,'ON Data'!$E:$E,12))</f>
        <v>0</v>
      </c>
      <c r="AC21" s="264">
        <f xml:space="preserve">
IF($A$4&lt;=12,SUMIFS('ON Data'!AH:AH,'ON Data'!$D:$D,$A$4,'ON Data'!$E:$E,12),SUMIFS('ON Data'!AH:AH,'ON Data'!$E:$E,12))</f>
        <v>0</v>
      </c>
      <c r="AD21" s="264">
        <f xml:space="preserve">
IF($A$4&lt;=12,SUMIFS('ON Data'!AI:AI,'ON Data'!$D:$D,$A$4,'ON Data'!$E:$E,12),SUMIFS('ON Data'!AI:AI,'ON Data'!$E:$E,12))</f>
        <v>0</v>
      </c>
      <c r="AE21" s="264">
        <f xml:space="preserve">
IF($A$4&lt;=12,SUMIFS('ON Data'!AJ:AJ,'ON Data'!$D:$D,$A$4,'ON Data'!$E:$E,12),SUMIFS('ON Data'!AJ:AJ,'ON Data'!$E:$E,12))</f>
        <v>0</v>
      </c>
      <c r="AF21" s="264">
        <f xml:space="preserve">
IF($A$4&lt;=12,SUMIFS('ON Data'!AK:AK,'ON Data'!$D:$D,$A$4,'ON Data'!$E:$E,12),SUMIFS('ON Data'!AK:AK,'ON Data'!$E:$E,12))</f>
        <v>0</v>
      </c>
      <c r="AG21" s="594">
        <f xml:space="preserve">
IF($A$4&lt;=12,SUMIFS('ON Data'!AM:AM,'ON Data'!$D:$D,$A$4,'ON Data'!$E:$E,12),SUMIFS('ON Data'!AM:AM,'ON Data'!$E:$E,12))</f>
        <v>0</v>
      </c>
      <c r="AH21" s="604"/>
    </row>
    <row r="22" spans="1:34" ht="15" hidden="1" outlineLevel="1" thickBot="1" x14ac:dyDescent="0.35">
      <c r="A22" s="242" t="s">
        <v>75</v>
      </c>
      <c r="B22" s="318" t="str">
        <f xml:space="preserve">
IF(OR(B21="",B21=0),"",B20/B21)</f>
        <v/>
      </c>
      <c r="C22" s="319" t="str">
        <f t="shared" ref="C22:AG22" si="2" xml:space="preserve">
IF(OR(C21="",C21=0),"",C20/C21)</f>
        <v/>
      </c>
      <c r="D22" s="320" t="str">
        <f t="shared" si="2"/>
        <v/>
      </c>
      <c r="E22" s="320" t="str">
        <f t="shared" si="2"/>
        <v/>
      </c>
      <c r="F22" s="320" t="str">
        <f t="shared" si="2"/>
        <v/>
      </c>
      <c r="G22" s="320" t="str">
        <f t="shared" si="2"/>
        <v/>
      </c>
      <c r="H22" s="320" t="str">
        <f t="shared" si="2"/>
        <v/>
      </c>
      <c r="I22" s="320" t="str">
        <f t="shared" si="2"/>
        <v/>
      </c>
      <c r="J22" s="320" t="str">
        <f t="shared" si="2"/>
        <v/>
      </c>
      <c r="K22" s="320" t="str">
        <f t="shared" si="2"/>
        <v/>
      </c>
      <c r="L22" s="320" t="str">
        <f t="shared" si="2"/>
        <v/>
      </c>
      <c r="M22" s="320" t="str">
        <f t="shared" si="2"/>
        <v/>
      </c>
      <c r="N22" s="320" t="str">
        <f t="shared" si="2"/>
        <v/>
      </c>
      <c r="O22" s="320" t="str">
        <f t="shared" si="2"/>
        <v/>
      </c>
      <c r="P22" s="320" t="str">
        <f t="shared" si="2"/>
        <v/>
      </c>
      <c r="Q22" s="320" t="str">
        <f t="shared" si="2"/>
        <v/>
      </c>
      <c r="R22" s="320" t="str">
        <f t="shared" si="2"/>
        <v/>
      </c>
      <c r="S22" s="320" t="str">
        <f t="shared" si="2"/>
        <v/>
      </c>
      <c r="T22" s="320" t="str">
        <f t="shared" si="2"/>
        <v/>
      </c>
      <c r="U22" s="320" t="str">
        <f t="shared" si="2"/>
        <v/>
      </c>
      <c r="V22" s="320" t="str">
        <f t="shared" si="2"/>
        <v/>
      </c>
      <c r="W22" s="320" t="str">
        <f t="shared" si="2"/>
        <v/>
      </c>
      <c r="X22" s="320" t="str">
        <f t="shared" si="2"/>
        <v/>
      </c>
      <c r="Y22" s="320" t="str">
        <f t="shared" si="2"/>
        <v/>
      </c>
      <c r="Z22" s="320" t="str">
        <f t="shared" si="2"/>
        <v/>
      </c>
      <c r="AA22" s="320" t="str">
        <f t="shared" si="2"/>
        <v/>
      </c>
      <c r="AB22" s="320" t="str">
        <f t="shared" si="2"/>
        <v/>
      </c>
      <c r="AC22" s="320" t="str">
        <f t="shared" si="2"/>
        <v/>
      </c>
      <c r="AD22" s="320" t="str">
        <f t="shared" si="2"/>
        <v/>
      </c>
      <c r="AE22" s="320" t="str">
        <f t="shared" si="2"/>
        <v/>
      </c>
      <c r="AF22" s="320" t="str">
        <f t="shared" si="2"/>
        <v/>
      </c>
      <c r="AG22" s="599" t="str">
        <f t="shared" si="2"/>
        <v/>
      </c>
      <c r="AH22" s="604"/>
    </row>
    <row r="23" spans="1:34" ht="15" hidden="1" outlineLevel="1" thickBot="1" x14ac:dyDescent="0.35">
      <c r="A23" s="250" t="s">
        <v>68</v>
      </c>
      <c r="B23" s="265">
        <f xml:space="preserve">
IF(B21="","",B20-B21)</f>
        <v>10938907</v>
      </c>
      <c r="C23" s="266">
        <f t="shared" ref="C23:AG23" si="3" xml:space="preserve">
IF(C21="","",C20-C21)</f>
        <v>12400</v>
      </c>
      <c r="D23" s="267">
        <f t="shared" si="3"/>
        <v>3948672</v>
      </c>
      <c r="E23" s="267">
        <f t="shared" si="3"/>
        <v>0</v>
      </c>
      <c r="F23" s="267">
        <f t="shared" si="3"/>
        <v>1130071</v>
      </c>
      <c r="G23" s="267">
        <f t="shared" si="3"/>
        <v>150589</v>
      </c>
      <c r="H23" s="267">
        <f t="shared" si="3"/>
        <v>0</v>
      </c>
      <c r="I23" s="267">
        <f t="shared" si="3"/>
        <v>1925506</v>
      </c>
      <c r="J23" s="267">
        <f t="shared" si="3"/>
        <v>0</v>
      </c>
      <c r="K23" s="267">
        <f t="shared" si="3"/>
        <v>0</v>
      </c>
      <c r="L23" s="267">
        <f t="shared" si="3"/>
        <v>0</v>
      </c>
      <c r="M23" s="267">
        <f t="shared" si="3"/>
        <v>0</v>
      </c>
      <c r="N23" s="267">
        <f t="shared" si="3"/>
        <v>0</v>
      </c>
      <c r="O23" s="267">
        <f t="shared" si="3"/>
        <v>0</v>
      </c>
      <c r="P23" s="267">
        <f t="shared" si="3"/>
        <v>0</v>
      </c>
      <c r="Q23" s="267">
        <f t="shared" si="3"/>
        <v>0</v>
      </c>
      <c r="R23" s="267">
        <f t="shared" si="3"/>
        <v>0</v>
      </c>
      <c r="S23" s="267">
        <f t="shared" si="3"/>
        <v>0</v>
      </c>
      <c r="T23" s="267">
        <f t="shared" si="3"/>
        <v>0</v>
      </c>
      <c r="U23" s="267">
        <f t="shared" si="3"/>
        <v>3130480</v>
      </c>
      <c r="V23" s="267">
        <f t="shared" si="3"/>
        <v>0</v>
      </c>
      <c r="W23" s="267">
        <f t="shared" si="3"/>
        <v>0</v>
      </c>
      <c r="X23" s="267">
        <f t="shared" si="3"/>
        <v>0</v>
      </c>
      <c r="Y23" s="267">
        <f t="shared" si="3"/>
        <v>0</v>
      </c>
      <c r="Z23" s="267">
        <f t="shared" si="3"/>
        <v>0</v>
      </c>
      <c r="AA23" s="267">
        <f t="shared" si="3"/>
        <v>0</v>
      </c>
      <c r="AB23" s="267">
        <f t="shared" si="3"/>
        <v>0</v>
      </c>
      <c r="AC23" s="267">
        <f t="shared" si="3"/>
        <v>149438</v>
      </c>
      <c r="AD23" s="267">
        <f t="shared" si="3"/>
        <v>0</v>
      </c>
      <c r="AE23" s="267">
        <f t="shared" si="3"/>
        <v>0</v>
      </c>
      <c r="AF23" s="267">
        <f t="shared" si="3"/>
        <v>0</v>
      </c>
      <c r="AG23" s="595">
        <f t="shared" si="3"/>
        <v>491751</v>
      </c>
      <c r="AH23" s="604"/>
    </row>
    <row r="24" spans="1:34" x14ac:dyDescent="0.3">
      <c r="A24" s="244" t="s">
        <v>221</v>
      </c>
      <c r="B24" s="291" t="s">
        <v>3</v>
      </c>
      <c r="C24" s="605" t="s">
        <v>232</v>
      </c>
      <c r="D24" s="579"/>
      <c r="E24" s="580"/>
      <c r="F24" s="580" t="s">
        <v>233</v>
      </c>
      <c r="G24" s="580"/>
      <c r="H24" s="580"/>
      <c r="I24" s="580"/>
      <c r="J24" s="580"/>
      <c r="K24" s="580"/>
      <c r="L24" s="580"/>
      <c r="M24" s="580"/>
      <c r="N24" s="580"/>
      <c r="O24" s="580"/>
      <c r="P24" s="580"/>
      <c r="Q24" s="580"/>
      <c r="R24" s="580"/>
      <c r="S24" s="580"/>
      <c r="T24" s="580"/>
      <c r="U24" s="580"/>
      <c r="V24" s="580"/>
      <c r="W24" s="580"/>
      <c r="X24" s="580"/>
      <c r="Y24" s="580"/>
      <c r="Z24" s="580"/>
      <c r="AA24" s="580"/>
      <c r="AB24" s="580"/>
      <c r="AC24" s="580"/>
      <c r="AD24" s="580"/>
      <c r="AE24" s="580"/>
      <c r="AF24" s="580"/>
      <c r="AG24" s="600" t="s">
        <v>234</v>
      </c>
      <c r="AH24" s="604"/>
    </row>
    <row r="25" spans="1:34" x14ac:dyDescent="0.3">
      <c r="A25" s="245" t="s">
        <v>73</v>
      </c>
      <c r="B25" s="262">
        <f xml:space="preserve">
SUM(C25:AG25)</f>
        <v>95988</v>
      </c>
      <c r="C25" s="606">
        <f xml:space="preserve">
IF($A$4&lt;=12,SUMIFS('ON Data'!H:H,'ON Data'!$D:$D,$A$4,'ON Data'!$E:$E,10),SUMIFS('ON Data'!H:H,'ON Data'!$E:$E,10))</f>
        <v>16700</v>
      </c>
      <c r="D25" s="581"/>
      <c r="E25" s="582"/>
      <c r="F25" s="582">
        <f xml:space="preserve">
IF($A$4&lt;=12,SUMIFS('ON Data'!K:K,'ON Data'!$D:$D,$A$4,'ON Data'!$E:$E,10),SUMIFS('ON Data'!K:K,'ON Data'!$E:$E,10))</f>
        <v>79288</v>
      </c>
      <c r="G25" s="582"/>
      <c r="H25" s="582"/>
      <c r="I25" s="582"/>
      <c r="J25" s="582"/>
      <c r="K25" s="582"/>
      <c r="L25" s="582"/>
      <c r="M25" s="582"/>
      <c r="N25" s="582"/>
      <c r="O25" s="582"/>
      <c r="P25" s="582"/>
      <c r="Q25" s="582"/>
      <c r="R25" s="582"/>
      <c r="S25" s="582"/>
      <c r="T25" s="582"/>
      <c r="U25" s="582"/>
      <c r="V25" s="582"/>
      <c r="W25" s="582"/>
      <c r="X25" s="582"/>
      <c r="Y25" s="582"/>
      <c r="Z25" s="582"/>
      <c r="AA25" s="582"/>
      <c r="AB25" s="582"/>
      <c r="AC25" s="582"/>
      <c r="AD25" s="582"/>
      <c r="AE25" s="582"/>
      <c r="AF25" s="582"/>
      <c r="AG25" s="601">
        <f xml:space="preserve">
IF($A$4&lt;=12,SUMIFS('ON Data'!AM:AM,'ON Data'!$D:$D,$A$4,'ON Data'!$E:$E,10),SUMIFS('ON Data'!AM:AM,'ON Data'!$E:$E,10))</f>
        <v>0</v>
      </c>
      <c r="AH25" s="604"/>
    </row>
    <row r="26" spans="1:34" x14ac:dyDescent="0.3">
      <c r="A26" s="251" t="s">
        <v>231</v>
      </c>
      <c r="B26" s="271">
        <f xml:space="preserve">
SUM(C26:AG26)</f>
        <v>70599</v>
      </c>
      <c r="C26" s="606">
        <f xml:space="preserve">
IF($A$4&lt;=12,SUMIFS('ON Data'!H:H,'ON Data'!$D:$D,$A$4,'ON Data'!$E:$E,11),SUMIFS('ON Data'!H:H,'ON Data'!$E:$E,11))</f>
        <v>21599</v>
      </c>
      <c r="D26" s="581"/>
      <c r="E26" s="582"/>
      <c r="F26" s="583">
        <f xml:space="preserve">
IF($A$4&lt;=12,SUMIFS('ON Data'!K:K,'ON Data'!$D:$D,$A$4,'ON Data'!$E:$E,11),SUMIFS('ON Data'!K:K,'ON Data'!$E:$E,11))</f>
        <v>49000.000000000007</v>
      </c>
      <c r="G26" s="583"/>
      <c r="H26" s="583"/>
      <c r="I26" s="583"/>
      <c r="J26" s="583"/>
      <c r="K26" s="583"/>
      <c r="L26" s="583"/>
      <c r="M26" s="583"/>
      <c r="N26" s="583"/>
      <c r="O26" s="583"/>
      <c r="P26" s="583"/>
      <c r="Q26" s="583"/>
      <c r="R26" s="583"/>
      <c r="S26" s="583"/>
      <c r="T26" s="583"/>
      <c r="U26" s="583"/>
      <c r="V26" s="583"/>
      <c r="W26" s="583"/>
      <c r="X26" s="583"/>
      <c r="Y26" s="583"/>
      <c r="Z26" s="583"/>
      <c r="AA26" s="583"/>
      <c r="AB26" s="583"/>
      <c r="AC26" s="583"/>
      <c r="AD26" s="583"/>
      <c r="AE26" s="583"/>
      <c r="AF26" s="583"/>
      <c r="AG26" s="601">
        <f xml:space="preserve">
IF($A$4&lt;=12,SUMIFS('ON Data'!AM:AM,'ON Data'!$D:$D,$A$4,'ON Data'!$E:$E,11),SUMIFS('ON Data'!AM:AM,'ON Data'!$E:$E,11))</f>
        <v>0</v>
      </c>
      <c r="AH26" s="604"/>
    </row>
    <row r="27" spans="1:34" x14ac:dyDescent="0.3">
      <c r="A27" s="251" t="s">
        <v>75</v>
      </c>
      <c r="B27" s="292">
        <f xml:space="preserve">
IF(B26=0,0,B25/B26)</f>
        <v>1.3596226575447243</v>
      </c>
      <c r="C27" s="607">
        <f xml:space="preserve">
IF(C26=0,0,C25/C26)</f>
        <v>0.77318394370109722</v>
      </c>
      <c r="D27" s="584"/>
      <c r="E27" s="585"/>
      <c r="F27" s="585">
        <f xml:space="preserve">
IF(F26=0,0,F25/F26)</f>
        <v>1.6181224489795916</v>
      </c>
      <c r="G27" s="585"/>
      <c r="H27" s="585"/>
      <c r="I27" s="585"/>
      <c r="J27" s="585"/>
      <c r="K27" s="585"/>
      <c r="L27" s="585"/>
      <c r="M27" s="585"/>
      <c r="N27" s="585"/>
      <c r="O27" s="585"/>
      <c r="P27" s="585"/>
      <c r="Q27" s="585"/>
      <c r="R27" s="585"/>
      <c r="S27" s="585"/>
      <c r="T27" s="585"/>
      <c r="U27" s="585"/>
      <c r="V27" s="585"/>
      <c r="W27" s="585"/>
      <c r="X27" s="585"/>
      <c r="Y27" s="585"/>
      <c r="Z27" s="585"/>
      <c r="AA27" s="585"/>
      <c r="AB27" s="585"/>
      <c r="AC27" s="585"/>
      <c r="AD27" s="585"/>
      <c r="AE27" s="585"/>
      <c r="AF27" s="585"/>
      <c r="AG27" s="602">
        <f xml:space="preserve">
IF(AG26=0,0,AG25/AG26)</f>
        <v>0</v>
      </c>
      <c r="AH27" s="604"/>
    </row>
    <row r="28" spans="1:34" ht="15" thickBot="1" x14ac:dyDescent="0.35">
      <c r="A28" s="251" t="s">
        <v>230</v>
      </c>
      <c r="B28" s="271">
        <f xml:space="preserve">
SUM(C28:AG28)</f>
        <v>-25388.999999999993</v>
      </c>
      <c r="C28" s="608">
        <f xml:space="preserve">
C26-C25</f>
        <v>4899</v>
      </c>
      <c r="D28" s="586"/>
      <c r="E28" s="587"/>
      <c r="F28" s="587">
        <f xml:space="preserve">
F26-F25</f>
        <v>-30287.999999999993</v>
      </c>
      <c r="G28" s="587"/>
      <c r="H28" s="587"/>
      <c r="I28" s="587"/>
      <c r="J28" s="587"/>
      <c r="K28" s="587"/>
      <c r="L28" s="587"/>
      <c r="M28" s="587"/>
      <c r="N28" s="587"/>
      <c r="O28" s="587"/>
      <c r="P28" s="587"/>
      <c r="Q28" s="587"/>
      <c r="R28" s="587"/>
      <c r="S28" s="587"/>
      <c r="T28" s="587"/>
      <c r="U28" s="587"/>
      <c r="V28" s="587"/>
      <c r="W28" s="587"/>
      <c r="X28" s="587"/>
      <c r="Y28" s="587"/>
      <c r="Z28" s="587"/>
      <c r="AA28" s="587"/>
      <c r="AB28" s="587"/>
      <c r="AC28" s="587"/>
      <c r="AD28" s="587"/>
      <c r="AE28" s="587"/>
      <c r="AF28" s="587"/>
      <c r="AG28" s="603">
        <f xml:space="preserve">
AG26-AG25</f>
        <v>0</v>
      </c>
      <c r="AH28" s="604"/>
    </row>
    <row r="29" spans="1:34" x14ac:dyDescent="0.3">
      <c r="A29" s="252"/>
      <c r="B29" s="252"/>
      <c r="C29" s="253"/>
      <c r="D29" s="252"/>
      <c r="E29" s="252"/>
      <c r="F29" s="253"/>
      <c r="G29" s="253"/>
      <c r="H29" s="253"/>
      <c r="I29" s="253"/>
      <c r="J29" s="253"/>
      <c r="K29" s="253"/>
      <c r="L29" s="253"/>
      <c r="M29" s="253"/>
      <c r="N29" s="253"/>
      <c r="O29" s="253"/>
      <c r="P29" s="253"/>
      <c r="Q29" s="253"/>
      <c r="R29" s="253"/>
      <c r="S29" s="253"/>
      <c r="T29" s="253"/>
      <c r="U29" s="253"/>
      <c r="V29" s="253"/>
      <c r="W29" s="253"/>
      <c r="X29" s="253"/>
      <c r="Y29" s="253"/>
      <c r="Z29" s="253"/>
      <c r="AA29" s="253"/>
      <c r="AB29" s="253"/>
      <c r="AC29" s="253"/>
      <c r="AD29" s="253"/>
      <c r="AE29" s="252"/>
      <c r="AF29" s="252"/>
      <c r="AG29" s="252"/>
    </row>
    <row r="30" spans="1:34" x14ac:dyDescent="0.3">
      <c r="A30" s="113" t="s">
        <v>162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51"/>
    </row>
    <row r="31" spans="1:34" x14ac:dyDescent="0.3">
      <c r="A31" s="114" t="s">
        <v>228</v>
      </c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51"/>
    </row>
    <row r="32" spans="1:34" ht="14.4" customHeight="1" x14ac:dyDescent="0.3">
      <c r="A32" s="288" t="s">
        <v>225</v>
      </c>
      <c r="B32" s="289"/>
      <c r="C32" s="289"/>
      <c r="D32" s="289"/>
      <c r="E32" s="289"/>
      <c r="F32" s="289"/>
      <c r="G32" s="289"/>
      <c r="H32" s="289"/>
      <c r="I32" s="289"/>
      <c r="J32" s="289"/>
      <c r="K32" s="289"/>
      <c r="L32" s="289"/>
      <c r="M32" s="289"/>
      <c r="N32" s="289"/>
      <c r="O32" s="289"/>
      <c r="P32" s="289"/>
      <c r="Q32" s="289"/>
      <c r="R32" s="289"/>
      <c r="S32" s="289"/>
      <c r="T32" s="289"/>
      <c r="U32" s="289"/>
      <c r="V32" s="289"/>
      <c r="W32" s="289"/>
      <c r="X32" s="289"/>
      <c r="Y32" s="289"/>
      <c r="Z32" s="289"/>
      <c r="AA32" s="289"/>
      <c r="AB32" s="289"/>
      <c r="AC32" s="289"/>
      <c r="AD32" s="289"/>
      <c r="AE32" s="289"/>
      <c r="AF32" s="289"/>
    </row>
    <row r="33" spans="1:1" x14ac:dyDescent="0.3">
      <c r="A33" s="290" t="s">
        <v>235</v>
      </c>
    </row>
    <row r="34" spans="1:1" x14ac:dyDescent="0.3">
      <c r="A34" s="290" t="s">
        <v>236</v>
      </c>
    </row>
    <row r="35" spans="1:1" x14ac:dyDescent="0.3">
      <c r="A35" s="290" t="s">
        <v>237</v>
      </c>
    </row>
    <row r="36" spans="1:1" x14ac:dyDescent="0.3">
      <c r="A36" s="290" t="s">
        <v>238</v>
      </c>
    </row>
  </sheetData>
  <mergeCells count="12">
    <mergeCell ref="A1:AG1"/>
    <mergeCell ref="B3:B4"/>
    <mergeCell ref="C24:E24"/>
    <mergeCell ref="C25:E25"/>
    <mergeCell ref="C26:E26"/>
    <mergeCell ref="F24:AF24"/>
    <mergeCell ref="F25:AF25"/>
    <mergeCell ref="F26:AF26"/>
    <mergeCell ref="C28:E28"/>
    <mergeCell ref="C27:E27"/>
    <mergeCell ref="F27:AF27"/>
    <mergeCell ref="F28:AF28"/>
  </mergeCells>
  <conditionalFormatting sqref="C27 AG27 F27">
    <cfRule type="cellIs" dxfId="4" priority="4" operator="greaterThan">
      <formula>1</formula>
    </cfRule>
  </conditionalFormatting>
  <conditionalFormatting sqref="C28 AG28 F28">
    <cfRule type="cellIs" dxfId="3" priority="3" operator="lessThan">
      <formula>0</formula>
    </cfRule>
  </conditionalFormatting>
  <conditionalFormatting sqref="B22:AG22">
    <cfRule type="cellIs" dxfId="2" priority="2" operator="greaterThan">
      <formula>1</formula>
    </cfRule>
  </conditionalFormatting>
  <conditionalFormatting sqref="B23:AG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1" bestFit="1" customWidth="1"/>
    <col min="2" max="2" width="11.6640625" style="151" hidden="1" customWidth="1"/>
    <col min="3" max="4" width="11" style="153" customWidth="1"/>
    <col min="5" max="5" width="11" style="154" customWidth="1"/>
    <col min="6" max="16384" width="8.88671875" style="151"/>
  </cols>
  <sheetData>
    <row r="1" spans="1:5" ht="18.600000000000001" thickBot="1" x14ac:dyDescent="0.4">
      <c r="A1" s="325" t="s">
        <v>122</v>
      </c>
      <c r="B1" s="325"/>
      <c r="C1" s="326"/>
      <c r="D1" s="326"/>
      <c r="E1" s="326"/>
    </row>
    <row r="2" spans="1:5" ht="14.4" customHeight="1" thickBot="1" x14ac:dyDescent="0.35">
      <c r="A2" s="235" t="s">
        <v>281</v>
      </c>
      <c r="B2" s="152"/>
    </row>
    <row r="3" spans="1:5" ht="14.4" customHeight="1" thickBot="1" x14ac:dyDescent="0.35">
      <c r="A3" s="155"/>
      <c r="C3" s="156" t="s">
        <v>108</v>
      </c>
      <c r="D3" s="157" t="s">
        <v>73</v>
      </c>
      <c r="E3" s="158" t="s">
        <v>75</v>
      </c>
    </row>
    <row r="4" spans="1:5" ht="14.4" customHeight="1" thickBot="1" x14ac:dyDescent="0.35">
      <c r="A4" s="159" t="str">
        <f>HYPERLINK("#HI!A1","NÁKLADY CELKEM (v tisících Kč)")</f>
        <v>NÁKLADY CELKEM (v tisících Kč)</v>
      </c>
      <c r="B4" s="160"/>
      <c r="C4" s="161">
        <f ca="1">IF(ISERROR(VLOOKUP("Náklady celkem",INDIRECT("HI!$A:$G"),6,0)),0,VLOOKUP("Náklady celkem",INDIRECT("HI!$A:$G"),6,0))</f>
        <v>24973.923178545221</v>
      </c>
      <c r="D4" s="161">
        <f ca="1">IF(ISERROR(VLOOKUP("Náklady celkem",INDIRECT("HI!$A:$G"),5,0)),0,VLOOKUP("Náklady celkem",INDIRECT("HI!$A:$G"),5,0))</f>
        <v>24484.538320000007</v>
      </c>
      <c r="E4" s="162">
        <f ca="1">IF(C4=0,0,D4/C4)</f>
        <v>0.98040416577537814</v>
      </c>
    </row>
    <row r="5" spans="1:5" ht="14.4" customHeight="1" x14ac:dyDescent="0.3">
      <c r="A5" s="163" t="s">
        <v>154</v>
      </c>
      <c r="B5" s="164"/>
      <c r="C5" s="165"/>
      <c r="D5" s="165"/>
      <c r="E5" s="166"/>
    </row>
    <row r="6" spans="1:5" ht="14.4" customHeight="1" x14ac:dyDescent="0.3">
      <c r="A6" s="167" t="s">
        <v>159</v>
      </c>
      <c r="B6" s="168"/>
      <c r="C6" s="169"/>
      <c r="D6" s="169"/>
      <c r="E6" s="166"/>
    </row>
    <row r="7" spans="1:5" ht="14.4" customHeight="1" x14ac:dyDescent="0.3">
      <c r="A7" s="17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8" t="s">
        <v>112</v>
      </c>
      <c r="C7" s="169">
        <f>IF(ISERROR(HI!F5),"",HI!F5)</f>
        <v>93.808699516832007</v>
      </c>
      <c r="D7" s="169">
        <f>IF(ISERROR(HI!E5),"",HI!E5)</f>
        <v>62.504670000000004</v>
      </c>
      <c r="E7" s="166">
        <f t="shared" ref="E7:E15" si="0">IF(C7=0,0,D7/C7)</f>
        <v>0.66629929123774767</v>
      </c>
    </row>
    <row r="8" spans="1:5" ht="14.4" customHeight="1" x14ac:dyDescent="0.3">
      <c r="A8" s="170" t="str">
        <f>HYPERLINK("#'LŽ PL'!A1","% plnění pozitivního listu")</f>
        <v>% plnění pozitivního listu</v>
      </c>
      <c r="B8" s="168" t="s">
        <v>146</v>
      </c>
      <c r="C8" s="171">
        <v>0.9</v>
      </c>
      <c r="D8" s="171">
        <f>IF(ISERROR(VLOOKUP("celkem",'LŽ PL'!$A:$F,5,0)),0,VLOOKUP("celkem",'LŽ PL'!$A:$F,5,0))</f>
        <v>1</v>
      </c>
      <c r="E8" s="166">
        <f t="shared" si="0"/>
        <v>1.1111111111111112</v>
      </c>
    </row>
    <row r="9" spans="1:5" ht="14.4" customHeight="1" x14ac:dyDescent="0.3">
      <c r="A9" s="312" t="str">
        <f>HYPERLINK("#'LŽ Statim'!A1","% podíl statimových žádanek")</f>
        <v>% podíl statimových žádanek</v>
      </c>
      <c r="B9" s="310" t="s">
        <v>277</v>
      </c>
      <c r="C9" s="311">
        <v>0.3</v>
      </c>
      <c r="D9" s="311">
        <f>IF('LŽ Statim'!G3="",0,'LŽ Statim'!G3)</f>
        <v>0.28925619834710742</v>
      </c>
      <c r="E9" s="166">
        <f>IF(C9=0,0,D9/C9)</f>
        <v>0.96418732782369143</v>
      </c>
    </row>
    <row r="10" spans="1:5" ht="14.4" customHeight="1" x14ac:dyDescent="0.3">
      <c r="A10" s="172" t="s">
        <v>155</v>
      </c>
      <c r="B10" s="168"/>
      <c r="C10" s="169"/>
      <c r="D10" s="169"/>
      <c r="E10" s="166"/>
    </row>
    <row r="11" spans="1:5" ht="14.4" customHeight="1" x14ac:dyDescent="0.3">
      <c r="A11" s="170" t="str">
        <f>HYPERLINK("#'Léky Recepty'!A1","% záchytu v lékárně (Úhrada Kč)")</f>
        <v>% záchytu v lékárně (Úhrada Kč)</v>
      </c>
      <c r="B11" s="168" t="s">
        <v>117</v>
      </c>
      <c r="C11" s="171">
        <v>0.6</v>
      </c>
      <c r="D11" s="171">
        <f>IF(ISERROR(VLOOKUP("Celkem",'Léky Recepty'!B:H,5,0)),0,VLOOKUP("Celkem",'Léky Recepty'!B:H,5,0))</f>
        <v>0.14855314124899699</v>
      </c>
      <c r="E11" s="166">
        <f t="shared" si="0"/>
        <v>0.24758856874832832</v>
      </c>
    </row>
    <row r="12" spans="1:5" ht="14.4" customHeight="1" x14ac:dyDescent="0.3">
      <c r="A12" s="170" t="str">
        <f>HYPERLINK("#'LRp PL'!A1","% plnění pozitivního listu")</f>
        <v>% plnění pozitivního listu</v>
      </c>
      <c r="B12" s="168" t="s">
        <v>147</v>
      </c>
      <c r="C12" s="171">
        <v>0.8</v>
      </c>
      <c r="D12" s="171">
        <f>IF(ISERROR(VLOOKUP("Celkem",'LRp PL'!A:F,5,0)),0,VLOOKUP("Celkem",'LRp PL'!A:F,5,0))</f>
        <v>1</v>
      </c>
      <c r="E12" s="166">
        <f t="shared" si="0"/>
        <v>1.25</v>
      </c>
    </row>
    <row r="13" spans="1:5" ht="14.4" customHeight="1" x14ac:dyDescent="0.3">
      <c r="A13" s="172" t="s">
        <v>156</v>
      </c>
      <c r="B13" s="168"/>
      <c r="C13" s="169"/>
      <c r="D13" s="169"/>
      <c r="E13" s="166"/>
    </row>
    <row r="14" spans="1:5" ht="14.4" customHeight="1" x14ac:dyDescent="0.3">
      <c r="A14" s="173" t="s">
        <v>160</v>
      </c>
      <c r="B14" s="168"/>
      <c r="C14" s="165"/>
      <c r="D14" s="165"/>
      <c r="E14" s="166"/>
    </row>
    <row r="15" spans="1:5" ht="14.4" customHeight="1" x14ac:dyDescent="0.3">
      <c r="A15" s="17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8" t="s">
        <v>112</v>
      </c>
      <c r="C15" s="169">
        <f>IF(ISERROR(HI!F6),"",HI!F6)</f>
        <v>4403.4489457165764</v>
      </c>
      <c r="D15" s="169">
        <f>IF(ISERROR(HI!E6),"",HI!E6)</f>
        <v>4456.4060900000004</v>
      </c>
      <c r="E15" s="166">
        <f t="shared" si="0"/>
        <v>1.0120262877885613</v>
      </c>
    </row>
    <row r="16" spans="1:5" ht="14.4" customHeight="1" thickBot="1" x14ac:dyDescent="0.35">
      <c r="A16" s="175" t="str">
        <f>HYPERLINK("#HI!A1","Osobní náklady")</f>
        <v>Osobní náklady</v>
      </c>
      <c r="B16" s="168"/>
      <c r="C16" s="165">
        <f ca="1">IF(ISERROR(VLOOKUP("Osobní náklady (Kč) *",INDIRECT("HI!$A:$G"),6,0)),0,VLOOKUP("Osobní náklady (Kč) *",INDIRECT("HI!$A:$G"),6,0))</f>
        <v>15104.074674599942</v>
      </c>
      <c r="D16" s="165">
        <f ca="1">IF(ISERROR(VLOOKUP("Osobní náklady (Kč) *",INDIRECT("HI!$A:$G"),5,0)),0,VLOOKUP("Osobní náklady (Kč) *",INDIRECT("HI!$A:$G"),5,0))</f>
        <v>14736.489400000006</v>
      </c>
      <c r="E16" s="166">
        <f ca="1">IF(C16=0,0,D16/C16)</f>
        <v>0.97566317152694604</v>
      </c>
    </row>
    <row r="17" spans="1:5" ht="14.4" customHeight="1" thickBot="1" x14ac:dyDescent="0.35">
      <c r="A17" s="179"/>
      <c r="B17" s="180"/>
      <c r="C17" s="181"/>
      <c r="D17" s="181"/>
      <c r="E17" s="182"/>
    </row>
    <row r="18" spans="1:5" ht="14.4" customHeight="1" thickBot="1" x14ac:dyDescent="0.35">
      <c r="A18" s="183" t="str">
        <f>HYPERLINK("#HI!A1","VÝNOSY CELKEM (v tisících)")</f>
        <v>VÝNOSY CELKEM (v tisících)</v>
      </c>
      <c r="B18" s="184"/>
      <c r="C18" s="185">
        <f ca="1">IF(ISERROR(VLOOKUP("Výnosy celkem",INDIRECT("HI!$A:$G"),6,0)),0,VLOOKUP("Výnosy celkem",INDIRECT("HI!$A:$G"),6,0))</f>
        <v>52060.14</v>
      </c>
      <c r="D18" s="185">
        <f ca="1">IF(ISERROR(VLOOKUP("Výnosy celkem",INDIRECT("HI!$A:$G"),5,0)),0,VLOOKUP("Výnosy celkem",INDIRECT("HI!$A:$G"),5,0))</f>
        <v>58789.212</v>
      </c>
      <c r="E18" s="186">
        <f t="shared" ref="E18:E21" ca="1" si="1">IF(C18=0,0,D18/C18)</f>
        <v>1.1292557415327735</v>
      </c>
    </row>
    <row r="19" spans="1:5" ht="14.4" customHeight="1" x14ac:dyDescent="0.3">
      <c r="A19" s="187" t="str">
        <f>HYPERLINK("#HI!A1","Ambulance (body za výkony + Kč za ZUM a ZULP)")</f>
        <v>Ambulance (body za výkony + Kč za ZUM a ZULP)</v>
      </c>
      <c r="B19" s="164"/>
      <c r="C19" s="165">
        <f ca="1">IF(ISERROR(VLOOKUP("Ambulance *",INDIRECT("HI!$A:$G"),6,0)),0,VLOOKUP("Ambulance *",INDIRECT("HI!$A:$G"),6,0))</f>
        <v>52060.14</v>
      </c>
      <c r="D19" s="165">
        <f ca="1">IF(ISERROR(VLOOKUP("Ambulance *",INDIRECT("HI!$A:$G"),5,0)),0,VLOOKUP("Ambulance *",INDIRECT("HI!$A:$G"),5,0))</f>
        <v>58789.212</v>
      </c>
      <c r="E19" s="166">
        <f t="shared" ca="1" si="1"/>
        <v>1.1292557415327735</v>
      </c>
    </row>
    <row r="20" spans="1:5" ht="14.4" customHeight="1" x14ac:dyDescent="0.3">
      <c r="A20" s="188" t="str">
        <f>HYPERLINK("#'ZV Vykáz.-A'!A1","Zdravotní výkony vykázané u ambulantních pacientů (min. 100 %)")</f>
        <v>Zdravotní výkony vykázané u ambulantních pacientů (min. 100 %)</v>
      </c>
      <c r="B20" s="151" t="s">
        <v>124</v>
      </c>
      <c r="C20" s="171">
        <v>1</v>
      </c>
      <c r="D20" s="171">
        <f>IF(ISERROR(VLOOKUP("Celkem:",'ZV Vykáz.-A'!$A:$S,7,0)),"",VLOOKUP("Celkem:",'ZV Vykáz.-A'!$A:$S,7,0))</f>
        <v>1.1292557415327735</v>
      </c>
      <c r="E20" s="166">
        <f t="shared" si="1"/>
        <v>1.1292557415327735</v>
      </c>
    </row>
    <row r="21" spans="1:5" ht="14.4" customHeight="1" x14ac:dyDescent="0.3">
      <c r="A21" s="188" t="str">
        <f>HYPERLINK("#'ZV Vykáz.-H'!A1","Zdravotní výkony vykázané u hospitalizovaných pacientů (max. 85 %)")</f>
        <v>Zdravotní výkony vykázané u hospitalizovaných pacientů (max. 85 %)</v>
      </c>
      <c r="B21" s="151" t="s">
        <v>126</v>
      </c>
      <c r="C21" s="171">
        <v>0.85</v>
      </c>
      <c r="D21" s="171">
        <f>IF(ISERROR(VLOOKUP("Celkem:",'ZV Vykáz.-H'!$A:$S,7,0)),"",VLOOKUP("Celkem:",'ZV Vykáz.-H'!$A:$S,7,0))</f>
        <v>0.92176644585575618</v>
      </c>
      <c r="E21" s="166">
        <f t="shared" si="1"/>
        <v>1.0844311127714779</v>
      </c>
    </row>
    <row r="22" spans="1:5" ht="14.4" customHeight="1" x14ac:dyDescent="0.3">
      <c r="A22" s="189" t="str">
        <f>HYPERLINK("#HI!A1","Hospitalizace (casemix * 30000)")</f>
        <v>Hospitalizace (casemix * 30000)</v>
      </c>
      <c r="B22" s="168"/>
      <c r="C22" s="165">
        <f ca="1">IF(ISERROR(VLOOKUP("Hospitalizace *",INDIRECT("HI!$A:$G"),6,0)),0,VLOOKUP("Hospitalizace *",INDIRECT("HI!$A:$G"),6,0))</f>
        <v>0</v>
      </c>
      <c r="D22" s="165">
        <f ca="1">IF(ISERROR(VLOOKUP("Hospitalizace *",INDIRECT("HI!$A:$G"),5,0)),0,VLOOKUP("Hospitalizace *",INDIRECT("HI!$A:$G"),5,0))</f>
        <v>0</v>
      </c>
      <c r="E22" s="166">
        <f ca="1">IF(C22=0,0,D22/C22)</f>
        <v>0</v>
      </c>
    </row>
    <row r="23" spans="1:5" ht="14.4" customHeight="1" thickBot="1" x14ac:dyDescent="0.35">
      <c r="A23" s="190" t="s">
        <v>157</v>
      </c>
      <c r="B23" s="176"/>
      <c r="C23" s="177"/>
      <c r="D23" s="177"/>
      <c r="E23" s="178"/>
    </row>
    <row r="24" spans="1:5" ht="14.4" customHeight="1" thickBot="1" x14ac:dyDescent="0.35">
      <c r="A24" s="191"/>
      <c r="B24" s="192"/>
      <c r="C24" s="193"/>
      <c r="D24" s="193"/>
      <c r="E24" s="194"/>
    </row>
    <row r="25" spans="1:5" ht="14.4" customHeight="1" thickBot="1" x14ac:dyDescent="0.35">
      <c r="A25" s="195" t="s">
        <v>158</v>
      </c>
      <c r="B25" s="196"/>
      <c r="C25" s="197"/>
      <c r="D25" s="197"/>
      <c r="E25" s="198"/>
    </row>
  </sheetData>
  <mergeCells count="1">
    <mergeCell ref="A1:E1"/>
  </mergeCells>
  <conditionalFormatting sqref="E5">
    <cfRule type="cellIs" dxfId="6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6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5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4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63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2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cellIs" dxfId="61" priority="20" operator="lessThan">
      <formula>1</formula>
    </cfRule>
  </conditionalFormatting>
  <conditionalFormatting sqref="E9">
    <cfRule type="cellIs" dxfId="60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5 E21">
    <cfRule type="cellIs" dxfId="59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136"/>
  <sheetViews>
    <sheetView showGridLines="0" showRowColHeaders="0" workbookViewId="0"/>
  </sheetViews>
  <sheetFormatPr defaultRowHeight="14.4" x14ac:dyDescent="0.3"/>
  <cols>
    <col min="1" max="16384" width="8.88671875" style="231"/>
  </cols>
  <sheetData>
    <row r="1" spans="1:40" x14ac:dyDescent="0.3">
      <c r="A1" s="231" t="s">
        <v>1336</v>
      </c>
    </row>
    <row r="2" spans="1:40" x14ac:dyDescent="0.3">
      <c r="A2" s="235" t="s">
        <v>281</v>
      </c>
    </row>
    <row r="3" spans="1:40" x14ac:dyDescent="0.3">
      <c r="A3" s="231" t="s">
        <v>195</v>
      </c>
      <c r="B3" s="256">
        <v>2014</v>
      </c>
      <c r="D3" s="232">
        <f>MAX(D5:D1048576)</f>
        <v>12</v>
      </c>
      <c r="F3" s="232">
        <f>SUMIF($E5:$E1048576,"&lt;10",F5:F1048576)</f>
        <v>12043115.800000001</v>
      </c>
      <c r="G3" s="232">
        <f t="shared" ref="G3:AN3" si="0">SUMIF($E5:$E1048576,"&lt;10",G5:G1048576)</f>
        <v>13060</v>
      </c>
      <c r="H3" s="232">
        <f t="shared" si="0"/>
        <v>4449728.4000000004</v>
      </c>
      <c r="I3" s="232">
        <f t="shared" si="0"/>
        <v>0</v>
      </c>
      <c r="J3" s="232">
        <f t="shared" si="0"/>
        <v>0</v>
      </c>
      <c r="K3" s="232">
        <f t="shared" si="0"/>
        <v>1277993</v>
      </c>
      <c r="L3" s="232">
        <f t="shared" si="0"/>
        <v>164491</v>
      </c>
      <c r="M3" s="232">
        <f t="shared" si="0"/>
        <v>0</v>
      </c>
      <c r="N3" s="232">
        <f t="shared" si="0"/>
        <v>2078975</v>
      </c>
      <c r="O3" s="232">
        <f t="shared" si="0"/>
        <v>0</v>
      </c>
      <c r="P3" s="232">
        <f t="shared" si="0"/>
        <v>0</v>
      </c>
      <c r="Q3" s="232">
        <f t="shared" si="0"/>
        <v>0</v>
      </c>
      <c r="R3" s="232">
        <f t="shared" si="0"/>
        <v>0</v>
      </c>
      <c r="S3" s="232">
        <f t="shared" si="0"/>
        <v>0</v>
      </c>
      <c r="T3" s="232">
        <f t="shared" si="0"/>
        <v>0</v>
      </c>
      <c r="U3" s="232">
        <f t="shared" si="0"/>
        <v>0</v>
      </c>
      <c r="V3" s="232">
        <f t="shared" si="0"/>
        <v>0</v>
      </c>
      <c r="W3" s="232">
        <f t="shared" si="0"/>
        <v>0</v>
      </c>
      <c r="X3" s="232">
        <f t="shared" si="0"/>
        <v>0</v>
      </c>
      <c r="Y3" s="232">
        <f t="shared" si="0"/>
        <v>0</v>
      </c>
      <c r="Z3" s="232">
        <f t="shared" si="0"/>
        <v>3360988</v>
      </c>
      <c r="AA3" s="232">
        <f t="shared" si="0"/>
        <v>0</v>
      </c>
      <c r="AB3" s="232">
        <f t="shared" si="0"/>
        <v>0</v>
      </c>
      <c r="AC3" s="232">
        <f t="shared" si="0"/>
        <v>0</v>
      </c>
      <c r="AD3" s="232">
        <f t="shared" si="0"/>
        <v>0</v>
      </c>
      <c r="AE3" s="232">
        <f t="shared" si="0"/>
        <v>0</v>
      </c>
      <c r="AF3" s="232">
        <f t="shared" si="0"/>
        <v>0</v>
      </c>
      <c r="AG3" s="232">
        <f t="shared" si="0"/>
        <v>0</v>
      </c>
      <c r="AH3" s="232">
        <f t="shared" si="0"/>
        <v>161464</v>
      </c>
      <c r="AI3" s="232">
        <f t="shared" si="0"/>
        <v>0</v>
      </c>
      <c r="AJ3" s="232">
        <f t="shared" si="0"/>
        <v>0</v>
      </c>
      <c r="AK3" s="232">
        <f t="shared" si="0"/>
        <v>0</v>
      </c>
      <c r="AL3" s="232">
        <f t="shared" si="0"/>
        <v>0</v>
      </c>
      <c r="AM3" s="232">
        <f t="shared" si="0"/>
        <v>536416.39999999991</v>
      </c>
      <c r="AN3" s="232">
        <f t="shared" si="0"/>
        <v>0</v>
      </c>
    </row>
    <row r="4" spans="1:40" x14ac:dyDescent="0.3">
      <c r="A4" s="231" t="s">
        <v>196</v>
      </c>
      <c r="B4" s="256">
        <v>1</v>
      </c>
      <c r="C4" s="233" t="s">
        <v>5</v>
      </c>
      <c r="D4" s="234" t="s">
        <v>67</v>
      </c>
      <c r="E4" s="234" t="s">
        <v>190</v>
      </c>
      <c r="F4" s="234" t="s">
        <v>3</v>
      </c>
      <c r="G4" s="234" t="s">
        <v>191</v>
      </c>
      <c r="H4" s="234" t="s">
        <v>192</v>
      </c>
      <c r="I4" s="234" t="s">
        <v>193</v>
      </c>
      <c r="J4" s="234" t="s">
        <v>194</v>
      </c>
      <c r="K4" s="234">
        <v>305</v>
      </c>
      <c r="L4" s="234">
        <v>306</v>
      </c>
      <c r="M4" s="234">
        <v>408</v>
      </c>
      <c r="N4" s="234">
        <v>409</v>
      </c>
      <c r="O4" s="234">
        <v>410</v>
      </c>
      <c r="P4" s="234">
        <v>415</v>
      </c>
      <c r="Q4" s="234">
        <v>416</v>
      </c>
      <c r="R4" s="234">
        <v>418</v>
      </c>
      <c r="S4" s="234">
        <v>419</v>
      </c>
      <c r="T4" s="234">
        <v>420</v>
      </c>
      <c r="U4" s="234">
        <v>421</v>
      </c>
      <c r="V4" s="234">
        <v>522</v>
      </c>
      <c r="W4" s="234">
        <v>523</v>
      </c>
      <c r="X4" s="234">
        <v>524</v>
      </c>
      <c r="Y4" s="234">
        <v>525</v>
      </c>
      <c r="Z4" s="234">
        <v>526</v>
      </c>
      <c r="AA4" s="234">
        <v>527</v>
      </c>
      <c r="AB4" s="234">
        <v>528</v>
      </c>
      <c r="AC4" s="234">
        <v>629</v>
      </c>
      <c r="AD4" s="234">
        <v>630</v>
      </c>
      <c r="AE4" s="234">
        <v>636</v>
      </c>
      <c r="AF4" s="234">
        <v>637</v>
      </c>
      <c r="AG4" s="234">
        <v>640</v>
      </c>
      <c r="AH4" s="234">
        <v>642</v>
      </c>
      <c r="AI4" s="234">
        <v>743</v>
      </c>
      <c r="AJ4" s="234">
        <v>745</v>
      </c>
      <c r="AK4" s="234">
        <v>746</v>
      </c>
      <c r="AL4" s="234">
        <v>747</v>
      </c>
      <c r="AM4" s="234">
        <v>930</v>
      </c>
      <c r="AN4" s="234">
        <v>940</v>
      </c>
    </row>
    <row r="5" spans="1:40" x14ac:dyDescent="0.3">
      <c r="A5" s="231" t="s">
        <v>197</v>
      </c>
      <c r="B5" s="256">
        <v>2</v>
      </c>
      <c r="C5" s="231">
        <v>28</v>
      </c>
      <c r="D5" s="231">
        <v>1</v>
      </c>
      <c r="E5" s="231">
        <v>1</v>
      </c>
      <c r="F5" s="231">
        <v>27.2</v>
      </c>
      <c r="G5" s="231">
        <v>0</v>
      </c>
      <c r="H5" s="231">
        <v>5.5</v>
      </c>
      <c r="I5" s="231">
        <v>0</v>
      </c>
      <c r="J5" s="231">
        <v>0</v>
      </c>
      <c r="K5" s="231">
        <v>3</v>
      </c>
      <c r="L5" s="231">
        <v>1</v>
      </c>
      <c r="M5" s="231">
        <v>0</v>
      </c>
      <c r="N5" s="231">
        <v>7.5</v>
      </c>
      <c r="O5" s="231">
        <v>0</v>
      </c>
      <c r="P5" s="231">
        <v>0</v>
      </c>
      <c r="Q5" s="231">
        <v>0</v>
      </c>
      <c r="R5" s="231">
        <v>0</v>
      </c>
      <c r="S5" s="231">
        <v>0</v>
      </c>
      <c r="T5" s="231">
        <v>0</v>
      </c>
      <c r="U5" s="231">
        <v>0</v>
      </c>
      <c r="V5" s="231">
        <v>0</v>
      </c>
      <c r="W5" s="231">
        <v>0</v>
      </c>
      <c r="X5" s="231">
        <v>0</v>
      </c>
      <c r="Y5" s="231">
        <v>0</v>
      </c>
      <c r="Z5" s="231">
        <v>7.4</v>
      </c>
      <c r="AA5" s="231">
        <v>0</v>
      </c>
      <c r="AB5" s="231">
        <v>0</v>
      </c>
      <c r="AC5" s="231">
        <v>0</v>
      </c>
      <c r="AD5" s="231">
        <v>0</v>
      </c>
      <c r="AE5" s="231">
        <v>0</v>
      </c>
      <c r="AF5" s="231">
        <v>0</v>
      </c>
      <c r="AG5" s="231">
        <v>0</v>
      </c>
      <c r="AH5" s="231">
        <v>1</v>
      </c>
      <c r="AI5" s="231">
        <v>0</v>
      </c>
      <c r="AJ5" s="231">
        <v>0</v>
      </c>
      <c r="AK5" s="231">
        <v>0</v>
      </c>
      <c r="AL5" s="231">
        <v>0</v>
      </c>
      <c r="AM5" s="231">
        <v>1.8</v>
      </c>
      <c r="AN5" s="231">
        <v>0</v>
      </c>
    </row>
    <row r="6" spans="1:40" x14ac:dyDescent="0.3">
      <c r="A6" s="231" t="s">
        <v>198</v>
      </c>
      <c r="B6" s="256">
        <v>3</v>
      </c>
      <c r="C6" s="231">
        <v>28</v>
      </c>
      <c r="D6" s="231">
        <v>1</v>
      </c>
      <c r="E6" s="231">
        <v>2</v>
      </c>
      <c r="F6" s="231">
        <v>4499.2</v>
      </c>
      <c r="G6" s="231">
        <v>0</v>
      </c>
      <c r="H6" s="231">
        <v>892</v>
      </c>
      <c r="I6" s="231">
        <v>0</v>
      </c>
      <c r="J6" s="231">
        <v>0</v>
      </c>
      <c r="K6" s="231">
        <v>496</v>
      </c>
      <c r="L6" s="231">
        <v>184</v>
      </c>
      <c r="M6" s="231">
        <v>0</v>
      </c>
      <c r="N6" s="231">
        <v>1260</v>
      </c>
      <c r="O6" s="231">
        <v>0</v>
      </c>
      <c r="P6" s="231">
        <v>0</v>
      </c>
      <c r="Q6" s="231">
        <v>0</v>
      </c>
      <c r="R6" s="231">
        <v>0</v>
      </c>
      <c r="S6" s="231">
        <v>0</v>
      </c>
      <c r="T6" s="231">
        <v>0</v>
      </c>
      <c r="U6" s="231">
        <v>0</v>
      </c>
      <c r="V6" s="231">
        <v>0</v>
      </c>
      <c r="W6" s="231">
        <v>0</v>
      </c>
      <c r="X6" s="231">
        <v>0</v>
      </c>
      <c r="Y6" s="231">
        <v>0</v>
      </c>
      <c r="Z6" s="231">
        <v>1192</v>
      </c>
      <c r="AA6" s="231">
        <v>0</v>
      </c>
      <c r="AB6" s="231">
        <v>0</v>
      </c>
      <c r="AC6" s="231">
        <v>0</v>
      </c>
      <c r="AD6" s="231">
        <v>0</v>
      </c>
      <c r="AE6" s="231">
        <v>0</v>
      </c>
      <c r="AF6" s="231">
        <v>0</v>
      </c>
      <c r="AG6" s="231">
        <v>0</v>
      </c>
      <c r="AH6" s="231">
        <v>184</v>
      </c>
      <c r="AI6" s="231">
        <v>0</v>
      </c>
      <c r="AJ6" s="231">
        <v>0</v>
      </c>
      <c r="AK6" s="231">
        <v>0</v>
      </c>
      <c r="AL6" s="231">
        <v>0</v>
      </c>
      <c r="AM6" s="231">
        <v>291.2</v>
      </c>
      <c r="AN6" s="231">
        <v>0</v>
      </c>
    </row>
    <row r="7" spans="1:40" x14ac:dyDescent="0.3">
      <c r="A7" s="231" t="s">
        <v>199</v>
      </c>
      <c r="B7" s="256">
        <v>4</v>
      </c>
      <c r="C7" s="231">
        <v>28</v>
      </c>
      <c r="D7" s="231">
        <v>1</v>
      </c>
      <c r="E7" s="231">
        <v>3</v>
      </c>
      <c r="F7" s="231">
        <v>0</v>
      </c>
      <c r="G7" s="231">
        <v>0</v>
      </c>
      <c r="H7" s="231">
        <v>0</v>
      </c>
      <c r="I7" s="231">
        <v>0</v>
      </c>
      <c r="J7" s="231">
        <v>0</v>
      </c>
      <c r="K7" s="231">
        <v>0</v>
      </c>
      <c r="L7" s="231">
        <v>0</v>
      </c>
      <c r="M7" s="231">
        <v>0</v>
      </c>
      <c r="N7" s="231">
        <v>0</v>
      </c>
      <c r="O7" s="231">
        <v>0</v>
      </c>
      <c r="P7" s="231">
        <v>0</v>
      </c>
      <c r="Q7" s="231">
        <v>0</v>
      </c>
      <c r="R7" s="231">
        <v>0</v>
      </c>
      <c r="S7" s="231">
        <v>0</v>
      </c>
      <c r="T7" s="231">
        <v>0</v>
      </c>
      <c r="U7" s="231">
        <v>0</v>
      </c>
      <c r="V7" s="231">
        <v>0</v>
      </c>
      <c r="W7" s="231">
        <v>0</v>
      </c>
      <c r="X7" s="231">
        <v>0</v>
      </c>
      <c r="Y7" s="231">
        <v>0</v>
      </c>
      <c r="Z7" s="231">
        <v>0</v>
      </c>
      <c r="AA7" s="231">
        <v>0</v>
      </c>
      <c r="AB7" s="231">
        <v>0</v>
      </c>
      <c r="AC7" s="231">
        <v>0</v>
      </c>
      <c r="AD7" s="231">
        <v>0</v>
      </c>
      <c r="AE7" s="231">
        <v>0</v>
      </c>
      <c r="AF7" s="231">
        <v>0</v>
      </c>
      <c r="AG7" s="231">
        <v>0</v>
      </c>
      <c r="AH7" s="231">
        <v>0</v>
      </c>
      <c r="AI7" s="231">
        <v>0</v>
      </c>
      <c r="AJ7" s="231">
        <v>0</v>
      </c>
      <c r="AK7" s="231">
        <v>0</v>
      </c>
      <c r="AL7" s="231">
        <v>0</v>
      </c>
      <c r="AM7" s="231">
        <v>0</v>
      </c>
      <c r="AN7" s="231">
        <v>0</v>
      </c>
    </row>
    <row r="8" spans="1:40" x14ac:dyDescent="0.3">
      <c r="A8" s="231" t="s">
        <v>200</v>
      </c>
      <c r="B8" s="256">
        <v>5</v>
      </c>
      <c r="C8" s="231">
        <v>28</v>
      </c>
      <c r="D8" s="231">
        <v>1</v>
      </c>
      <c r="E8" s="231">
        <v>4</v>
      </c>
      <c r="F8" s="231">
        <v>0</v>
      </c>
      <c r="G8" s="231">
        <v>0</v>
      </c>
      <c r="H8" s="231">
        <v>0</v>
      </c>
      <c r="I8" s="231">
        <v>0</v>
      </c>
      <c r="J8" s="231">
        <v>0</v>
      </c>
      <c r="K8" s="231">
        <v>0</v>
      </c>
      <c r="L8" s="231">
        <v>0</v>
      </c>
      <c r="M8" s="231">
        <v>0</v>
      </c>
      <c r="N8" s="231">
        <v>0</v>
      </c>
      <c r="O8" s="231">
        <v>0</v>
      </c>
      <c r="P8" s="231">
        <v>0</v>
      </c>
      <c r="Q8" s="231">
        <v>0</v>
      </c>
      <c r="R8" s="231">
        <v>0</v>
      </c>
      <c r="S8" s="231">
        <v>0</v>
      </c>
      <c r="T8" s="231">
        <v>0</v>
      </c>
      <c r="U8" s="231">
        <v>0</v>
      </c>
      <c r="V8" s="231">
        <v>0</v>
      </c>
      <c r="W8" s="231">
        <v>0</v>
      </c>
      <c r="X8" s="231">
        <v>0</v>
      </c>
      <c r="Y8" s="231">
        <v>0</v>
      </c>
      <c r="Z8" s="231">
        <v>0</v>
      </c>
      <c r="AA8" s="231">
        <v>0</v>
      </c>
      <c r="AB8" s="231">
        <v>0</v>
      </c>
      <c r="AC8" s="231">
        <v>0</v>
      </c>
      <c r="AD8" s="231">
        <v>0</v>
      </c>
      <c r="AE8" s="231">
        <v>0</v>
      </c>
      <c r="AF8" s="231">
        <v>0</v>
      </c>
      <c r="AG8" s="231">
        <v>0</v>
      </c>
      <c r="AH8" s="231">
        <v>0</v>
      </c>
      <c r="AI8" s="231">
        <v>0</v>
      </c>
      <c r="AJ8" s="231">
        <v>0</v>
      </c>
      <c r="AK8" s="231">
        <v>0</v>
      </c>
      <c r="AL8" s="231">
        <v>0</v>
      </c>
      <c r="AM8" s="231">
        <v>0</v>
      </c>
      <c r="AN8" s="231">
        <v>0</v>
      </c>
    </row>
    <row r="9" spans="1:40" x14ac:dyDescent="0.3">
      <c r="A9" s="231" t="s">
        <v>201</v>
      </c>
      <c r="B9" s="256">
        <v>6</v>
      </c>
      <c r="C9" s="231">
        <v>28</v>
      </c>
      <c r="D9" s="231">
        <v>1</v>
      </c>
      <c r="E9" s="231">
        <v>5</v>
      </c>
      <c r="F9" s="231">
        <v>0</v>
      </c>
      <c r="G9" s="231">
        <v>0</v>
      </c>
      <c r="H9" s="231">
        <v>0</v>
      </c>
      <c r="I9" s="231">
        <v>0</v>
      </c>
      <c r="J9" s="231">
        <v>0</v>
      </c>
      <c r="K9" s="231">
        <v>0</v>
      </c>
      <c r="L9" s="231">
        <v>0</v>
      </c>
      <c r="M9" s="231">
        <v>0</v>
      </c>
      <c r="N9" s="231">
        <v>0</v>
      </c>
      <c r="O9" s="231">
        <v>0</v>
      </c>
      <c r="P9" s="231">
        <v>0</v>
      </c>
      <c r="Q9" s="231">
        <v>0</v>
      </c>
      <c r="R9" s="231">
        <v>0</v>
      </c>
      <c r="S9" s="231">
        <v>0</v>
      </c>
      <c r="T9" s="231">
        <v>0</v>
      </c>
      <c r="U9" s="231">
        <v>0</v>
      </c>
      <c r="V9" s="231">
        <v>0</v>
      </c>
      <c r="W9" s="231">
        <v>0</v>
      </c>
      <c r="X9" s="231">
        <v>0</v>
      </c>
      <c r="Y9" s="231">
        <v>0</v>
      </c>
      <c r="Z9" s="231">
        <v>0</v>
      </c>
      <c r="AA9" s="231">
        <v>0</v>
      </c>
      <c r="AB9" s="231">
        <v>0</v>
      </c>
      <c r="AC9" s="231">
        <v>0</v>
      </c>
      <c r="AD9" s="231">
        <v>0</v>
      </c>
      <c r="AE9" s="231">
        <v>0</v>
      </c>
      <c r="AF9" s="231">
        <v>0</v>
      </c>
      <c r="AG9" s="231">
        <v>0</v>
      </c>
      <c r="AH9" s="231">
        <v>0</v>
      </c>
      <c r="AI9" s="231">
        <v>0</v>
      </c>
      <c r="AJ9" s="231">
        <v>0</v>
      </c>
      <c r="AK9" s="231">
        <v>0</v>
      </c>
      <c r="AL9" s="231">
        <v>0</v>
      </c>
      <c r="AM9" s="231">
        <v>0</v>
      </c>
      <c r="AN9" s="231">
        <v>0</v>
      </c>
    </row>
    <row r="10" spans="1:40" x14ac:dyDescent="0.3">
      <c r="A10" s="231" t="s">
        <v>202</v>
      </c>
      <c r="B10" s="256">
        <v>7</v>
      </c>
      <c r="C10" s="231">
        <v>28</v>
      </c>
      <c r="D10" s="231">
        <v>1</v>
      </c>
      <c r="E10" s="231">
        <v>6</v>
      </c>
      <c r="F10" s="231">
        <v>873079</v>
      </c>
      <c r="G10" s="231">
        <v>0</v>
      </c>
      <c r="H10" s="231">
        <v>297231</v>
      </c>
      <c r="I10" s="231">
        <v>0</v>
      </c>
      <c r="J10" s="231">
        <v>0</v>
      </c>
      <c r="K10" s="231">
        <v>93752</v>
      </c>
      <c r="L10" s="231">
        <v>22480</v>
      </c>
      <c r="M10" s="231">
        <v>0</v>
      </c>
      <c r="N10" s="231">
        <v>167725</v>
      </c>
      <c r="O10" s="231">
        <v>0</v>
      </c>
      <c r="P10" s="231">
        <v>0</v>
      </c>
      <c r="Q10" s="231">
        <v>0</v>
      </c>
      <c r="R10" s="231">
        <v>0</v>
      </c>
      <c r="S10" s="231">
        <v>0</v>
      </c>
      <c r="T10" s="231">
        <v>0</v>
      </c>
      <c r="U10" s="231">
        <v>0</v>
      </c>
      <c r="V10" s="231">
        <v>0</v>
      </c>
      <c r="W10" s="231">
        <v>0</v>
      </c>
      <c r="X10" s="231">
        <v>0</v>
      </c>
      <c r="Y10" s="231">
        <v>0</v>
      </c>
      <c r="Z10" s="231">
        <v>238742</v>
      </c>
      <c r="AA10" s="231">
        <v>0</v>
      </c>
      <c r="AB10" s="231">
        <v>0</v>
      </c>
      <c r="AC10" s="231">
        <v>0</v>
      </c>
      <c r="AD10" s="231">
        <v>0</v>
      </c>
      <c r="AE10" s="231">
        <v>0</v>
      </c>
      <c r="AF10" s="231">
        <v>0</v>
      </c>
      <c r="AG10" s="231">
        <v>0</v>
      </c>
      <c r="AH10" s="231">
        <v>14850</v>
      </c>
      <c r="AI10" s="231">
        <v>0</v>
      </c>
      <c r="AJ10" s="231">
        <v>0</v>
      </c>
      <c r="AK10" s="231">
        <v>0</v>
      </c>
      <c r="AL10" s="231">
        <v>0</v>
      </c>
      <c r="AM10" s="231">
        <v>38299</v>
      </c>
      <c r="AN10" s="231">
        <v>0</v>
      </c>
    </row>
    <row r="11" spans="1:40" x14ac:dyDescent="0.3">
      <c r="A11" s="231" t="s">
        <v>203</v>
      </c>
      <c r="B11" s="256">
        <v>8</v>
      </c>
      <c r="C11" s="231">
        <v>28</v>
      </c>
      <c r="D11" s="231">
        <v>1</v>
      </c>
      <c r="E11" s="231">
        <v>7</v>
      </c>
      <c r="F11" s="231">
        <v>0</v>
      </c>
      <c r="G11" s="231">
        <v>0</v>
      </c>
      <c r="H11" s="231">
        <v>0</v>
      </c>
      <c r="I11" s="231">
        <v>0</v>
      </c>
      <c r="J11" s="231">
        <v>0</v>
      </c>
      <c r="K11" s="231">
        <v>0</v>
      </c>
      <c r="L11" s="231">
        <v>0</v>
      </c>
      <c r="M11" s="231">
        <v>0</v>
      </c>
      <c r="N11" s="231">
        <v>0</v>
      </c>
      <c r="O11" s="231">
        <v>0</v>
      </c>
      <c r="P11" s="231">
        <v>0</v>
      </c>
      <c r="Q11" s="231">
        <v>0</v>
      </c>
      <c r="R11" s="231">
        <v>0</v>
      </c>
      <c r="S11" s="231">
        <v>0</v>
      </c>
      <c r="T11" s="231">
        <v>0</v>
      </c>
      <c r="U11" s="231">
        <v>0</v>
      </c>
      <c r="V11" s="231">
        <v>0</v>
      </c>
      <c r="W11" s="231">
        <v>0</v>
      </c>
      <c r="X11" s="231">
        <v>0</v>
      </c>
      <c r="Y11" s="231">
        <v>0</v>
      </c>
      <c r="Z11" s="231">
        <v>0</v>
      </c>
      <c r="AA11" s="231">
        <v>0</v>
      </c>
      <c r="AB11" s="231">
        <v>0</v>
      </c>
      <c r="AC11" s="231">
        <v>0</v>
      </c>
      <c r="AD11" s="231">
        <v>0</v>
      </c>
      <c r="AE11" s="231">
        <v>0</v>
      </c>
      <c r="AF11" s="231">
        <v>0</v>
      </c>
      <c r="AG11" s="231">
        <v>0</v>
      </c>
      <c r="AH11" s="231">
        <v>0</v>
      </c>
      <c r="AI11" s="231">
        <v>0</v>
      </c>
      <c r="AJ11" s="231">
        <v>0</v>
      </c>
      <c r="AK11" s="231">
        <v>0</v>
      </c>
      <c r="AL11" s="231">
        <v>0</v>
      </c>
      <c r="AM11" s="231">
        <v>0</v>
      </c>
      <c r="AN11" s="231">
        <v>0</v>
      </c>
    </row>
    <row r="12" spans="1:40" x14ac:dyDescent="0.3">
      <c r="A12" s="231" t="s">
        <v>204</v>
      </c>
      <c r="B12" s="256">
        <v>9</v>
      </c>
      <c r="C12" s="231">
        <v>28</v>
      </c>
      <c r="D12" s="231">
        <v>1</v>
      </c>
      <c r="E12" s="231">
        <v>8</v>
      </c>
      <c r="F12" s="231">
        <v>0</v>
      </c>
      <c r="G12" s="231">
        <v>0</v>
      </c>
      <c r="H12" s="231">
        <v>0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0</v>
      </c>
      <c r="Q12" s="231">
        <v>0</v>
      </c>
      <c r="R12" s="231">
        <v>0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v>0</v>
      </c>
      <c r="AF12" s="231">
        <v>0</v>
      </c>
      <c r="AG12" s="231">
        <v>0</v>
      </c>
      <c r="AH12" s="231">
        <v>0</v>
      </c>
      <c r="AI12" s="231">
        <v>0</v>
      </c>
      <c r="AJ12" s="231">
        <v>0</v>
      </c>
      <c r="AK12" s="231">
        <v>0</v>
      </c>
      <c r="AL12" s="231">
        <v>0</v>
      </c>
      <c r="AM12" s="231">
        <v>0</v>
      </c>
      <c r="AN12" s="231">
        <v>0</v>
      </c>
    </row>
    <row r="13" spans="1:40" x14ac:dyDescent="0.3">
      <c r="A13" s="231" t="s">
        <v>205</v>
      </c>
      <c r="B13" s="256">
        <v>10</v>
      </c>
      <c r="C13" s="231">
        <v>28</v>
      </c>
      <c r="D13" s="231">
        <v>1</v>
      </c>
      <c r="E13" s="231">
        <v>9</v>
      </c>
      <c r="F13" s="231">
        <v>4400</v>
      </c>
      <c r="G13" s="231">
        <v>0</v>
      </c>
      <c r="H13" s="231">
        <v>4400</v>
      </c>
      <c r="I13" s="231">
        <v>0</v>
      </c>
      <c r="J13" s="231">
        <v>0</v>
      </c>
      <c r="K13" s="231">
        <v>0</v>
      </c>
      <c r="L13" s="231">
        <v>0</v>
      </c>
      <c r="M13" s="231">
        <v>0</v>
      </c>
      <c r="N13" s="231">
        <v>0</v>
      </c>
      <c r="O13" s="231">
        <v>0</v>
      </c>
      <c r="P13" s="231">
        <v>0</v>
      </c>
      <c r="Q13" s="231">
        <v>0</v>
      </c>
      <c r="R13" s="231">
        <v>0</v>
      </c>
      <c r="S13" s="231">
        <v>0</v>
      </c>
      <c r="T13" s="231">
        <v>0</v>
      </c>
      <c r="U13" s="231">
        <v>0</v>
      </c>
      <c r="V13" s="231">
        <v>0</v>
      </c>
      <c r="W13" s="231">
        <v>0</v>
      </c>
      <c r="X13" s="231">
        <v>0</v>
      </c>
      <c r="Y13" s="231">
        <v>0</v>
      </c>
      <c r="Z13" s="231">
        <v>0</v>
      </c>
      <c r="AA13" s="231">
        <v>0</v>
      </c>
      <c r="AB13" s="231">
        <v>0</v>
      </c>
      <c r="AC13" s="231">
        <v>0</v>
      </c>
      <c r="AD13" s="231">
        <v>0</v>
      </c>
      <c r="AE13" s="231">
        <v>0</v>
      </c>
      <c r="AF13" s="231">
        <v>0</v>
      </c>
      <c r="AG13" s="231">
        <v>0</v>
      </c>
      <c r="AH13" s="231">
        <v>0</v>
      </c>
      <c r="AI13" s="231">
        <v>0</v>
      </c>
      <c r="AJ13" s="231">
        <v>0</v>
      </c>
      <c r="AK13" s="231">
        <v>0</v>
      </c>
      <c r="AL13" s="231">
        <v>0</v>
      </c>
      <c r="AM13" s="231">
        <v>0</v>
      </c>
      <c r="AN13" s="231">
        <v>0</v>
      </c>
    </row>
    <row r="14" spans="1:40" x14ac:dyDescent="0.3">
      <c r="A14" s="231" t="s">
        <v>206</v>
      </c>
      <c r="B14" s="256">
        <v>11</v>
      </c>
      <c r="C14" s="231">
        <v>28</v>
      </c>
      <c r="D14" s="231">
        <v>1</v>
      </c>
      <c r="E14" s="231">
        <v>10</v>
      </c>
      <c r="F14" s="231">
        <v>6800</v>
      </c>
      <c r="G14" s="231">
        <v>0</v>
      </c>
      <c r="H14" s="231">
        <v>800</v>
      </c>
      <c r="I14" s="231">
        <v>0</v>
      </c>
      <c r="J14" s="231">
        <v>0</v>
      </c>
      <c r="K14" s="231">
        <v>6000</v>
      </c>
      <c r="L14" s="231">
        <v>0</v>
      </c>
      <c r="M14" s="231">
        <v>0</v>
      </c>
      <c r="N14" s="231">
        <v>0</v>
      </c>
      <c r="O14" s="231">
        <v>0</v>
      </c>
      <c r="P14" s="231">
        <v>0</v>
      </c>
      <c r="Q14" s="231">
        <v>0</v>
      </c>
      <c r="R14" s="231">
        <v>0</v>
      </c>
      <c r="S14" s="231">
        <v>0</v>
      </c>
      <c r="T14" s="231">
        <v>0</v>
      </c>
      <c r="U14" s="231">
        <v>0</v>
      </c>
      <c r="V14" s="231">
        <v>0</v>
      </c>
      <c r="W14" s="231">
        <v>0</v>
      </c>
      <c r="X14" s="231">
        <v>0</v>
      </c>
      <c r="Y14" s="231">
        <v>0</v>
      </c>
      <c r="Z14" s="231">
        <v>0</v>
      </c>
      <c r="AA14" s="231">
        <v>0</v>
      </c>
      <c r="AB14" s="231">
        <v>0</v>
      </c>
      <c r="AC14" s="231">
        <v>0</v>
      </c>
      <c r="AD14" s="231">
        <v>0</v>
      </c>
      <c r="AE14" s="231">
        <v>0</v>
      </c>
      <c r="AF14" s="231">
        <v>0</v>
      </c>
      <c r="AG14" s="231">
        <v>0</v>
      </c>
      <c r="AH14" s="231">
        <v>0</v>
      </c>
      <c r="AI14" s="231">
        <v>0</v>
      </c>
      <c r="AJ14" s="231">
        <v>0</v>
      </c>
      <c r="AK14" s="231">
        <v>0</v>
      </c>
      <c r="AL14" s="231">
        <v>0</v>
      </c>
      <c r="AM14" s="231">
        <v>0</v>
      </c>
      <c r="AN14" s="231">
        <v>0</v>
      </c>
    </row>
    <row r="15" spans="1:40" x14ac:dyDescent="0.3">
      <c r="A15" s="231" t="s">
        <v>207</v>
      </c>
      <c r="B15" s="256">
        <v>12</v>
      </c>
      <c r="C15" s="231">
        <v>28</v>
      </c>
      <c r="D15" s="231">
        <v>1</v>
      </c>
      <c r="E15" s="231">
        <v>11</v>
      </c>
      <c r="F15" s="231">
        <v>5883.25</v>
      </c>
      <c r="G15" s="231">
        <v>0</v>
      </c>
      <c r="H15" s="231">
        <v>1799.9166666666667</v>
      </c>
      <c r="I15" s="231">
        <v>0</v>
      </c>
      <c r="J15" s="231">
        <v>0</v>
      </c>
      <c r="K15" s="231">
        <v>4083.3333333333335</v>
      </c>
      <c r="L15" s="231">
        <v>0</v>
      </c>
      <c r="M15" s="231">
        <v>0</v>
      </c>
      <c r="N15" s="231">
        <v>0</v>
      </c>
      <c r="O15" s="231">
        <v>0</v>
      </c>
      <c r="P15" s="231">
        <v>0</v>
      </c>
      <c r="Q15" s="231">
        <v>0</v>
      </c>
      <c r="R15" s="231">
        <v>0</v>
      </c>
      <c r="S15" s="231">
        <v>0</v>
      </c>
      <c r="T15" s="231">
        <v>0</v>
      </c>
      <c r="U15" s="231">
        <v>0</v>
      </c>
      <c r="V15" s="231">
        <v>0</v>
      </c>
      <c r="W15" s="231">
        <v>0</v>
      </c>
      <c r="X15" s="231">
        <v>0</v>
      </c>
      <c r="Y15" s="231">
        <v>0</v>
      </c>
      <c r="Z15" s="231">
        <v>0</v>
      </c>
      <c r="AA15" s="231">
        <v>0</v>
      </c>
      <c r="AB15" s="231">
        <v>0</v>
      </c>
      <c r="AC15" s="231">
        <v>0</v>
      </c>
      <c r="AD15" s="231">
        <v>0</v>
      </c>
      <c r="AE15" s="231">
        <v>0</v>
      </c>
      <c r="AF15" s="231">
        <v>0</v>
      </c>
      <c r="AG15" s="231">
        <v>0</v>
      </c>
      <c r="AH15" s="231">
        <v>0</v>
      </c>
      <c r="AI15" s="231">
        <v>0</v>
      </c>
      <c r="AJ15" s="231">
        <v>0</v>
      </c>
      <c r="AK15" s="231">
        <v>0</v>
      </c>
      <c r="AL15" s="231">
        <v>0</v>
      </c>
      <c r="AM15" s="231">
        <v>0</v>
      </c>
      <c r="AN15" s="231">
        <v>0</v>
      </c>
    </row>
    <row r="16" spans="1:40" x14ac:dyDescent="0.3">
      <c r="A16" s="231" t="s">
        <v>195</v>
      </c>
      <c r="B16" s="256">
        <v>2014</v>
      </c>
      <c r="C16" s="231">
        <v>28</v>
      </c>
      <c r="D16" s="231">
        <v>2</v>
      </c>
      <c r="E16" s="231">
        <v>1</v>
      </c>
      <c r="F16" s="231">
        <v>27.4</v>
      </c>
      <c r="G16" s="231">
        <v>0</v>
      </c>
      <c r="H16" s="231">
        <v>5.5</v>
      </c>
      <c r="I16" s="231">
        <v>0</v>
      </c>
      <c r="J16" s="231">
        <v>0</v>
      </c>
      <c r="K16" s="231">
        <v>3</v>
      </c>
      <c r="L16" s="231">
        <v>1</v>
      </c>
      <c r="M16" s="231">
        <v>0</v>
      </c>
      <c r="N16" s="231">
        <v>7.5</v>
      </c>
      <c r="O16" s="231">
        <v>0</v>
      </c>
      <c r="P16" s="231">
        <v>0</v>
      </c>
      <c r="Q16" s="231">
        <v>0</v>
      </c>
      <c r="R16" s="231">
        <v>0</v>
      </c>
      <c r="S16" s="231">
        <v>0</v>
      </c>
      <c r="T16" s="231">
        <v>0</v>
      </c>
      <c r="U16" s="231">
        <v>0</v>
      </c>
      <c r="V16" s="231">
        <v>0</v>
      </c>
      <c r="W16" s="231">
        <v>0</v>
      </c>
      <c r="X16" s="231">
        <v>0</v>
      </c>
      <c r="Y16" s="231">
        <v>0</v>
      </c>
      <c r="Z16" s="231">
        <v>7.6</v>
      </c>
      <c r="AA16" s="231">
        <v>0</v>
      </c>
      <c r="AB16" s="231">
        <v>0</v>
      </c>
      <c r="AC16" s="231">
        <v>0</v>
      </c>
      <c r="AD16" s="231">
        <v>0</v>
      </c>
      <c r="AE16" s="231">
        <v>0</v>
      </c>
      <c r="AF16" s="231">
        <v>0</v>
      </c>
      <c r="AG16" s="231">
        <v>0</v>
      </c>
      <c r="AH16" s="231">
        <v>1</v>
      </c>
      <c r="AI16" s="231">
        <v>0</v>
      </c>
      <c r="AJ16" s="231">
        <v>0</v>
      </c>
      <c r="AK16" s="231">
        <v>0</v>
      </c>
      <c r="AL16" s="231">
        <v>0</v>
      </c>
      <c r="AM16" s="231">
        <v>1.8</v>
      </c>
      <c r="AN16" s="231">
        <v>0</v>
      </c>
    </row>
    <row r="17" spans="3:40" x14ac:dyDescent="0.3">
      <c r="C17" s="231">
        <v>28</v>
      </c>
      <c r="D17" s="231">
        <v>2</v>
      </c>
      <c r="E17" s="231">
        <v>2</v>
      </c>
      <c r="F17" s="231">
        <v>3856</v>
      </c>
      <c r="G17" s="231">
        <v>0</v>
      </c>
      <c r="H17" s="231">
        <v>760</v>
      </c>
      <c r="I17" s="231">
        <v>0</v>
      </c>
      <c r="J17" s="231">
        <v>0</v>
      </c>
      <c r="K17" s="231">
        <v>392</v>
      </c>
      <c r="L17" s="231">
        <v>160</v>
      </c>
      <c r="M17" s="231">
        <v>0</v>
      </c>
      <c r="N17" s="231">
        <v>1040</v>
      </c>
      <c r="O17" s="231">
        <v>0</v>
      </c>
      <c r="P17" s="231">
        <v>0</v>
      </c>
      <c r="Q17" s="231">
        <v>0</v>
      </c>
      <c r="R17" s="231">
        <v>0</v>
      </c>
      <c r="S17" s="231">
        <v>0</v>
      </c>
      <c r="T17" s="231">
        <v>0</v>
      </c>
      <c r="U17" s="231">
        <v>0</v>
      </c>
      <c r="V17" s="231">
        <v>0</v>
      </c>
      <c r="W17" s="231">
        <v>0</v>
      </c>
      <c r="X17" s="231">
        <v>0</v>
      </c>
      <c r="Y17" s="231">
        <v>0</v>
      </c>
      <c r="Z17" s="231">
        <v>1072</v>
      </c>
      <c r="AA17" s="231">
        <v>0</v>
      </c>
      <c r="AB17" s="231">
        <v>0</v>
      </c>
      <c r="AC17" s="231">
        <v>0</v>
      </c>
      <c r="AD17" s="231">
        <v>0</v>
      </c>
      <c r="AE17" s="231">
        <v>0</v>
      </c>
      <c r="AF17" s="231">
        <v>0</v>
      </c>
      <c r="AG17" s="231">
        <v>0</v>
      </c>
      <c r="AH17" s="231">
        <v>152</v>
      </c>
      <c r="AI17" s="231">
        <v>0</v>
      </c>
      <c r="AJ17" s="231">
        <v>0</v>
      </c>
      <c r="AK17" s="231">
        <v>0</v>
      </c>
      <c r="AL17" s="231">
        <v>0</v>
      </c>
      <c r="AM17" s="231">
        <v>280</v>
      </c>
      <c r="AN17" s="231">
        <v>0</v>
      </c>
    </row>
    <row r="18" spans="3:40" x14ac:dyDescent="0.3">
      <c r="C18" s="231">
        <v>28</v>
      </c>
      <c r="D18" s="231">
        <v>2</v>
      </c>
      <c r="E18" s="231">
        <v>3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v>0</v>
      </c>
      <c r="AF18" s="231">
        <v>0</v>
      </c>
      <c r="AG18" s="231">
        <v>0</v>
      </c>
      <c r="AH18" s="231">
        <v>0</v>
      </c>
      <c r="AI18" s="231">
        <v>0</v>
      </c>
      <c r="AJ18" s="231">
        <v>0</v>
      </c>
      <c r="AK18" s="231">
        <v>0</v>
      </c>
      <c r="AL18" s="231">
        <v>0</v>
      </c>
      <c r="AM18" s="231">
        <v>0</v>
      </c>
      <c r="AN18" s="231">
        <v>0</v>
      </c>
    </row>
    <row r="19" spans="3:40" x14ac:dyDescent="0.3">
      <c r="C19" s="231">
        <v>28</v>
      </c>
      <c r="D19" s="231">
        <v>2</v>
      </c>
      <c r="E19" s="231">
        <v>4</v>
      </c>
      <c r="F19" s="231">
        <v>0</v>
      </c>
      <c r="G19" s="231">
        <v>0</v>
      </c>
      <c r="H19" s="231">
        <v>0</v>
      </c>
      <c r="I19" s="231">
        <v>0</v>
      </c>
      <c r="J19" s="231">
        <v>0</v>
      </c>
      <c r="K19" s="231">
        <v>0</v>
      </c>
      <c r="L19" s="231">
        <v>0</v>
      </c>
      <c r="M19" s="231">
        <v>0</v>
      </c>
      <c r="N19" s="231">
        <v>0</v>
      </c>
      <c r="O19" s="231">
        <v>0</v>
      </c>
      <c r="P19" s="231">
        <v>0</v>
      </c>
      <c r="Q19" s="231">
        <v>0</v>
      </c>
      <c r="R19" s="231">
        <v>0</v>
      </c>
      <c r="S19" s="231">
        <v>0</v>
      </c>
      <c r="T19" s="231">
        <v>0</v>
      </c>
      <c r="U19" s="231">
        <v>0</v>
      </c>
      <c r="V19" s="231">
        <v>0</v>
      </c>
      <c r="W19" s="231">
        <v>0</v>
      </c>
      <c r="X19" s="231">
        <v>0</v>
      </c>
      <c r="Y19" s="231">
        <v>0</v>
      </c>
      <c r="Z19" s="231">
        <v>0</v>
      </c>
      <c r="AA19" s="231">
        <v>0</v>
      </c>
      <c r="AB19" s="231">
        <v>0</v>
      </c>
      <c r="AC19" s="231">
        <v>0</v>
      </c>
      <c r="AD19" s="231">
        <v>0</v>
      </c>
      <c r="AE19" s="231">
        <v>0</v>
      </c>
      <c r="AF19" s="231">
        <v>0</v>
      </c>
      <c r="AG19" s="231">
        <v>0</v>
      </c>
      <c r="AH19" s="231">
        <v>0</v>
      </c>
      <c r="AI19" s="231">
        <v>0</v>
      </c>
      <c r="AJ19" s="231">
        <v>0</v>
      </c>
      <c r="AK19" s="231">
        <v>0</v>
      </c>
      <c r="AL19" s="231">
        <v>0</v>
      </c>
      <c r="AM19" s="231">
        <v>0</v>
      </c>
      <c r="AN19" s="231">
        <v>0</v>
      </c>
    </row>
    <row r="20" spans="3:40" x14ac:dyDescent="0.3">
      <c r="C20" s="231">
        <v>28</v>
      </c>
      <c r="D20" s="231">
        <v>2</v>
      </c>
      <c r="E20" s="231">
        <v>5</v>
      </c>
      <c r="F20" s="231">
        <v>0</v>
      </c>
      <c r="G20" s="231">
        <v>0</v>
      </c>
      <c r="H20" s="231">
        <v>0</v>
      </c>
      <c r="I20" s="231">
        <v>0</v>
      </c>
      <c r="J20" s="231">
        <v>0</v>
      </c>
      <c r="K20" s="231">
        <v>0</v>
      </c>
      <c r="L20" s="231">
        <v>0</v>
      </c>
      <c r="M20" s="231">
        <v>0</v>
      </c>
      <c r="N20" s="231">
        <v>0</v>
      </c>
      <c r="O20" s="231">
        <v>0</v>
      </c>
      <c r="P20" s="231">
        <v>0</v>
      </c>
      <c r="Q20" s="231">
        <v>0</v>
      </c>
      <c r="R20" s="231">
        <v>0</v>
      </c>
      <c r="S20" s="231">
        <v>0</v>
      </c>
      <c r="T20" s="231">
        <v>0</v>
      </c>
      <c r="U20" s="231">
        <v>0</v>
      </c>
      <c r="V20" s="231">
        <v>0</v>
      </c>
      <c r="W20" s="231">
        <v>0</v>
      </c>
      <c r="X20" s="231">
        <v>0</v>
      </c>
      <c r="Y20" s="231">
        <v>0</v>
      </c>
      <c r="Z20" s="231">
        <v>0</v>
      </c>
      <c r="AA20" s="231">
        <v>0</v>
      </c>
      <c r="AB20" s="231">
        <v>0</v>
      </c>
      <c r="AC20" s="231">
        <v>0</v>
      </c>
      <c r="AD20" s="231">
        <v>0</v>
      </c>
      <c r="AE20" s="231">
        <v>0</v>
      </c>
      <c r="AF20" s="231">
        <v>0</v>
      </c>
      <c r="AG20" s="231">
        <v>0</v>
      </c>
      <c r="AH20" s="231">
        <v>0</v>
      </c>
      <c r="AI20" s="231">
        <v>0</v>
      </c>
      <c r="AJ20" s="231">
        <v>0</v>
      </c>
      <c r="AK20" s="231">
        <v>0</v>
      </c>
      <c r="AL20" s="231">
        <v>0</v>
      </c>
      <c r="AM20" s="231">
        <v>0</v>
      </c>
      <c r="AN20" s="231">
        <v>0</v>
      </c>
    </row>
    <row r="21" spans="3:40" x14ac:dyDescent="0.3">
      <c r="C21" s="231">
        <v>28</v>
      </c>
      <c r="D21" s="231">
        <v>2</v>
      </c>
      <c r="E21" s="231">
        <v>6</v>
      </c>
      <c r="F21" s="231">
        <v>851607</v>
      </c>
      <c r="G21" s="231">
        <v>0</v>
      </c>
      <c r="H21" s="231">
        <v>303084</v>
      </c>
      <c r="I21" s="231">
        <v>0</v>
      </c>
      <c r="J21" s="231">
        <v>0</v>
      </c>
      <c r="K21" s="231">
        <v>92548</v>
      </c>
      <c r="L21" s="231">
        <v>22480</v>
      </c>
      <c r="M21" s="231">
        <v>0</v>
      </c>
      <c r="N21" s="231">
        <v>152872</v>
      </c>
      <c r="O21" s="231">
        <v>0</v>
      </c>
      <c r="P21" s="231">
        <v>0</v>
      </c>
      <c r="Q21" s="231">
        <v>0</v>
      </c>
      <c r="R21" s="231">
        <v>0</v>
      </c>
      <c r="S21" s="231">
        <v>0</v>
      </c>
      <c r="T21" s="231">
        <v>0</v>
      </c>
      <c r="U21" s="231">
        <v>0</v>
      </c>
      <c r="V21" s="231">
        <v>0</v>
      </c>
      <c r="W21" s="231">
        <v>0</v>
      </c>
      <c r="X21" s="231">
        <v>0</v>
      </c>
      <c r="Y21" s="231">
        <v>0</v>
      </c>
      <c r="Z21" s="231">
        <v>228922</v>
      </c>
      <c r="AA21" s="231">
        <v>0</v>
      </c>
      <c r="AB21" s="231">
        <v>0</v>
      </c>
      <c r="AC21" s="231">
        <v>0</v>
      </c>
      <c r="AD21" s="231">
        <v>0</v>
      </c>
      <c r="AE21" s="231">
        <v>0</v>
      </c>
      <c r="AF21" s="231">
        <v>0</v>
      </c>
      <c r="AG21" s="231">
        <v>0</v>
      </c>
      <c r="AH21" s="231">
        <v>14878</v>
      </c>
      <c r="AI21" s="231">
        <v>0</v>
      </c>
      <c r="AJ21" s="231">
        <v>0</v>
      </c>
      <c r="AK21" s="231">
        <v>0</v>
      </c>
      <c r="AL21" s="231">
        <v>0</v>
      </c>
      <c r="AM21" s="231">
        <v>36823</v>
      </c>
      <c r="AN21" s="231">
        <v>0</v>
      </c>
    </row>
    <row r="22" spans="3:40" x14ac:dyDescent="0.3">
      <c r="C22" s="231">
        <v>28</v>
      </c>
      <c r="D22" s="231">
        <v>2</v>
      </c>
      <c r="E22" s="231">
        <v>7</v>
      </c>
      <c r="F22" s="231">
        <v>0</v>
      </c>
      <c r="G22" s="231">
        <v>0</v>
      </c>
      <c r="H22" s="231">
        <v>0</v>
      </c>
      <c r="I22" s="231">
        <v>0</v>
      </c>
      <c r="J22" s="231">
        <v>0</v>
      </c>
      <c r="K22" s="231">
        <v>0</v>
      </c>
      <c r="L22" s="231">
        <v>0</v>
      </c>
      <c r="M22" s="231">
        <v>0</v>
      </c>
      <c r="N22" s="231">
        <v>0</v>
      </c>
      <c r="O22" s="231">
        <v>0</v>
      </c>
      <c r="P22" s="231">
        <v>0</v>
      </c>
      <c r="Q22" s="231">
        <v>0</v>
      </c>
      <c r="R22" s="231">
        <v>0</v>
      </c>
      <c r="S22" s="231">
        <v>0</v>
      </c>
      <c r="T22" s="231">
        <v>0</v>
      </c>
      <c r="U22" s="231">
        <v>0</v>
      </c>
      <c r="V22" s="231">
        <v>0</v>
      </c>
      <c r="W22" s="231">
        <v>0</v>
      </c>
      <c r="X22" s="231">
        <v>0</v>
      </c>
      <c r="Y22" s="231">
        <v>0</v>
      </c>
      <c r="Z22" s="231">
        <v>0</v>
      </c>
      <c r="AA22" s="231">
        <v>0</v>
      </c>
      <c r="AB22" s="231">
        <v>0</v>
      </c>
      <c r="AC22" s="231">
        <v>0</v>
      </c>
      <c r="AD22" s="231">
        <v>0</v>
      </c>
      <c r="AE22" s="231">
        <v>0</v>
      </c>
      <c r="AF22" s="231">
        <v>0</v>
      </c>
      <c r="AG22" s="231">
        <v>0</v>
      </c>
      <c r="AH22" s="231">
        <v>0</v>
      </c>
      <c r="AI22" s="231">
        <v>0</v>
      </c>
      <c r="AJ22" s="231">
        <v>0</v>
      </c>
      <c r="AK22" s="231">
        <v>0</v>
      </c>
      <c r="AL22" s="231">
        <v>0</v>
      </c>
      <c r="AM22" s="231">
        <v>0</v>
      </c>
      <c r="AN22" s="231">
        <v>0</v>
      </c>
    </row>
    <row r="23" spans="3:40" x14ac:dyDescent="0.3">
      <c r="C23" s="231">
        <v>28</v>
      </c>
      <c r="D23" s="231">
        <v>2</v>
      </c>
      <c r="E23" s="231">
        <v>8</v>
      </c>
      <c r="F23" s="231">
        <v>0</v>
      </c>
      <c r="G23" s="231">
        <v>0</v>
      </c>
      <c r="H23" s="231">
        <v>0</v>
      </c>
      <c r="I23" s="231">
        <v>0</v>
      </c>
      <c r="J23" s="231">
        <v>0</v>
      </c>
      <c r="K23" s="231">
        <v>0</v>
      </c>
      <c r="L23" s="231">
        <v>0</v>
      </c>
      <c r="M23" s="231">
        <v>0</v>
      </c>
      <c r="N23" s="231">
        <v>0</v>
      </c>
      <c r="O23" s="231">
        <v>0</v>
      </c>
      <c r="P23" s="231">
        <v>0</v>
      </c>
      <c r="Q23" s="231">
        <v>0</v>
      </c>
      <c r="R23" s="231">
        <v>0</v>
      </c>
      <c r="S23" s="231">
        <v>0</v>
      </c>
      <c r="T23" s="231">
        <v>0</v>
      </c>
      <c r="U23" s="231">
        <v>0</v>
      </c>
      <c r="V23" s="231">
        <v>0</v>
      </c>
      <c r="W23" s="231">
        <v>0</v>
      </c>
      <c r="X23" s="231">
        <v>0</v>
      </c>
      <c r="Y23" s="231">
        <v>0</v>
      </c>
      <c r="Z23" s="231">
        <v>0</v>
      </c>
      <c r="AA23" s="231">
        <v>0</v>
      </c>
      <c r="AB23" s="231">
        <v>0</v>
      </c>
      <c r="AC23" s="231">
        <v>0</v>
      </c>
      <c r="AD23" s="231">
        <v>0</v>
      </c>
      <c r="AE23" s="231">
        <v>0</v>
      </c>
      <c r="AF23" s="231">
        <v>0</v>
      </c>
      <c r="AG23" s="231">
        <v>0</v>
      </c>
      <c r="AH23" s="231">
        <v>0</v>
      </c>
      <c r="AI23" s="231">
        <v>0</v>
      </c>
      <c r="AJ23" s="231">
        <v>0</v>
      </c>
      <c r="AK23" s="231">
        <v>0</v>
      </c>
      <c r="AL23" s="231">
        <v>0</v>
      </c>
      <c r="AM23" s="231">
        <v>0</v>
      </c>
      <c r="AN23" s="231">
        <v>0</v>
      </c>
    </row>
    <row r="24" spans="3:40" x14ac:dyDescent="0.3">
      <c r="C24" s="231">
        <v>28</v>
      </c>
      <c r="D24" s="231">
        <v>2</v>
      </c>
      <c r="E24" s="231">
        <v>9</v>
      </c>
      <c r="F24" s="231">
        <v>5200</v>
      </c>
      <c r="G24" s="231">
        <v>0</v>
      </c>
      <c r="H24" s="231">
        <v>5200</v>
      </c>
      <c r="I24" s="231">
        <v>0</v>
      </c>
      <c r="J24" s="231">
        <v>0</v>
      </c>
      <c r="K24" s="231">
        <v>0</v>
      </c>
      <c r="L24" s="231">
        <v>0</v>
      </c>
      <c r="M24" s="231">
        <v>0</v>
      </c>
      <c r="N24" s="231">
        <v>0</v>
      </c>
      <c r="O24" s="231">
        <v>0</v>
      </c>
      <c r="P24" s="231">
        <v>0</v>
      </c>
      <c r="Q24" s="231">
        <v>0</v>
      </c>
      <c r="R24" s="231">
        <v>0</v>
      </c>
      <c r="S24" s="231">
        <v>0</v>
      </c>
      <c r="T24" s="231">
        <v>0</v>
      </c>
      <c r="U24" s="231">
        <v>0</v>
      </c>
      <c r="V24" s="231">
        <v>0</v>
      </c>
      <c r="W24" s="231">
        <v>0</v>
      </c>
      <c r="X24" s="231">
        <v>0</v>
      </c>
      <c r="Y24" s="231">
        <v>0</v>
      </c>
      <c r="Z24" s="231">
        <v>0</v>
      </c>
      <c r="AA24" s="231">
        <v>0</v>
      </c>
      <c r="AB24" s="231">
        <v>0</v>
      </c>
      <c r="AC24" s="231">
        <v>0</v>
      </c>
      <c r="AD24" s="231">
        <v>0</v>
      </c>
      <c r="AE24" s="231">
        <v>0</v>
      </c>
      <c r="AF24" s="231">
        <v>0</v>
      </c>
      <c r="AG24" s="231">
        <v>0</v>
      </c>
      <c r="AH24" s="231">
        <v>0</v>
      </c>
      <c r="AI24" s="231">
        <v>0</v>
      </c>
      <c r="AJ24" s="231">
        <v>0</v>
      </c>
      <c r="AK24" s="231">
        <v>0</v>
      </c>
      <c r="AL24" s="231">
        <v>0</v>
      </c>
      <c r="AM24" s="231">
        <v>0</v>
      </c>
      <c r="AN24" s="231">
        <v>0</v>
      </c>
    </row>
    <row r="25" spans="3:40" x14ac:dyDescent="0.3">
      <c r="C25" s="231">
        <v>28</v>
      </c>
      <c r="D25" s="231">
        <v>2</v>
      </c>
      <c r="E25" s="231">
        <v>10</v>
      </c>
      <c r="F25" s="231">
        <v>2105</v>
      </c>
      <c r="G25" s="231">
        <v>0</v>
      </c>
      <c r="H25" s="231">
        <v>1500</v>
      </c>
      <c r="I25" s="231">
        <v>0</v>
      </c>
      <c r="J25" s="231">
        <v>0</v>
      </c>
      <c r="K25" s="231">
        <v>605</v>
      </c>
      <c r="L25" s="231">
        <v>0</v>
      </c>
      <c r="M25" s="231">
        <v>0</v>
      </c>
      <c r="N25" s="231">
        <v>0</v>
      </c>
      <c r="O25" s="231">
        <v>0</v>
      </c>
      <c r="P25" s="231">
        <v>0</v>
      </c>
      <c r="Q25" s="231">
        <v>0</v>
      </c>
      <c r="R25" s="231">
        <v>0</v>
      </c>
      <c r="S25" s="231">
        <v>0</v>
      </c>
      <c r="T25" s="231">
        <v>0</v>
      </c>
      <c r="U25" s="231">
        <v>0</v>
      </c>
      <c r="V25" s="231">
        <v>0</v>
      </c>
      <c r="W25" s="231">
        <v>0</v>
      </c>
      <c r="X25" s="231">
        <v>0</v>
      </c>
      <c r="Y25" s="231">
        <v>0</v>
      </c>
      <c r="Z25" s="231">
        <v>0</v>
      </c>
      <c r="AA25" s="231">
        <v>0</v>
      </c>
      <c r="AB25" s="231">
        <v>0</v>
      </c>
      <c r="AC25" s="231">
        <v>0</v>
      </c>
      <c r="AD25" s="231">
        <v>0</v>
      </c>
      <c r="AE25" s="231">
        <v>0</v>
      </c>
      <c r="AF25" s="231">
        <v>0</v>
      </c>
      <c r="AG25" s="231">
        <v>0</v>
      </c>
      <c r="AH25" s="231">
        <v>0</v>
      </c>
      <c r="AI25" s="231">
        <v>0</v>
      </c>
      <c r="AJ25" s="231">
        <v>0</v>
      </c>
      <c r="AK25" s="231">
        <v>0</v>
      </c>
      <c r="AL25" s="231">
        <v>0</v>
      </c>
      <c r="AM25" s="231">
        <v>0</v>
      </c>
      <c r="AN25" s="231">
        <v>0</v>
      </c>
    </row>
    <row r="26" spans="3:40" x14ac:dyDescent="0.3">
      <c r="C26" s="231">
        <v>28</v>
      </c>
      <c r="D26" s="231">
        <v>2</v>
      </c>
      <c r="E26" s="231">
        <v>11</v>
      </c>
      <c r="F26" s="231">
        <v>5883.25</v>
      </c>
      <c r="G26" s="231">
        <v>0</v>
      </c>
      <c r="H26" s="231">
        <v>1799.9166666666667</v>
      </c>
      <c r="I26" s="231">
        <v>0</v>
      </c>
      <c r="J26" s="231">
        <v>0</v>
      </c>
      <c r="K26" s="231">
        <v>4083.3333333333335</v>
      </c>
      <c r="L26" s="231">
        <v>0</v>
      </c>
      <c r="M26" s="231">
        <v>0</v>
      </c>
      <c r="N26" s="231">
        <v>0</v>
      </c>
      <c r="O26" s="231">
        <v>0</v>
      </c>
      <c r="P26" s="231">
        <v>0</v>
      </c>
      <c r="Q26" s="231">
        <v>0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0</v>
      </c>
      <c r="AB26" s="231">
        <v>0</v>
      </c>
      <c r="AC26" s="231">
        <v>0</v>
      </c>
      <c r="AD26" s="231">
        <v>0</v>
      </c>
      <c r="AE26" s="231">
        <v>0</v>
      </c>
      <c r="AF26" s="231">
        <v>0</v>
      </c>
      <c r="AG26" s="231">
        <v>0</v>
      </c>
      <c r="AH26" s="231">
        <v>0</v>
      </c>
      <c r="AI26" s="231">
        <v>0</v>
      </c>
      <c r="AJ26" s="231">
        <v>0</v>
      </c>
      <c r="AK26" s="231">
        <v>0</v>
      </c>
      <c r="AL26" s="231">
        <v>0</v>
      </c>
      <c r="AM26" s="231">
        <v>0</v>
      </c>
      <c r="AN26" s="231">
        <v>0</v>
      </c>
    </row>
    <row r="27" spans="3:40" x14ac:dyDescent="0.3">
      <c r="C27" s="231">
        <v>28</v>
      </c>
      <c r="D27" s="231">
        <v>3</v>
      </c>
      <c r="E27" s="231">
        <v>1</v>
      </c>
      <c r="F27" s="231">
        <v>27.4</v>
      </c>
      <c r="G27" s="231">
        <v>0</v>
      </c>
      <c r="H27" s="231">
        <v>5.5</v>
      </c>
      <c r="I27" s="231">
        <v>0</v>
      </c>
      <c r="J27" s="231">
        <v>0</v>
      </c>
      <c r="K27" s="231">
        <v>3</v>
      </c>
      <c r="L27" s="231">
        <v>1</v>
      </c>
      <c r="M27" s="231">
        <v>0</v>
      </c>
      <c r="N27" s="231">
        <v>7.5</v>
      </c>
      <c r="O27" s="231">
        <v>0</v>
      </c>
      <c r="P27" s="231">
        <v>0</v>
      </c>
      <c r="Q27" s="231">
        <v>0</v>
      </c>
      <c r="R27" s="231">
        <v>0</v>
      </c>
      <c r="S27" s="231">
        <v>0</v>
      </c>
      <c r="T27" s="231">
        <v>0</v>
      </c>
      <c r="U27" s="231">
        <v>0</v>
      </c>
      <c r="V27" s="231">
        <v>0</v>
      </c>
      <c r="W27" s="231">
        <v>0</v>
      </c>
      <c r="X27" s="231">
        <v>0</v>
      </c>
      <c r="Y27" s="231">
        <v>0</v>
      </c>
      <c r="Z27" s="231">
        <v>7.6</v>
      </c>
      <c r="AA27" s="231">
        <v>0</v>
      </c>
      <c r="AB27" s="231">
        <v>0</v>
      </c>
      <c r="AC27" s="231">
        <v>0</v>
      </c>
      <c r="AD27" s="231">
        <v>0</v>
      </c>
      <c r="AE27" s="231">
        <v>0</v>
      </c>
      <c r="AF27" s="231">
        <v>0</v>
      </c>
      <c r="AG27" s="231">
        <v>0</v>
      </c>
      <c r="AH27" s="231">
        <v>1</v>
      </c>
      <c r="AI27" s="231">
        <v>0</v>
      </c>
      <c r="AJ27" s="231">
        <v>0</v>
      </c>
      <c r="AK27" s="231">
        <v>0</v>
      </c>
      <c r="AL27" s="231">
        <v>0</v>
      </c>
      <c r="AM27" s="231">
        <v>1.8</v>
      </c>
      <c r="AN27" s="231">
        <v>0</v>
      </c>
    </row>
    <row r="28" spans="3:40" x14ac:dyDescent="0.3">
      <c r="C28" s="231">
        <v>28</v>
      </c>
      <c r="D28" s="231">
        <v>3</v>
      </c>
      <c r="E28" s="231">
        <v>2</v>
      </c>
      <c r="F28" s="231">
        <v>4295.2</v>
      </c>
      <c r="G28" s="231">
        <v>0</v>
      </c>
      <c r="H28" s="231">
        <v>816</v>
      </c>
      <c r="I28" s="231">
        <v>0</v>
      </c>
      <c r="J28" s="231">
        <v>0</v>
      </c>
      <c r="K28" s="231">
        <v>456</v>
      </c>
      <c r="L28" s="231">
        <v>128</v>
      </c>
      <c r="M28" s="231">
        <v>0</v>
      </c>
      <c r="N28" s="231">
        <v>1180</v>
      </c>
      <c r="O28" s="231">
        <v>0</v>
      </c>
      <c r="P28" s="231">
        <v>0</v>
      </c>
      <c r="Q28" s="231">
        <v>0</v>
      </c>
      <c r="R28" s="231">
        <v>0</v>
      </c>
      <c r="S28" s="231">
        <v>0</v>
      </c>
      <c r="T28" s="231">
        <v>0</v>
      </c>
      <c r="U28" s="231">
        <v>0</v>
      </c>
      <c r="V28" s="231">
        <v>0</v>
      </c>
      <c r="W28" s="231">
        <v>0</v>
      </c>
      <c r="X28" s="231">
        <v>0</v>
      </c>
      <c r="Y28" s="231">
        <v>0</v>
      </c>
      <c r="Z28" s="231">
        <v>1276.8</v>
      </c>
      <c r="AA28" s="231">
        <v>0</v>
      </c>
      <c r="AB28" s="231">
        <v>0</v>
      </c>
      <c r="AC28" s="231">
        <v>0</v>
      </c>
      <c r="AD28" s="231">
        <v>0</v>
      </c>
      <c r="AE28" s="231">
        <v>0</v>
      </c>
      <c r="AF28" s="231">
        <v>0</v>
      </c>
      <c r="AG28" s="231">
        <v>0</v>
      </c>
      <c r="AH28" s="231">
        <v>152</v>
      </c>
      <c r="AI28" s="231">
        <v>0</v>
      </c>
      <c r="AJ28" s="231">
        <v>0</v>
      </c>
      <c r="AK28" s="231">
        <v>0</v>
      </c>
      <c r="AL28" s="231">
        <v>0</v>
      </c>
      <c r="AM28" s="231">
        <v>286.39999999999998</v>
      </c>
      <c r="AN28" s="231">
        <v>0</v>
      </c>
    </row>
    <row r="29" spans="3:40" x14ac:dyDescent="0.3">
      <c r="C29" s="231">
        <v>28</v>
      </c>
      <c r="D29" s="231">
        <v>3</v>
      </c>
      <c r="E29" s="231">
        <v>3</v>
      </c>
      <c r="F29" s="231">
        <v>0</v>
      </c>
      <c r="G29" s="231">
        <v>0</v>
      </c>
      <c r="H29" s="231">
        <v>0</v>
      </c>
      <c r="I29" s="231">
        <v>0</v>
      </c>
      <c r="J29" s="231">
        <v>0</v>
      </c>
      <c r="K29" s="231">
        <v>0</v>
      </c>
      <c r="L29" s="231">
        <v>0</v>
      </c>
      <c r="M29" s="231">
        <v>0</v>
      </c>
      <c r="N29" s="231">
        <v>0</v>
      </c>
      <c r="O29" s="231">
        <v>0</v>
      </c>
      <c r="P29" s="231">
        <v>0</v>
      </c>
      <c r="Q29" s="231">
        <v>0</v>
      </c>
      <c r="R29" s="231">
        <v>0</v>
      </c>
      <c r="S29" s="231">
        <v>0</v>
      </c>
      <c r="T29" s="231">
        <v>0</v>
      </c>
      <c r="U29" s="231">
        <v>0</v>
      </c>
      <c r="V29" s="231">
        <v>0</v>
      </c>
      <c r="W29" s="231">
        <v>0</v>
      </c>
      <c r="X29" s="231">
        <v>0</v>
      </c>
      <c r="Y29" s="231">
        <v>0</v>
      </c>
      <c r="Z29" s="231">
        <v>0</v>
      </c>
      <c r="AA29" s="231">
        <v>0</v>
      </c>
      <c r="AB29" s="231">
        <v>0</v>
      </c>
      <c r="AC29" s="231">
        <v>0</v>
      </c>
      <c r="AD29" s="231">
        <v>0</v>
      </c>
      <c r="AE29" s="231">
        <v>0</v>
      </c>
      <c r="AF29" s="231">
        <v>0</v>
      </c>
      <c r="AG29" s="231">
        <v>0</v>
      </c>
      <c r="AH29" s="231">
        <v>0</v>
      </c>
      <c r="AI29" s="231">
        <v>0</v>
      </c>
      <c r="AJ29" s="231">
        <v>0</v>
      </c>
      <c r="AK29" s="231">
        <v>0</v>
      </c>
      <c r="AL29" s="231">
        <v>0</v>
      </c>
      <c r="AM29" s="231">
        <v>0</v>
      </c>
      <c r="AN29" s="231">
        <v>0</v>
      </c>
    </row>
    <row r="30" spans="3:40" x14ac:dyDescent="0.3">
      <c r="C30" s="231">
        <v>28</v>
      </c>
      <c r="D30" s="231">
        <v>3</v>
      </c>
      <c r="E30" s="231">
        <v>4</v>
      </c>
      <c r="F30" s="231">
        <v>0</v>
      </c>
      <c r="G30" s="231">
        <v>0</v>
      </c>
      <c r="H30" s="231">
        <v>0</v>
      </c>
      <c r="I30" s="231">
        <v>0</v>
      </c>
      <c r="J30" s="231">
        <v>0</v>
      </c>
      <c r="K30" s="231">
        <v>0</v>
      </c>
      <c r="L30" s="231">
        <v>0</v>
      </c>
      <c r="M30" s="231">
        <v>0</v>
      </c>
      <c r="N30" s="231">
        <v>0</v>
      </c>
      <c r="O30" s="231">
        <v>0</v>
      </c>
      <c r="P30" s="231">
        <v>0</v>
      </c>
      <c r="Q30" s="231">
        <v>0</v>
      </c>
      <c r="R30" s="231">
        <v>0</v>
      </c>
      <c r="S30" s="231">
        <v>0</v>
      </c>
      <c r="T30" s="231">
        <v>0</v>
      </c>
      <c r="U30" s="231">
        <v>0</v>
      </c>
      <c r="V30" s="231">
        <v>0</v>
      </c>
      <c r="W30" s="231">
        <v>0</v>
      </c>
      <c r="X30" s="231">
        <v>0</v>
      </c>
      <c r="Y30" s="231">
        <v>0</v>
      </c>
      <c r="Z30" s="231">
        <v>0</v>
      </c>
      <c r="AA30" s="231">
        <v>0</v>
      </c>
      <c r="AB30" s="231">
        <v>0</v>
      </c>
      <c r="AC30" s="231">
        <v>0</v>
      </c>
      <c r="AD30" s="231">
        <v>0</v>
      </c>
      <c r="AE30" s="231">
        <v>0</v>
      </c>
      <c r="AF30" s="231">
        <v>0</v>
      </c>
      <c r="AG30" s="231">
        <v>0</v>
      </c>
      <c r="AH30" s="231">
        <v>0</v>
      </c>
      <c r="AI30" s="231">
        <v>0</v>
      </c>
      <c r="AJ30" s="231">
        <v>0</v>
      </c>
      <c r="AK30" s="231">
        <v>0</v>
      </c>
      <c r="AL30" s="231">
        <v>0</v>
      </c>
      <c r="AM30" s="231">
        <v>0</v>
      </c>
      <c r="AN30" s="231">
        <v>0</v>
      </c>
    </row>
    <row r="31" spans="3:40" x14ac:dyDescent="0.3">
      <c r="C31" s="231">
        <v>28</v>
      </c>
      <c r="D31" s="231">
        <v>3</v>
      </c>
      <c r="E31" s="231">
        <v>5</v>
      </c>
      <c r="F31" s="231">
        <v>0</v>
      </c>
      <c r="G31" s="231">
        <v>0</v>
      </c>
      <c r="H31" s="231">
        <v>0</v>
      </c>
      <c r="I31" s="231">
        <v>0</v>
      </c>
      <c r="J31" s="231">
        <v>0</v>
      </c>
      <c r="K31" s="231">
        <v>0</v>
      </c>
      <c r="L31" s="231">
        <v>0</v>
      </c>
      <c r="M31" s="231">
        <v>0</v>
      </c>
      <c r="N31" s="231">
        <v>0</v>
      </c>
      <c r="O31" s="231">
        <v>0</v>
      </c>
      <c r="P31" s="231">
        <v>0</v>
      </c>
      <c r="Q31" s="231">
        <v>0</v>
      </c>
      <c r="R31" s="231">
        <v>0</v>
      </c>
      <c r="S31" s="231">
        <v>0</v>
      </c>
      <c r="T31" s="231">
        <v>0</v>
      </c>
      <c r="U31" s="231">
        <v>0</v>
      </c>
      <c r="V31" s="231">
        <v>0</v>
      </c>
      <c r="W31" s="231">
        <v>0</v>
      </c>
      <c r="X31" s="231">
        <v>0</v>
      </c>
      <c r="Y31" s="231">
        <v>0</v>
      </c>
      <c r="Z31" s="231">
        <v>0</v>
      </c>
      <c r="AA31" s="231">
        <v>0</v>
      </c>
      <c r="AB31" s="231">
        <v>0</v>
      </c>
      <c r="AC31" s="231">
        <v>0</v>
      </c>
      <c r="AD31" s="231">
        <v>0</v>
      </c>
      <c r="AE31" s="231">
        <v>0</v>
      </c>
      <c r="AF31" s="231">
        <v>0</v>
      </c>
      <c r="AG31" s="231">
        <v>0</v>
      </c>
      <c r="AH31" s="231">
        <v>0</v>
      </c>
      <c r="AI31" s="231">
        <v>0</v>
      </c>
      <c r="AJ31" s="231">
        <v>0</v>
      </c>
      <c r="AK31" s="231">
        <v>0</v>
      </c>
      <c r="AL31" s="231">
        <v>0</v>
      </c>
      <c r="AM31" s="231">
        <v>0</v>
      </c>
      <c r="AN31" s="231">
        <v>0</v>
      </c>
    </row>
    <row r="32" spans="3:40" x14ac:dyDescent="0.3">
      <c r="C32" s="231">
        <v>28</v>
      </c>
      <c r="D32" s="231">
        <v>3</v>
      </c>
      <c r="E32" s="231">
        <v>6</v>
      </c>
      <c r="F32" s="231">
        <v>860326</v>
      </c>
      <c r="G32" s="231">
        <v>12400</v>
      </c>
      <c r="H32" s="231">
        <v>301224</v>
      </c>
      <c r="I32" s="231">
        <v>0</v>
      </c>
      <c r="J32" s="231">
        <v>0</v>
      </c>
      <c r="K32" s="231">
        <v>92411</v>
      </c>
      <c r="L32" s="231">
        <v>23118</v>
      </c>
      <c r="M32" s="231">
        <v>0</v>
      </c>
      <c r="N32" s="231">
        <v>156725</v>
      </c>
      <c r="O32" s="231">
        <v>0</v>
      </c>
      <c r="P32" s="231">
        <v>0</v>
      </c>
      <c r="Q32" s="231">
        <v>0</v>
      </c>
      <c r="R32" s="231">
        <v>0</v>
      </c>
      <c r="S32" s="231">
        <v>0</v>
      </c>
      <c r="T32" s="231">
        <v>0</v>
      </c>
      <c r="U32" s="231">
        <v>0</v>
      </c>
      <c r="V32" s="231">
        <v>0</v>
      </c>
      <c r="W32" s="231">
        <v>0</v>
      </c>
      <c r="X32" s="231">
        <v>0</v>
      </c>
      <c r="Y32" s="231">
        <v>0</v>
      </c>
      <c r="Z32" s="231">
        <v>222511</v>
      </c>
      <c r="AA32" s="231">
        <v>0</v>
      </c>
      <c r="AB32" s="231">
        <v>0</v>
      </c>
      <c r="AC32" s="231">
        <v>0</v>
      </c>
      <c r="AD32" s="231">
        <v>0</v>
      </c>
      <c r="AE32" s="231">
        <v>0</v>
      </c>
      <c r="AF32" s="231">
        <v>0</v>
      </c>
      <c r="AG32" s="231">
        <v>0</v>
      </c>
      <c r="AH32" s="231">
        <v>14976</v>
      </c>
      <c r="AI32" s="231">
        <v>0</v>
      </c>
      <c r="AJ32" s="231">
        <v>0</v>
      </c>
      <c r="AK32" s="231">
        <v>0</v>
      </c>
      <c r="AL32" s="231">
        <v>0</v>
      </c>
      <c r="AM32" s="231">
        <v>36961</v>
      </c>
      <c r="AN32" s="231">
        <v>0</v>
      </c>
    </row>
    <row r="33" spans="3:40" x14ac:dyDescent="0.3">
      <c r="C33" s="231">
        <v>28</v>
      </c>
      <c r="D33" s="231">
        <v>3</v>
      </c>
      <c r="E33" s="231">
        <v>7</v>
      </c>
      <c r="F33" s="231">
        <v>0</v>
      </c>
      <c r="G33" s="231">
        <v>0</v>
      </c>
      <c r="H33" s="231">
        <v>0</v>
      </c>
      <c r="I33" s="231">
        <v>0</v>
      </c>
      <c r="J33" s="231">
        <v>0</v>
      </c>
      <c r="K33" s="231">
        <v>0</v>
      </c>
      <c r="L33" s="231">
        <v>0</v>
      </c>
      <c r="M33" s="231">
        <v>0</v>
      </c>
      <c r="N33" s="231">
        <v>0</v>
      </c>
      <c r="O33" s="231">
        <v>0</v>
      </c>
      <c r="P33" s="231">
        <v>0</v>
      </c>
      <c r="Q33" s="231">
        <v>0</v>
      </c>
      <c r="R33" s="231">
        <v>0</v>
      </c>
      <c r="S33" s="231">
        <v>0</v>
      </c>
      <c r="T33" s="231">
        <v>0</v>
      </c>
      <c r="U33" s="231">
        <v>0</v>
      </c>
      <c r="V33" s="231">
        <v>0</v>
      </c>
      <c r="W33" s="231">
        <v>0</v>
      </c>
      <c r="X33" s="231">
        <v>0</v>
      </c>
      <c r="Y33" s="231">
        <v>0</v>
      </c>
      <c r="Z33" s="231">
        <v>0</v>
      </c>
      <c r="AA33" s="231">
        <v>0</v>
      </c>
      <c r="AB33" s="231">
        <v>0</v>
      </c>
      <c r="AC33" s="231">
        <v>0</v>
      </c>
      <c r="AD33" s="231">
        <v>0</v>
      </c>
      <c r="AE33" s="231">
        <v>0</v>
      </c>
      <c r="AF33" s="231">
        <v>0</v>
      </c>
      <c r="AG33" s="231">
        <v>0</v>
      </c>
      <c r="AH33" s="231">
        <v>0</v>
      </c>
      <c r="AI33" s="231">
        <v>0</v>
      </c>
      <c r="AJ33" s="231">
        <v>0</v>
      </c>
      <c r="AK33" s="231">
        <v>0</v>
      </c>
      <c r="AL33" s="231">
        <v>0</v>
      </c>
      <c r="AM33" s="231">
        <v>0</v>
      </c>
      <c r="AN33" s="231">
        <v>0</v>
      </c>
    </row>
    <row r="34" spans="3:40" x14ac:dyDescent="0.3">
      <c r="C34" s="231">
        <v>28</v>
      </c>
      <c r="D34" s="231">
        <v>3</v>
      </c>
      <c r="E34" s="231">
        <v>8</v>
      </c>
      <c r="F34" s="231">
        <v>0</v>
      </c>
      <c r="G34" s="231">
        <v>0</v>
      </c>
      <c r="H34" s="231">
        <v>0</v>
      </c>
      <c r="I34" s="231">
        <v>0</v>
      </c>
      <c r="J34" s="231">
        <v>0</v>
      </c>
      <c r="K34" s="231">
        <v>0</v>
      </c>
      <c r="L34" s="231">
        <v>0</v>
      </c>
      <c r="M34" s="231">
        <v>0</v>
      </c>
      <c r="N34" s="231">
        <v>0</v>
      </c>
      <c r="O34" s="231">
        <v>0</v>
      </c>
      <c r="P34" s="231">
        <v>0</v>
      </c>
      <c r="Q34" s="231">
        <v>0</v>
      </c>
      <c r="R34" s="231">
        <v>0</v>
      </c>
      <c r="S34" s="231">
        <v>0</v>
      </c>
      <c r="T34" s="231">
        <v>0</v>
      </c>
      <c r="U34" s="231">
        <v>0</v>
      </c>
      <c r="V34" s="231">
        <v>0</v>
      </c>
      <c r="W34" s="231">
        <v>0</v>
      </c>
      <c r="X34" s="231">
        <v>0</v>
      </c>
      <c r="Y34" s="231">
        <v>0</v>
      </c>
      <c r="Z34" s="231">
        <v>0</v>
      </c>
      <c r="AA34" s="231">
        <v>0</v>
      </c>
      <c r="AB34" s="231">
        <v>0</v>
      </c>
      <c r="AC34" s="231">
        <v>0</v>
      </c>
      <c r="AD34" s="231">
        <v>0</v>
      </c>
      <c r="AE34" s="231">
        <v>0</v>
      </c>
      <c r="AF34" s="231">
        <v>0</v>
      </c>
      <c r="AG34" s="231">
        <v>0</v>
      </c>
      <c r="AH34" s="231">
        <v>0</v>
      </c>
      <c r="AI34" s="231">
        <v>0</v>
      </c>
      <c r="AJ34" s="231">
        <v>0</v>
      </c>
      <c r="AK34" s="231">
        <v>0</v>
      </c>
      <c r="AL34" s="231">
        <v>0</v>
      </c>
      <c r="AM34" s="231">
        <v>0</v>
      </c>
      <c r="AN34" s="231">
        <v>0</v>
      </c>
    </row>
    <row r="35" spans="3:40" x14ac:dyDescent="0.3">
      <c r="C35" s="231">
        <v>28</v>
      </c>
      <c r="D35" s="231">
        <v>3</v>
      </c>
      <c r="E35" s="231">
        <v>9</v>
      </c>
      <c r="F35" s="231">
        <v>4347</v>
      </c>
      <c r="G35" s="231">
        <v>0</v>
      </c>
      <c r="H35" s="231">
        <v>4347</v>
      </c>
      <c r="I35" s="231">
        <v>0</v>
      </c>
      <c r="J35" s="231">
        <v>0</v>
      </c>
      <c r="K35" s="231">
        <v>0</v>
      </c>
      <c r="L35" s="231">
        <v>0</v>
      </c>
      <c r="M35" s="231">
        <v>0</v>
      </c>
      <c r="N35" s="231">
        <v>0</v>
      </c>
      <c r="O35" s="231">
        <v>0</v>
      </c>
      <c r="P35" s="231">
        <v>0</v>
      </c>
      <c r="Q35" s="231">
        <v>0</v>
      </c>
      <c r="R35" s="231">
        <v>0</v>
      </c>
      <c r="S35" s="231">
        <v>0</v>
      </c>
      <c r="T35" s="231">
        <v>0</v>
      </c>
      <c r="U35" s="231">
        <v>0</v>
      </c>
      <c r="V35" s="231">
        <v>0</v>
      </c>
      <c r="W35" s="231">
        <v>0</v>
      </c>
      <c r="X35" s="231">
        <v>0</v>
      </c>
      <c r="Y35" s="231">
        <v>0</v>
      </c>
      <c r="Z35" s="231">
        <v>0</v>
      </c>
      <c r="AA35" s="231">
        <v>0</v>
      </c>
      <c r="AB35" s="231">
        <v>0</v>
      </c>
      <c r="AC35" s="231">
        <v>0</v>
      </c>
      <c r="AD35" s="231">
        <v>0</v>
      </c>
      <c r="AE35" s="231">
        <v>0</v>
      </c>
      <c r="AF35" s="231">
        <v>0</v>
      </c>
      <c r="AG35" s="231">
        <v>0</v>
      </c>
      <c r="AH35" s="231">
        <v>0</v>
      </c>
      <c r="AI35" s="231">
        <v>0</v>
      </c>
      <c r="AJ35" s="231">
        <v>0</v>
      </c>
      <c r="AK35" s="231">
        <v>0</v>
      </c>
      <c r="AL35" s="231">
        <v>0</v>
      </c>
      <c r="AM35" s="231">
        <v>0</v>
      </c>
      <c r="AN35" s="231">
        <v>0</v>
      </c>
    </row>
    <row r="36" spans="3:40" x14ac:dyDescent="0.3">
      <c r="C36" s="231">
        <v>28</v>
      </c>
      <c r="D36" s="231">
        <v>3</v>
      </c>
      <c r="E36" s="231">
        <v>10</v>
      </c>
      <c r="F36" s="231">
        <v>11365</v>
      </c>
      <c r="G36" s="231">
        <v>0</v>
      </c>
      <c r="H36" s="231">
        <v>0</v>
      </c>
      <c r="I36" s="231">
        <v>0</v>
      </c>
      <c r="J36" s="231">
        <v>0</v>
      </c>
      <c r="K36" s="231">
        <v>11365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0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v>0</v>
      </c>
      <c r="AF36" s="231">
        <v>0</v>
      </c>
      <c r="AG36" s="231">
        <v>0</v>
      </c>
      <c r="AH36" s="231">
        <v>0</v>
      </c>
      <c r="AI36" s="231">
        <v>0</v>
      </c>
      <c r="AJ36" s="231">
        <v>0</v>
      </c>
      <c r="AK36" s="231">
        <v>0</v>
      </c>
      <c r="AL36" s="231">
        <v>0</v>
      </c>
      <c r="AM36" s="231">
        <v>0</v>
      </c>
      <c r="AN36" s="231">
        <v>0</v>
      </c>
    </row>
    <row r="37" spans="3:40" x14ac:dyDescent="0.3">
      <c r="C37" s="231">
        <v>28</v>
      </c>
      <c r="D37" s="231">
        <v>3</v>
      </c>
      <c r="E37" s="231">
        <v>11</v>
      </c>
      <c r="F37" s="231">
        <v>5883.25</v>
      </c>
      <c r="G37" s="231">
        <v>0</v>
      </c>
      <c r="H37" s="231">
        <v>1799.9166666666667</v>
      </c>
      <c r="I37" s="231">
        <v>0</v>
      </c>
      <c r="J37" s="231">
        <v>0</v>
      </c>
      <c r="K37" s="231">
        <v>4083.3333333333335</v>
      </c>
      <c r="L37" s="231">
        <v>0</v>
      </c>
      <c r="M37" s="231">
        <v>0</v>
      </c>
      <c r="N37" s="231">
        <v>0</v>
      </c>
      <c r="O37" s="231">
        <v>0</v>
      </c>
      <c r="P37" s="231">
        <v>0</v>
      </c>
      <c r="Q37" s="231">
        <v>0</v>
      </c>
      <c r="R37" s="231">
        <v>0</v>
      </c>
      <c r="S37" s="231">
        <v>0</v>
      </c>
      <c r="T37" s="231">
        <v>0</v>
      </c>
      <c r="U37" s="231">
        <v>0</v>
      </c>
      <c r="V37" s="231">
        <v>0</v>
      </c>
      <c r="W37" s="231">
        <v>0</v>
      </c>
      <c r="X37" s="231">
        <v>0</v>
      </c>
      <c r="Y37" s="231">
        <v>0</v>
      </c>
      <c r="Z37" s="231">
        <v>0</v>
      </c>
      <c r="AA37" s="231">
        <v>0</v>
      </c>
      <c r="AB37" s="231">
        <v>0</v>
      </c>
      <c r="AC37" s="231">
        <v>0</v>
      </c>
      <c r="AD37" s="231">
        <v>0</v>
      </c>
      <c r="AE37" s="231">
        <v>0</v>
      </c>
      <c r="AF37" s="231">
        <v>0</v>
      </c>
      <c r="AG37" s="231">
        <v>0</v>
      </c>
      <c r="AH37" s="231">
        <v>0</v>
      </c>
      <c r="AI37" s="231">
        <v>0</v>
      </c>
      <c r="AJ37" s="231">
        <v>0</v>
      </c>
      <c r="AK37" s="231">
        <v>0</v>
      </c>
      <c r="AL37" s="231">
        <v>0</v>
      </c>
      <c r="AM37" s="231">
        <v>0</v>
      </c>
      <c r="AN37" s="231">
        <v>0</v>
      </c>
    </row>
    <row r="38" spans="3:40" x14ac:dyDescent="0.3">
      <c r="C38" s="231">
        <v>28</v>
      </c>
      <c r="D38" s="231">
        <v>4</v>
      </c>
      <c r="E38" s="231">
        <v>1</v>
      </c>
      <c r="F38" s="231">
        <v>27.4</v>
      </c>
      <c r="G38" s="231">
        <v>0</v>
      </c>
      <c r="H38" s="231">
        <v>5.5</v>
      </c>
      <c r="I38" s="231">
        <v>0</v>
      </c>
      <c r="J38" s="231">
        <v>0</v>
      </c>
      <c r="K38" s="231">
        <v>3</v>
      </c>
      <c r="L38" s="231">
        <v>1</v>
      </c>
      <c r="M38" s="231">
        <v>0</v>
      </c>
      <c r="N38" s="231">
        <v>6.5</v>
      </c>
      <c r="O38" s="231">
        <v>0</v>
      </c>
      <c r="P38" s="231">
        <v>0</v>
      </c>
      <c r="Q38" s="231">
        <v>0</v>
      </c>
      <c r="R38" s="231">
        <v>0</v>
      </c>
      <c r="S38" s="231">
        <v>0</v>
      </c>
      <c r="T38" s="231">
        <v>0</v>
      </c>
      <c r="U38" s="231">
        <v>0</v>
      </c>
      <c r="V38" s="231">
        <v>0</v>
      </c>
      <c r="W38" s="231">
        <v>0</v>
      </c>
      <c r="X38" s="231">
        <v>0</v>
      </c>
      <c r="Y38" s="231">
        <v>0</v>
      </c>
      <c r="Z38" s="231">
        <v>8.6</v>
      </c>
      <c r="AA38" s="231">
        <v>0</v>
      </c>
      <c r="AB38" s="231">
        <v>0</v>
      </c>
      <c r="AC38" s="231">
        <v>0</v>
      </c>
      <c r="AD38" s="231">
        <v>0</v>
      </c>
      <c r="AE38" s="231">
        <v>0</v>
      </c>
      <c r="AF38" s="231">
        <v>0</v>
      </c>
      <c r="AG38" s="231">
        <v>0</v>
      </c>
      <c r="AH38" s="231">
        <v>1</v>
      </c>
      <c r="AI38" s="231">
        <v>0</v>
      </c>
      <c r="AJ38" s="231">
        <v>0</v>
      </c>
      <c r="AK38" s="231">
        <v>0</v>
      </c>
      <c r="AL38" s="231">
        <v>0</v>
      </c>
      <c r="AM38" s="231">
        <v>1.8</v>
      </c>
      <c r="AN38" s="231">
        <v>0</v>
      </c>
    </row>
    <row r="39" spans="3:40" x14ac:dyDescent="0.3">
      <c r="C39" s="231">
        <v>28</v>
      </c>
      <c r="D39" s="231">
        <v>4</v>
      </c>
      <c r="E39" s="231">
        <v>2</v>
      </c>
      <c r="F39" s="231">
        <v>4484</v>
      </c>
      <c r="G39" s="231">
        <v>0</v>
      </c>
      <c r="H39" s="231">
        <v>920</v>
      </c>
      <c r="I39" s="231">
        <v>0</v>
      </c>
      <c r="J39" s="231">
        <v>0</v>
      </c>
      <c r="K39" s="231">
        <v>480</v>
      </c>
      <c r="L39" s="231">
        <v>176</v>
      </c>
      <c r="M39" s="231">
        <v>0</v>
      </c>
      <c r="N39" s="231">
        <v>1020</v>
      </c>
      <c r="O39" s="231">
        <v>0</v>
      </c>
      <c r="P39" s="231">
        <v>0</v>
      </c>
      <c r="Q39" s="231">
        <v>0</v>
      </c>
      <c r="R39" s="231">
        <v>0</v>
      </c>
      <c r="S39" s="231">
        <v>0</v>
      </c>
      <c r="T39" s="231">
        <v>0</v>
      </c>
      <c r="U39" s="231">
        <v>0</v>
      </c>
      <c r="V39" s="231">
        <v>0</v>
      </c>
      <c r="W39" s="231">
        <v>0</v>
      </c>
      <c r="X39" s="231">
        <v>0</v>
      </c>
      <c r="Y39" s="231">
        <v>0</v>
      </c>
      <c r="Z39" s="231">
        <v>1409.6</v>
      </c>
      <c r="AA39" s="231">
        <v>0</v>
      </c>
      <c r="AB39" s="231">
        <v>0</v>
      </c>
      <c r="AC39" s="231">
        <v>0</v>
      </c>
      <c r="AD39" s="231">
        <v>0</v>
      </c>
      <c r="AE39" s="231">
        <v>0</v>
      </c>
      <c r="AF39" s="231">
        <v>0</v>
      </c>
      <c r="AG39" s="231">
        <v>0</v>
      </c>
      <c r="AH39" s="231">
        <v>176</v>
      </c>
      <c r="AI39" s="231">
        <v>0</v>
      </c>
      <c r="AJ39" s="231">
        <v>0</v>
      </c>
      <c r="AK39" s="231">
        <v>0</v>
      </c>
      <c r="AL39" s="231">
        <v>0</v>
      </c>
      <c r="AM39" s="231">
        <v>302.39999999999998</v>
      </c>
      <c r="AN39" s="231">
        <v>0</v>
      </c>
    </row>
    <row r="40" spans="3:40" x14ac:dyDescent="0.3">
      <c r="C40" s="231">
        <v>28</v>
      </c>
      <c r="D40" s="231">
        <v>4</v>
      </c>
      <c r="E40" s="231">
        <v>3</v>
      </c>
      <c r="F40" s="231">
        <v>0</v>
      </c>
      <c r="G40" s="231">
        <v>0</v>
      </c>
      <c r="H40" s="231">
        <v>0</v>
      </c>
      <c r="I40" s="231">
        <v>0</v>
      </c>
      <c r="J40" s="231">
        <v>0</v>
      </c>
      <c r="K40" s="231">
        <v>0</v>
      </c>
      <c r="L40" s="231">
        <v>0</v>
      </c>
      <c r="M40" s="231">
        <v>0</v>
      </c>
      <c r="N40" s="231">
        <v>0</v>
      </c>
      <c r="O40" s="231">
        <v>0</v>
      </c>
      <c r="P40" s="231">
        <v>0</v>
      </c>
      <c r="Q40" s="231">
        <v>0</v>
      </c>
      <c r="R40" s="231">
        <v>0</v>
      </c>
      <c r="S40" s="231">
        <v>0</v>
      </c>
      <c r="T40" s="231">
        <v>0</v>
      </c>
      <c r="U40" s="231">
        <v>0</v>
      </c>
      <c r="V40" s="231">
        <v>0</v>
      </c>
      <c r="W40" s="231">
        <v>0</v>
      </c>
      <c r="X40" s="231">
        <v>0</v>
      </c>
      <c r="Y40" s="231">
        <v>0</v>
      </c>
      <c r="Z40" s="231">
        <v>0</v>
      </c>
      <c r="AA40" s="231">
        <v>0</v>
      </c>
      <c r="AB40" s="231">
        <v>0</v>
      </c>
      <c r="AC40" s="231">
        <v>0</v>
      </c>
      <c r="AD40" s="231">
        <v>0</v>
      </c>
      <c r="AE40" s="231">
        <v>0</v>
      </c>
      <c r="AF40" s="231">
        <v>0</v>
      </c>
      <c r="AG40" s="231">
        <v>0</v>
      </c>
      <c r="AH40" s="231">
        <v>0</v>
      </c>
      <c r="AI40" s="231">
        <v>0</v>
      </c>
      <c r="AJ40" s="231">
        <v>0</v>
      </c>
      <c r="AK40" s="231">
        <v>0</v>
      </c>
      <c r="AL40" s="231">
        <v>0</v>
      </c>
      <c r="AM40" s="231">
        <v>0</v>
      </c>
      <c r="AN40" s="231">
        <v>0</v>
      </c>
    </row>
    <row r="41" spans="3:40" x14ac:dyDescent="0.3">
      <c r="C41" s="231">
        <v>28</v>
      </c>
      <c r="D41" s="231">
        <v>4</v>
      </c>
      <c r="E41" s="231">
        <v>4</v>
      </c>
      <c r="F41" s="231">
        <v>0</v>
      </c>
      <c r="G41" s="231">
        <v>0</v>
      </c>
      <c r="H41" s="231">
        <v>0</v>
      </c>
      <c r="I41" s="231">
        <v>0</v>
      </c>
      <c r="J41" s="231">
        <v>0</v>
      </c>
      <c r="K41" s="231">
        <v>0</v>
      </c>
      <c r="L41" s="231">
        <v>0</v>
      </c>
      <c r="M41" s="231">
        <v>0</v>
      </c>
      <c r="N41" s="231">
        <v>0</v>
      </c>
      <c r="O41" s="231">
        <v>0</v>
      </c>
      <c r="P41" s="231">
        <v>0</v>
      </c>
      <c r="Q41" s="231">
        <v>0</v>
      </c>
      <c r="R41" s="231">
        <v>0</v>
      </c>
      <c r="S41" s="231">
        <v>0</v>
      </c>
      <c r="T41" s="231">
        <v>0</v>
      </c>
      <c r="U41" s="231">
        <v>0</v>
      </c>
      <c r="V41" s="231">
        <v>0</v>
      </c>
      <c r="W41" s="231">
        <v>0</v>
      </c>
      <c r="X41" s="231">
        <v>0</v>
      </c>
      <c r="Y41" s="231">
        <v>0</v>
      </c>
      <c r="Z41" s="231">
        <v>0</v>
      </c>
      <c r="AA41" s="231">
        <v>0</v>
      </c>
      <c r="AB41" s="231">
        <v>0</v>
      </c>
      <c r="AC41" s="231">
        <v>0</v>
      </c>
      <c r="AD41" s="231">
        <v>0</v>
      </c>
      <c r="AE41" s="231">
        <v>0</v>
      </c>
      <c r="AF41" s="231">
        <v>0</v>
      </c>
      <c r="AG41" s="231">
        <v>0</v>
      </c>
      <c r="AH41" s="231">
        <v>0</v>
      </c>
      <c r="AI41" s="231">
        <v>0</v>
      </c>
      <c r="AJ41" s="231">
        <v>0</v>
      </c>
      <c r="AK41" s="231">
        <v>0</v>
      </c>
      <c r="AL41" s="231">
        <v>0</v>
      </c>
      <c r="AM41" s="231">
        <v>0</v>
      </c>
      <c r="AN41" s="231">
        <v>0</v>
      </c>
    </row>
    <row r="42" spans="3:40" x14ac:dyDescent="0.3">
      <c r="C42" s="231">
        <v>28</v>
      </c>
      <c r="D42" s="231">
        <v>4</v>
      </c>
      <c r="E42" s="231">
        <v>5</v>
      </c>
      <c r="F42" s="231">
        <v>0</v>
      </c>
      <c r="G42" s="231">
        <v>0</v>
      </c>
      <c r="H42" s="231">
        <v>0</v>
      </c>
      <c r="I42" s="231">
        <v>0</v>
      </c>
      <c r="J42" s="231">
        <v>0</v>
      </c>
      <c r="K42" s="231">
        <v>0</v>
      </c>
      <c r="L42" s="231">
        <v>0</v>
      </c>
      <c r="M42" s="231">
        <v>0</v>
      </c>
      <c r="N42" s="231">
        <v>0</v>
      </c>
      <c r="O42" s="231">
        <v>0</v>
      </c>
      <c r="P42" s="231">
        <v>0</v>
      </c>
      <c r="Q42" s="231">
        <v>0</v>
      </c>
      <c r="R42" s="231">
        <v>0</v>
      </c>
      <c r="S42" s="231">
        <v>0</v>
      </c>
      <c r="T42" s="231">
        <v>0</v>
      </c>
      <c r="U42" s="231">
        <v>0</v>
      </c>
      <c r="V42" s="231">
        <v>0</v>
      </c>
      <c r="W42" s="231">
        <v>0</v>
      </c>
      <c r="X42" s="231">
        <v>0</v>
      </c>
      <c r="Y42" s="231">
        <v>0</v>
      </c>
      <c r="Z42" s="231">
        <v>0</v>
      </c>
      <c r="AA42" s="231">
        <v>0</v>
      </c>
      <c r="AB42" s="231">
        <v>0</v>
      </c>
      <c r="AC42" s="231">
        <v>0</v>
      </c>
      <c r="AD42" s="231">
        <v>0</v>
      </c>
      <c r="AE42" s="231">
        <v>0</v>
      </c>
      <c r="AF42" s="231">
        <v>0</v>
      </c>
      <c r="AG42" s="231">
        <v>0</v>
      </c>
      <c r="AH42" s="231">
        <v>0</v>
      </c>
      <c r="AI42" s="231">
        <v>0</v>
      </c>
      <c r="AJ42" s="231">
        <v>0</v>
      </c>
      <c r="AK42" s="231">
        <v>0</v>
      </c>
      <c r="AL42" s="231">
        <v>0</v>
      </c>
      <c r="AM42" s="231">
        <v>0</v>
      </c>
      <c r="AN42" s="231">
        <v>0</v>
      </c>
    </row>
    <row r="43" spans="3:40" x14ac:dyDescent="0.3">
      <c r="C43" s="231">
        <v>28</v>
      </c>
      <c r="D43" s="231">
        <v>4</v>
      </c>
      <c r="E43" s="231">
        <v>6</v>
      </c>
      <c r="F43" s="231">
        <v>852553</v>
      </c>
      <c r="G43" s="231">
        <v>0</v>
      </c>
      <c r="H43" s="231">
        <v>298915</v>
      </c>
      <c r="I43" s="231">
        <v>0</v>
      </c>
      <c r="J43" s="231">
        <v>0</v>
      </c>
      <c r="K43" s="231">
        <v>92691</v>
      </c>
      <c r="L43" s="231">
        <v>22480</v>
      </c>
      <c r="M43" s="231">
        <v>0</v>
      </c>
      <c r="N43" s="231">
        <v>141858</v>
      </c>
      <c r="O43" s="231">
        <v>0</v>
      </c>
      <c r="P43" s="231">
        <v>0</v>
      </c>
      <c r="Q43" s="231">
        <v>0</v>
      </c>
      <c r="R43" s="231">
        <v>0</v>
      </c>
      <c r="S43" s="231">
        <v>0</v>
      </c>
      <c r="T43" s="231">
        <v>0</v>
      </c>
      <c r="U43" s="231">
        <v>0</v>
      </c>
      <c r="V43" s="231">
        <v>0</v>
      </c>
      <c r="W43" s="231">
        <v>0</v>
      </c>
      <c r="X43" s="231">
        <v>0</v>
      </c>
      <c r="Y43" s="231">
        <v>0</v>
      </c>
      <c r="Z43" s="231">
        <v>244767</v>
      </c>
      <c r="AA43" s="231">
        <v>0</v>
      </c>
      <c r="AB43" s="231">
        <v>0</v>
      </c>
      <c r="AC43" s="231">
        <v>0</v>
      </c>
      <c r="AD43" s="231">
        <v>0</v>
      </c>
      <c r="AE43" s="231">
        <v>0</v>
      </c>
      <c r="AF43" s="231">
        <v>0</v>
      </c>
      <c r="AG43" s="231">
        <v>0</v>
      </c>
      <c r="AH43" s="231">
        <v>14850</v>
      </c>
      <c r="AI43" s="231">
        <v>0</v>
      </c>
      <c r="AJ43" s="231">
        <v>0</v>
      </c>
      <c r="AK43" s="231">
        <v>0</v>
      </c>
      <c r="AL43" s="231">
        <v>0</v>
      </c>
      <c r="AM43" s="231">
        <v>36992</v>
      </c>
      <c r="AN43" s="231">
        <v>0</v>
      </c>
    </row>
    <row r="44" spans="3:40" x14ac:dyDescent="0.3">
      <c r="C44" s="231">
        <v>28</v>
      </c>
      <c r="D44" s="231">
        <v>4</v>
      </c>
      <c r="E44" s="231">
        <v>7</v>
      </c>
      <c r="F44" s="231">
        <v>0</v>
      </c>
      <c r="G44" s="231">
        <v>0</v>
      </c>
      <c r="H44" s="231">
        <v>0</v>
      </c>
      <c r="I44" s="231">
        <v>0</v>
      </c>
      <c r="J44" s="231">
        <v>0</v>
      </c>
      <c r="K44" s="231">
        <v>0</v>
      </c>
      <c r="L44" s="231">
        <v>0</v>
      </c>
      <c r="M44" s="231">
        <v>0</v>
      </c>
      <c r="N44" s="231">
        <v>0</v>
      </c>
      <c r="O44" s="231">
        <v>0</v>
      </c>
      <c r="P44" s="231">
        <v>0</v>
      </c>
      <c r="Q44" s="231">
        <v>0</v>
      </c>
      <c r="R44" s="231">
        <v>0</v>
      </c>
      <c r="S44" s="231">
        <v>0</v>
      </c>
      <c r="T44" s="231">
        <v>0</v>
      </c>
      <c r="U44" s="231">
        <v>0</v>
      </c>
      <c r="V44" s="231">
        <v>0</v>
      </c>
      <c r="W44" s="231">
        <v>0</v>
      </c>
      <c r="X44" s="231">
        <v>0</v>
      </c>
      <c r="Y44" s="231">
        <v>0</v>
      </c>
      <c r="Z44" s="231">
        <v>0</v>
      </c>
      <c r="AA44" s="231">
        <v>0</v>
      </c>
      <c r="AB44" s="231">
        <v>0</v>
      </c>
      <c r="AC44" s="231">
        <v>0</v>
      </c>
      <c r="AD44" s="231">
        <v>0</v>
      </c>
      <c r="AE44" s="231">
        <v>0</v>
      </c>
      <c r="AF44" s="231">
        <v>0</v>
      </c>
      <c r="AG44" s="231">
        <v>0</v>
      </c>
      <c r="AH44" s="231">
        <v>0</v>
      </c>
      <c r="AI44" s="231">
        <v>0</v>
      </c>
      <c r="AJ44" s="231">
        <v>0</v>
      </c>
      <c r="AK44" s="231">
        <v>0</v>
      </c>
      <c r="AL44" s="231">
        <v>0</v>
      </c>
      <c r="AM44" s="231">
        <v>0</v>
      </c>
      <c r="AN44" s="231">
        <v>0</v>
      </c>
    </row>
    <row r="45" spans="3:40" x14ac:dyDescent="0.3">
      <c r="C45" s="231">
        <v>28</v>
      </c>
      <c r="D45" s="231">
        <v>4</v>
      </c>
      <c r="E45" s="231">
        <v>8</v>
      </c>
      <c r="F45" s="231">
        <v>0</v>
      </c>
      <c r="G45" s="231">
        <v>0</v>
      </c>
      <c r="H45" s="231">
        <v>0</v>
      </c>
      <c r="I45" s="231">
        <v>0</v>
      </c>
      <c r="J45" s="231">
        <v>0</v>
      </c>
      <c r="K45" s="231">
        <v>0</v>
      </c>
      <c r="L45" s="231">
        <v>0</v>
      </c>
      <c r="M45" s="231">
        <v>0</v>
      </c>
      <c r="N45" s="231">
        <v>0</v>
      </c>
      <c r="O45" s="231">
        <v>0</v>
      </c>
      <c r="P45" s="231">
        <v>0</v>
      </c>
      <c r="Q45" s="231">
        <v>0</v>
      </c>
      <c r="R45" s="231">
        <v>0</v>
      </c>
      <c r="S45" s="231">
        <v>0</v>
      </c>
      <c r="T45" s="231">
        <v>0</v>
      </c>
      <c r="U45" s="231">
        <v>0</v>
      </c>
      <c r="V45" s="231">
        <v>0</v>
      </c>
      <c r="W45" s="231">
        <v>0</v>
      </c>
      <c r="X45" s="231">
        <v>0</v>
      </c>
      <c r="Y45" s="231">
        <v>0</v>
      </c>
      <c r="Z45" s="231">
        <v>0</v>
      </c>
      <c r="AA45" s="231">
        <v>0</v>
      </c>
      <c r="AB45" s="231">
        <v>0</v>
      </c>
      <c r="AC45" s="231">
        <v>0</v>
      </c>
      <c r="AD45" s="231">
        <v>0</v>
      </c>
      <c r="AE45" s="231">
        <v>0</v>
      </c>
      <c r="AF45" s="231">
        <v>0</v>
      </c>
      <c r="AG45" s="231">
        <v>0</v>
      </c>
      <c r="AH45" s="231">
        <v>0</v>
      </c>
      <c r="AI45" s="231">
        <v>0</v>
      </c>
      <c r="AJ45" s="231">
        <v>0</v>
      </c>
      <c r="AK45" s="231">
        <v>0</v>
      </c>
      <c r="AL45" s="231">
        <v>0</v>
      </c>
      <c r="AM45" s="231">
        <v>0</v>
      </c>
      <c r="AN45" s="231">
        <v>0</v>
      </c>
    </row>
    <row r="46" spans="3:40" x14ac:dyDescent="0.3">
      <c r="C46" s="231">
        <v>28</v>
      </c>
      <c r="D46" s="231">
        <v>4</v>
      </c>
      <c r="E46" s="231">
        <v>9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0</v>
      </c>
      <c r="O46" s="231">
        <v>0</v>
      </c>
      <c r="P46" s="231">
        <v>0</v>
      </c>
      <c r="Q46" s="231">
        <v>0</v>
      </c>
      <c r="R46" s="231">
        <v>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v>0</v>
      </c>
      <c r="AF46" s="231">
        <v>0</v>
      </c>
      <c r="AG46" s="231">
        <v>0</v>
      </c>
      <c r="AH46" s="231">
        <v>0</v>
      </c>
      <c r="AI46" s="231">
        <v>0</v>
      </c>
      <c r="AJ46" s="231">
        <v>0</v>
      </c>
      <c r="AK46" s="231">
        <v>0</v>
      </c>
      <c r="AL46" s="231">
        <v>0</v>
      </c>
      <c r="AM46" s="231">
        <v>0</v>
      </c>
      <c r="AN46" s="231">
        <v>0</v>
      </c>
    </row>
    <row r="47" spans="3:40" x14ac:dyDescent="0.3">
      <c r="C47" s="231">
        <v>28</v>
      </c>
      <c r="D47" s="231">
        <v>4</v>
      </c>
      <c r="E47" s="231">
        <v>10</v>
      </c>
      <c r="F47" s="231">
        <v>1800</v>
      </c>
      <c r="G47" s="231">
        <v>0</v>
      </c>
      <c r="H47" s="231">
        <v>1800</v>
      </c>
      <c r="I47" s="231">
        <v>0</v>
      </c>
      <c r="J47" s="231">
        <v>0</v>
      </c>
      <c r="K47" s="231">
        <v>0</v>
      </c>
      <c r="L47" s="231">
        <v>0</v>
      </c>
      <c r="M47" s="231">
        <v>0</v>
      </c>
      <c r="N47" s="231">
        <v>0</v>
      </c>
      <c r="O47" s="231">
        <v>0</v>
      </c>
      <c r="P47" s="231">
        <v>0</v>
      </c>
      <c r="Q47" s="231">
        <v>0</v>
      </c>
      <c r="R47" s="231">
        <v>0</v>
      </c>
      <c r="S47" s="231">
        <v>0</v>
      </c>
      <c r="T47" s="231">
        <v>0</v>
      </c>
      <c r="U47" s="231">
        <v>0</v>
      </c>
      <c r="V47" s="231">
        <v>0</v>
      </c>
      <c r="W47" s="231">
        <v>0</v>
      </c>
      <c r="X47" s="231">
        <v>0</v>
      </c>
      <c r="Y47" s="231">
        <v>0</v>
      </c>
      <c r="Z47" s="231">
        <v>0</v>
      </c>
      <c r="AA47" s="231">
        <v>0</v>
      </c>
      <c r="AB47" s="231">
        <v>0</v>
      </c>
      <c r="AC47" s="231">
        <v>0</v>
      </c>
      <c r="AD47" s="231">
        <v>0</v>
      </c>
      <c r="AE47" s="231">
        <v>0</v>
      </c>
      <c r="AF47" s="231">
        <v>0</v>
      </c>
      <c r="AG47" s="231">
        <v>0</v>
      </c>
      <c r="AH47" s="231">
        <v>0</v>
      </c>
      <c r="AI47" s="231">
        <v>0</v>
      </c>
      <c r="AJ47" s="231">
        <v>0</v>
      </c>
      <c r="AK47" s="231">
        <v>0</v>
      </c>
      <c r="AL47" s="231">
        <v>0</v>
      </c>
      <c r="AM47" s="231">
        <v>0</v>
      </c>
      <c r="AN47" s="231">
        <v>0</v>
      </c>
    </row>
    <row r="48" spans="3:40" x14ac:dyDescent="0.3">
      <c r="C48" s="231">
        <v>28</v>
      </c>
      <c r="D48" s="231">
        <v>4</v>
      </c>
      <c r="E48" s="231">
        <v>11</v>
      </c>
      <c r="F48" s="231">
        <v>5883.25</v>
      </c>
      <c r="G48" s="231">
        <v>0</v>
      </c>
      <c r="H48" s="231">
        <v>1799.9166666666667</v>
      </c>
      <c r="I48" s="231">
        <v>0</v>
      </c>
      <c r="J48" s="231">
        <v>0</v>
      </c>
      <c r="K48" s="231">
        <v>4083.3333333333335</v>
      </c>
      <c r="L48" s="231">
        <v>0</v>
      </c>
      <c r="M48" s="231">
        <v>0</v>
      </c>
      <c r="N48" s="231">
        <v>0</v>
      </c>
      <c r="O48" s="231">
        <v>0</v>
      </c>
      <c r="P48" s="231">
        <v>0</v>
      </c>
      <c r="Q48" s="231">
        <v>0</v>
      </c>
      <c r="R48" s="231">
        <v>0</v>
      </c>
      <c r="S48" s="231">
        <v>0</v>
      </c>
      <c r="T48" s="231">
        <v>0</v>
      </c>
      <c r="U48" s="231">
        <v>0</v>
      </c>
      <c r="V48" s="231">
        <v>0</v>
      </c>
      <c r="W48" s="231">
        <v>0</v>
      </c>
      <c r="X48" s="231">
        <v>0</v>
      </c>
      <c r="Y48" s="231">
        <v>0</v>
      </c>
      <c r="Z48" s="231">
        <v>0</v>
      </c>
      <c r="AA48" s="231">
        <v>0</v>
      </c>
      <c r="AB48" s="231">
        <v>0</v>
      </c>
      <c r="AC48" s="231">
        <v>0</v>
      </c>
      <c r="AD48" s="231">
        <v>0</v>
      </c>
      <c r="AE48" s="231">
        <v>0</v>
      </c>
      <c r="AF48" s="231">
        <v>0</v>
      </c>
      <c r="AG48" s="231">
        <v>0</v>
      </c>
      <c r="AH48" s="231">
        <v>0</v>
      </c>
      <c r="AI48" s="231">
        <v>0</v>
      </c>
      <c r="AJ48" s="231">
        <v>0</v>
      </c>
      <c r="AK48" s="231">
        <v>0</v>
      </c>
      <c r="AL48" s="231">
        <v>0</v>
      </c>
      <c r="AM48" s="231">
        <v>0</v>
      </c>
      <c r="AN48" s="231">
        <v>0</v>
      </c>
    </row>
    <row r="49" spans="3:40" x14ac:dyDescent="0.3">
      <c r="C49" s="231">
        <v>28</v>
      </c>
      <c r="D49" s="231">
        <v>5</v>
      </c>
      <c r="E49" s="231">
        <v>1</v>
      </c>
      <c r="F49" s="231">
        <v>27.4</v>
      </c>
      <c r="G49" s="231">
        <v>0</v>
      </c>
      <c r="H49" s="231">
        <v>5.5</v>
      </c>
      <c r="I49" s="231">
        <v>0</v>
      </c>
      <c r="J49" s="231">
        <v>0</v>
      </c>
      <c r="K49" s="231">
        <v>3</v>
      </c>
      <c r="L49" s="231">
        <v>1</v>
      </c>
      <c r="M49" s="231">
        <v>0</v>
      </c>
      <c r="N49" s="231">
        <v>6.5</v>
      </c>
      <c r="O49" s="231">
        <v>0</v>
      </c>
      <c r="P49" s="231">
        <v>0</v>
      </c>
      <c r="Q49" s="231">
        <v>0</v>
      </c>
      <c r="R49" s="231">
        <v>0</v>
      </c>
      <c r="S49" s="231">
        <v>0</v>
      </c>
      <c r="T49" s="231">
        <v>0</v>
      </c>
      <c r="U49" s="231">
        <v>0</v>
      </c>
      <c r="V49" s="231">
        <v>0</v>
      </c>
      <c r="W49" s="231">
        <v>0</v>
      </c>
      <c r="X49" s="231">
        <v>0</v>
      </c>
      <c r="Y49" s="231">
        <v>0</v>
      </c>
      <c r="Z49" s="231">
        <v>8.6</v>
      </c>
      <c r="AA49" s="231">
        <v>0</v>
      </c>
      <c r="AB49" s="231">
        <v>0</v>
      </c>
      <c r="AC49" s="231">
        <v>0</v>
      </c>
      <c r="AD49" s="231">
        <v>0</v>
      </c>
      <c r="AE49" s="231">
        <v>0</v>
      </c>
      <c r="AF49" s="231">
        <v>0</v>
      </c>
      <c r="AG49" s="231">
        <v>0</v>
      </c>
      <c r="AH49" s="231">
        <v>1</v>
      </c>
      <c r="AI49" s="231">
        <v>0</v>
      </c>
      <c r="AJ49" s="231">
        <v>0</v>
      </c>
      <c r="AK49" s="231">
        <v>0</v>
      </c>
      <c r="AL49" s="231">
        <v>0</v>
      </c>
      <c r="AM49" s="231">
        <v>1.8</v>
      </c>
      <c r="AN49" s="231">
        <v>0</v>
      </c>
    </row>
    <row r="50" spans="3:40" x14ac:dyDescent="0.3">
      <c r="C50" s="231">
        <v>28</v>
      </c>
      <c r="D50" s="231">
        <v>5</v>
      </c>
      <c r="E50" s="231">
        <v>2</v>
      </c>
      <c r="F50" s="231">
        <v>4378.3999999999996</v>
      </c>
      <c r="G50" s="231">
        <v>0</v>
      </c>
      <c r="H50" s="231">
        <v>932</v>
      </c>
      <c r="I50" s="231">
        <v>0</v>
      </c>
      <c r="J50" s="231">
        <v>0</v>
      </c>
      <c r="K50" s="231">
        <v>480</v>
      </c>
      <c r="L50" s="231">
        <v>176</v>
      </c>
      <c r="M50" s="231">
        <v>0</v>
      </c>
      <c r="N50" s="231">
        <v>1072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1270.4000000000001</v>
      </c>
      <c r="AA50" s="231">
        <v>0</v>
      </c>
      <c r="AB50" s="231">
        <v>0</v>
      </c>
      <c r="AC50" s="231">
        <v>0</v>
      </c>
      <c r="AD50" s="231">
        <v>0</v>
      </c>
      <c r="AE50" s="231">
        <v>0</v>
      </c>
      <c r="AF50" s="231">
        <v>0</v>
      </c>
      <c r="AG50" s="231">
        <v>0</v>
      </c>
      <c r="AH50" s="231">
        <v>176</v>
      </c>
      <c r="AI50" s="231">
        <v>0</v>
      </c>
      <c r="AJ50" s="231">
        <v>0</v>
      </c>
      <c r="AK50" s="231">
        <v>0</v>
      </c>
      <c r="AL50" s="231">
        <v>0</v>
      </c>
      <c r="AM50" s="231">
        <v>272</v>
      </c>
      <c r="AN50" s="231">
        <v>0</v>
      </c>
    </row>
    <row r="51" spans="3:40" x14ac:dyDescent="0.3">
      <c r="C51" s="231">
        <v>28</v>
      </c>
      <c r="D51" s="231">
        <v>5</v>
      </c>
      <c r="E51" s="231">
        <v>3</v>
      </c>
      <c r="F51" s="231">
        <v>0</v>
      </c>
      <c r="G51" s="231">
        <v>0</v>
      </c>
      <c r="H51" s="231">
        <v>0</v>
      </c>
      <c r="I51" s="231">
        <v>0</v>
      </c>
      <c r="J51" s="231">
        <v>0</v>
      </c>
      <c r="K51" s="231">
        <v>0</v>
      </c>
      <c r="L51" s="231">
        <v>0</v>
      </c>
      <c r="M51" s="231">
        <v>0</v>
      </c>
      <c r="N51" s="231">
        <v>0</v>
      </c>
      <c r="O51" s="231">
        <v>0</v>
      </c>
      <c r="P51" s="231">
        <v>0</v>
      </c>
      <c r="Q51" s="231">
        <v>0</v>
      </c>
      <c r="R51" s="231">
        <v>0</v>
      </c>
      <c r="S51" s="231">
        <v>0</v>
      </c>
      <c r="T51" s="231">
        <v>0</v>
      </c>
      <c r="U51" s="231">
        <v>0</v>
      </c>
      <c r="V51" s="231">
        <v>0</v>
      </c>
      <c r="W51" s="231">
        <v>0</v>
      </c>
      <c r="X51" s="231">
        <v>0</v>
      </c>
      <c r="Y51" s="231">
        <v>0</v>
      </c>
      <c r="Z51" s="231">
        <v>0</v>
      </c>
      <c r="AA51" s="231">
        <v>0</v>
      </c>
      <c r="AB51" s="231">
        <v>0</v>
      </c>
      <c r="AC51" s="231">
        <v>0</v>
      </c>
      <c r="AD51" s="231">
        <v>0</v>
      </c>
      <c r="AE51" s="231">
        <v>0</v>
      </c>
      <c r="AF51" s="231">
        <v>0</v>
      </c>
      <c r="AG51" s="231">
        <v>0</v>
      </c>
      <c r="AH51" s="231">
        <v>0</v>
      </c>
      <c r="AI51" s="231">
        <v>0</v>
      </c>
      <c r="AJ51" s="231">
        <v>0</v>
      </c>
      <c r="AK51" s="231">
        <v>0</v>
      </c>
      <c r="AL51" s="231">
        <v>0</v>
      </c>
      <c r="AM51" s="231">
        <v>0</v>
      </c>
      <c r="AN51" s="231">
        <v>0</v>
      </c>
    </row>
    <row r="52" spans="3:40" x14ac:dyDescent="0.3">
      <c r="C52" s="231">
        <v>28</v>
      </c>
      <c r="D52" s="231">
        <v>5</v>
      </c>
      <c r="E52" s="231">
        <v>4</v>
      </c>
      <c r="F52" s="231">
        <v>0</v>
      </c>
      <c r="G52" s="231">
        <v>0</v>
      </c>
      <c r="H52" s="231">
        <v>0</v>
      </c>
      <c r="I52" s="231">
        <v>0</v>
      </c>
      <c r="J52" s="231">
        <v>0</v>
      </c>
      <c r="K52" s="231">
        <v>0</v>
      </c>
      <c r="L52" s="231">
        <v>0</v>
      </c>
      <c r="M52" s="231">
        <v>0</v>
      </c>
      <c r="N52" s="231">
        <v>0</v>
      </c>
      <c r="O52" s="231">
        <v>0</v>
      </c>
      <c r="P52" s="231">
        <v>0</v>
      </c>
      <c r="Q52" s="231">
        <v>0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v>0</v>
      </c>
      <c r="AF52" s="231">
        <v>0</v>
      </c>
      <c r="AG52" s="231">
        <v>0</v>
      </c>
      <c r="AH52" s="231">
        <v>0</v>
      </c>
      <c r="AI52" s="231">
        <v>0</v>
      </c>
      <c r="AJ52" s="231">
        <v>0</v>
      </c>
      <c r="AK52" s="231">
        <v>0</v>
      </c>
      <c r="AL52" s="231">
        <v>0</v>
      </c>
      <c r="AM52" s="231">
        <v>0</v>
      </c>
      <c r="AN52" s="231">
        <v>0</v>
      </c>
    </row>
    <row r="53" spans="3:40" x14ac:dyDescent="0.3">
      <c r="C53" s="231">
        <v>28</v>
      </c>
      <c r="D53" s="231">
        <v>5</v>
      </c>
      <c r="E53" s="231">
        <v>5</v>
      </c>
      <c r="F53" s="231">
        <v>0</v>
      </c>
      <c r="G53" s="231">
        <v>0</v>
      </c>
      <c r="H53" s="231">
        <v>0</v>
      </c>
      <c r="I53" s="231">
        <v>0</v>
      </c>
      <c r="J53" s="231">
        <v>0</v>
      </c>
      <c r="K53" s="231">
        <v>0</v>
      </c>
      <c r="L53" s="231">
        <v>0</v>
      </c>
      <c r="M53" s="231">
        <v>0</v>
      </c>
      <c r="N53" s="231">
        <v>0</v>
      </c>
      <c r="O53" s="231">
        <v>0</v>
      </c>
      <c r="P53" s="231">
        <v>0</v>
      </c>
      <c r="Q53" s="231">
        <v>0</v>
      </c>
      <c r="R53" s="231">
        <v>0</v>
      </c>
      <c r="S53" s="231">
        <v>0</v>
      </c>
      <c r="T53" s="231">
        <v>0</v>
      </c>
      <c r="U53" s="231">
        <v>0</v>
      </c>
      <c r="V53" s="231">
        <v>0</v>
      </c>
      <c r="W53" s="231">
        <v>0</v>
      </c>
      <c r="X53" s="231">
        <v>0</v>
      </c>
      <c r="Y53" s="231">
        <v>0</v>
      </c>
      <c r="Z53" s="231">
        <v>0</v>
      </c>
      <c r="AA53" s="231">
        <v>0</v>
      </c>
      <c r="AB53" s="231">
        <v>0</v>
      </c>
      <c r="AC53" s="231">
        <v>0</v>
      </c>
      <c r="AD53" s="231">
        <v>0</v>
      </c>
      <c r="AE53" s="231">
        <v>0</v>
      </c>
      <c r="AF53" s="231">
        <v>0</v>
      </c>
      <c r="AG53" s="231">
        <v>0</v>
      </c>
      <c r="AH53" s="231">
        <v>0</v>
      </c>
      <c r="AI53" s="231">
        <v>0</v>
      </c>
      <c r="AJ53" s="231">
        <v>0</v>
      </c>
      <c r="AK53" s="231">
        <v>0</v>
      </c>
      <c r="AL53" s="231">
        <v>0</v>
      </c>
      <c r="AM53" s="231">
        <v>0</v>
      </c>
      <c r="AN53" s="231">
        <v>0</v>
      </c>
    </row>
    <row r="54" spans="3:40" x14ac:dyDescent="0.3">
      <c r="C54" s="231">
        <v>28</v>
      </c>
      <c r="D54" s="231">
        <v>5</v>
      </c>
      <c r="E54" s="231">
        <v>6</v>
      </c>
      <c r="F54" s="231">
        <v>859366</v>
      </c>
      <c r="G54" s="231">
        <v>0</v>
      </c>
      <c r="H54" s="231">
        <v>302036</v>
      </c>
      <c r="I54" s="231">
        <v>0</v>
      </c>
      <c r="J54" s="231">
        <v>0</v>
      </c>
      <c r="K54" s="231">
        <v>92756</v>
      </c>
      <c r="L54" s="231">
        <v>23290</v>
      </c>
      <c r="M54" s="231">
        <v>0</v>
      </c>
      <c r="N54" s="231">
        <v>140884</v>
      </c>
      <c r="O54" s="231">
        <v>0</v>
      </c>
      <c r="P54" s="231">
        <v>0</v>
      </c>
      <c r="Q54" s="231">
        <v>0</v>
      </c>
      <c r="R54" s="231">
        <v>0</v>
      </c>
      <c r="S54" s="231">
        <v>0</v>
      </c>
      <c r="T54" s="231">
        <v>0</v>
      </c>
      <c r="U54" s="231">
        <v>0</v>
      </c>
      <c r="V54" s="231">
        <v>0</v>
      </c>
      <c r="W54" s="231">
        <v>0</v>
      </c>
      <c r="X54" s="231">
        <v>0</v>
      </c>
      <c r="Y54" s="231">
        <v>0</v>
      </c>
      <c r="Z54" s="231">
        <v>248118</v>
      </c>
      <c r="AA54" s="231">
        <v>0</v>
      </c>
      <c r="AB54" s="231">
        <v>0</v>
      </c>
      <c r="AC54" s="231">
        <v>0</v>
      </c>
      <c r="AD54" s="231">
        <v>0</v>
      </c>
      <c r="AE54" s="231">
        <v>0</v>
      </c>
      <c r="AF54" s="231">
        <v>0</v>
      </c>
      <c r="AG54" s="231">
        <v>0</v>
      </c>
      <c r="AH54" s="231">
        <v>14850</v>
      </c>
      <c r="AI54" s="231">
        <v>0</v>
      </c>
      <c r="AJ54" s="231">
        <v>0</v>
      </c>
      <c r="AK54" s="231">
        <v>0</v>
      </c>
      <c r="AL54" s="231">
        <v>0</v>
      </c>
      <c r="AM54" s="231">
        <v>37432</v>
      </c>
      <c r="AN54" s="231">
        <v>0</v>
      </c>
    </row>
    <row r="55" spans="3:40" x14ac:dyDescent="0.3">
      <c r="C55" s="231">
        <v>28</v>
      </c>
      <c r="D55" s="231">
        <v>5</v>
      </c>
      <c r="E55" s="231">
        <v>7</v>
      </c>
      <c r="F55" s="231">
        <v>0</v>
      </c>
      <c r="G55" s="231">
        <v>0</v>
      </c>
      <c r="H55" s="231">
        <v>0</v>
      </c>
      <c r="I55" s="231">
        <v>0</v>
      </c>
      <c r="J55" s="231">
        <v>0</v>
      </c>
      <c r="K55" s="231">
        <v>0</v>
      </c>
      <c r="L55" s="231">
        <v>0</v>
      </c>
      <c r="M55" s="231">
        <v>0</v>
      </c>
      <c r="N55" s="231">
        <v>0</v>
      </c>
      <c r="O55" s="231">
        <v>0</v>
      </c>
      <c r="P55" s="231">
        <v>0</v>
      </c>
      <c r="Q55" s="231">
        <v>0</v>
      </c>
      <c r="R55" s="231">
        <v>0</v>
      </c>
      <c r="S55" s="231">
        <v>0</v>
      </c>
      <c r="T55" s="231">
        <v>0</v>
      </c>
      <c r="U55" s="231">
        <v>0</v>
      </c>
      <c r="V55" s="231">
        <v>0</v>
      </c>
      <c r="W55" s="231">
        <v>0</v>
      </c>
      <c r="X55" s="231">
        <v>0</v>
      </c>
      <c r="Y55" s="231">
        <v>0</v>
      </c>
      <c r="Z55" s="231">
        <v>0</v>
      </c>
      <c r="AA55" s="231">
        <v>0</v>
      </c>
      <c r="AB55" s="231">
        <v>0</v>
      </c>
      <c r="AC55" s="231">
        <v>0</v>
      </c>
      <c r="AD55" s="231">
        <v>0</v>
      </c>
      <c r="AE55" s="231">
        <v>0</v>
      </c>
      <c r="AF55" s="231">
        <v>0</v>
      </c>
      <c r="AG55" s="231">
        <v>0</v>
      </c>
      <c r="AH55" s="231">
        <v>0</v>
      </c>
      <c r="AI55" s="231">
        <v>0</v>
      </c>
      <c r="AJ55" s="231">
        <v>0</v>
      </c>
      <c r="AK55" s="231">
        <v>0</v>
      </c>
      <c r="AL55" s="231">
        <v>0</v>
      </c>
      <c r="AM55" s="231">
        <v>0</v>
      </c>
      <c r="AN55" s="231">
        <v>0</v>
      </c>
    </row>
    <row r="56" spans="3:40" x14ac:dyDescent="0.3">
      <c r="C56" s="231">
        <v>28</v>
      </c>
      <c r="D56" s="231">
        <v>5</v>
      </c>
      <c r="E56" s="231">
        <v>8</v>
      </c>
      <c r="F56" s="231">
        <v>0</v>
      </c>
      <c r="G56" s="231">
        <v>0</v>
      </c>
      <c r="H56" s="231">
        <v>0</v>
      </c>
      <c r="I56" s="231">
        <v>0</v>
      </c>
      <c r="J56" s="231">
        <v>0</v>
      </c>
      <c r="K56" s="231">
        <v>0</v>
      </c>
      <c r="L56" s="231">
        <v>0</v>
      </c>
      <c r="M56" s="231">
        <v>0</v>
      </c>
      <c r="N56" s="231">
        <v>0</v>
      </c>
      <c r="O56" s="231">
        <v>0</v>
      </c>
      <c r="P56" s="231">
        <v>0</v>
      </c>
      <c r="Q56" s="231">
        <v>0</v>
      </c>
      <c r="R56" s="231">
        <v>0</v>
      </c>
      <c r="S56" s="231">
        <v>0</v>
      </c>
      <c r="T56" s="231">
        <v>0</v>
      </c>
      <c r="U56" s="231">
        <v>0</v>
      </c>
      <c r="V56" s="231">
        <v>0</v>
      </c>
      <c r="W56" s="231">
        <v>0</v>
      </c>
      <c r="X56" s="231">
        <v>0</v>
      </c>
      <c r="Y56" s="231">
        <v>0</v>
      </c>
      <c r="Z56" s="231">
        <v>0</v>
      </c>
      <c r="AA56" s="231">
        <v>0</v>
      </c>
      <c r="AB56" s="231">
        <v>0</v>
      </c>
      <c r="AC56" s="231">
        <v>0</v>
      </c>
      <c r="AD56" s="231">
        <v>0</v>
      </c>
      <c r="AE56" s="231">
        <v>0</v>
      </c>
      <c r="AF56" s="231">
        <v>0</v>
      </c>
      <c r="AG56" s="231">
        <v>0</v>
      </c>
      <c r="AH56" s="231">
        <v>0</v>
      </c>
      <c r="AI56" s="231">
        <v>0</v>
      </c>
      <c r="AJ56" s="231">
        <v>0</v>
      </c>
      <c r="AK56" s="231">
        <v>0</v>
      </c>
      <c r="AL56" s="231">
        <v>0</v>
      </c>
      <c r="AM56" s="231">
        <v>0</v>
      </c>
      <c r="AN56" s="231">
        <v>0</v>
      </c>
    </row>
    <row r="57" spans="3:40" x14ac:dyDescent="0.3">
      <c r="C57" s="231">
        <v>28</v>
      </c>
      <c r="D57" s="231">
        <v>5</v>
      </c>
      <c r="E57" s="231">
        <v>9</v>
      </c>
      <c r="F57" s="231">
        <v>2400</v>
      </c>
      <c r="G57" s="231">
        <v>0</v>
      </c>
      <c r="H57" s="231">
        <v>2400</v>
      </c>
      <c r="I57" s="231">
        <v>0</v>
      </c>
      <c r="J57" s="231">
        <v>0</v>
      </c>
      <c r="K57" s="231">
        <v>0</v>
      </c>
      <c r="L57" s="231">
        <v>0</v>
      </c>
      <c r="M57" s="231">
        <v>0</v>
      </c>
      <c r="N57" s="231">
        <v>0</v>
      </c>
      <c r="O57" s="231">
        <v>0</v>
      </c>
      <c r="P57" s="231">
        <v>0</v>
      </c>
      <c r="Q57" s="231">
        <v>0</v>
      </c>
      <c r="R57" s="231">
        <v>0</v>
      </c>
      <c r="S57" s="231">
        <v>0</v>
      </c>
      <c r="T57" s="231">
        <v>0</v>
      </c>
      <c r="U57" s="231">
        <v>0</v>
      </c>
      <c r="V57" s="231">
        <v>0</v>
      </c>
      <c r="W57" s="231">
        <v>0</v>
      </c>
      <c r="X57" s="231">
        <v>0</v>
      </c>
      <c r="Y57" s="231">
        <v>0</v>
      </c>
      <c r="Z57" s="231">
        <v>0</v>
      </c>
      <c r="AA57" s="231">
        <v>0</v>
      </c>
      <c r="AB57" s="231">
        <v>0</v>
      </c>
      <c r="AC57" s="231">
        <v>0</v>
      </c>
      <c r="AD57" s="231">
        <v>0</v>
      </c>
      <c r="AE57" s="231">
        <v>0</v>
      </c>
      <c r="AF57" s="231">
        <v>0</v>
      </c>
      <c r="AG57" s="231">
        <v>0</v>
      </c>
      <c r="AH57" s="231">
        <v>0</v>
      </c>
      <c r="AI57" s="231">
        <v>0</v>
      </c>
      <c r="AJ57" s="231">
        <v>0</v>
      </c>
      <c r="AK57" s="231">
        <v>0</v>
      </c>
      <c r="AL57" s="231">
        <v>0</v>
      </c>
      <c r="AM57" s="231">
        <v>0</v>
      </c>
      <c r="AN57" s="231">
        <v>0</v>
      </c>
    </row>
    <row r="58" spans="3:40" x14ac:dyDescent="0.3">
      <c r="C58" s="231">
        <v>28</v>
      </c>
      <c r="D58" s="231">
        <v>5</v>
      </c>
      <c r="E58" s="231">
        <v>10</v>
      </c>
      <c r="F58" s="231">
        <v>3618</v>
      </c>
      <c r="G58" s="231">
        <v>0</v>
      </c>
      <c r="H58" s="231">
        <v>0</v>
      </c>
      <c r="I58" s="231">
        <v>0</v>
      </c>
      <c r="J58" s="231">
        <v>0</v>
      </c>
      <c r="K58" s="231">
        <v>3618</v>
      </c>
      <c r="L58" s="231">
        <v>0</v>
      </c>
      <c r="M58" s="231">
        <v>0</v>
      </c>
      <c r="N58" s="231">
        <v>0</v>
      </c>
      <c r="O58" s="231">
        <v>0</v>
      </c>
      <c r="P58" s="231">
        <v>0</v>
      </c>
      <c r="Q58" s="231">
        <v>0</v>
      </c>
      <c r="R58" s="231">
        <v>0</v>
      </c>
      <c r="S58" s="231">
        <v>0</v>
      </c>
      <c r="T58" s="231">
        <v>0</v>
      </c>
      <c r="U58" s="231">
        <v>0</v>
      </c>
      <c r="V58" s="231">
        <v>0</v>
      </c>
      <c r="W58" s="231">
        <v>0</v>
      </c>
      <c r="X58" s="231">
        <v>0</v>
      </c>
      <c r="Y58" s="231">
        <v>0</v>
      </c>
      <c r="Z58" s="231">
        <v>0</v>
      </c>
      <c r="AA58" s="231">
        <v>0</v>
      </c>
      <c r="AB58" s="231">
        <v>0</v>
      </c>
      <c r="AC58" s="231">
        <v>0</v>
      </c>
      <c r="AD58" s="231">
        <v>0</v>
      </c>
      <c r="AE58" s="231">
        <v>0</v>
      </c>
      <c r="AF58" s="231">
        <v>0</v>
      </c>
      <c r="AG58" s="231">
        <v>0</v>
      </c>
      <c r="AH58" s="231">
        <v>0</v>
      </c>
      <c r="AI58" s="231">
        <v>0</v>
      </c>
      <c r="AJ58" s="231">
        <v>0</v>
      </c>
      <c r="AK58" s="231">
        <v>0</v>
      </c>
      <c r="AL58" s="231">
        <v>0</v>
      </c>
      <c r="AM58" s="231">
        <v>0</v>
      </c>
      <c r="AN58" s="231">
        <v>0</v>
      </c>
    </row>
    <row r="59" spans="3:40" x14ac:dyDescent="0.3">
      <c r="C59" s="231">
        <v>28</v>
      </c>
      <c r="D59" s="231">
        <v>5</v>
      </c>
      <c r="E59" s="231">
        <v>11</v>
      </c>
      <c r="F59" s="231">
        <v>5883.25</v>
      </c>
      <c r="G59" s="231">
        <v>0</v>
      </c>
      <c r="H59" s="231">
        <v>1799.9166666666667</v>
      </c>
      <c r="I59" s="231">
        <v>0</v>
      </c>
      <c r="J59" s="231">
        <v>0</v>
      </c>
      <c r="K59" s="231">
        <v>4083.3333333333335</v>
      </c>
      <c r="L59" s="231">
        <v>0</v>
      </c>
      <c r="M59" s="231">
        <v>0</v>
      </c>
      <c r="N59" s="231">
        <v>0</v>
      </c>
      <c r="O59" s="231">
        <v>0</v>
      </c>
      <c r="P59" s="231">
        <v>0</v>
      </c>
      <c r="Q59" s="231">
        <v>0</v>
      </c>
      <c r="R59" s="231">
        <v>0</v>
      </c>
      <c r="S59" s="231">
        <v>0</v>
      </c>
      <c r="T59" s="231">
        <v>0</v>
      </c>
      <c r="U59" s="231">
        <v>0</v>
      </c>
      <c r="V59" s="231">
        <v>0</v>
      </c>
      <c r="W59" s="231">
        <v>0</v>
      </c>
      <c r="X59" s="231">
        <v>0</v>
      </c>
      <c r="Y59" s="231">
        <v>0</v>
      </c>
      <c r="Z59" s="231">
        <v>0</v>
      </c>
      <c r="AA59" s="231">
        <v>0</v>
      </c>
      <c r="AB59" s="231">
        <v>0</v>
      </c>
      <c r="AC59" s="231">
        <v>0</v>
      </c>
      <c r="AD59" s="231">
        <v>0</v>
      </c>
      <c r="AE59" s="231">
        <v>0</v>
      </c>
      <c r="AF59" s="231">
        <v>0</v>
      </c>
      <c r="AG59" s="231">
        <v>0</v>
      </c>
      <c r="AH59" s="231">
        <v>0</v>
      </c>
      <c r="AI59" s="231">
        <v>0</v>
      </c>
      <c r="AJ59" s="231">
        <v>0</v>
      </c>
      <c r="AK59" s="231">
        <v>0</v>
      </c>
      <c r="AL59" s="231">
        <v>0</v>
      </c>
      <c r="AM59" s="231">
        <v>0</v>
      </c>
      <c r="AN59" s="231">
        <v>0</v>
      </c>
    </row>
    <row r="60" spans="3:40" x14ac:dyDescent="0.3">
      <c r="C60" s="231">
        <v>28</v>
      </c>
      <c r="D60" s="231">
        <v>6</v>
      </c>
      <c r="E60" s="231">
        <v>1</v>
      </c>
      <c r="F60" s="231">
        <v>27.4</v>
      </c>
      <c r="G60" s="231">
        <v>0</v>
      </c>
      <c r="H60" s="231">
        <v>5.5</v>
      </c>
      <c r="I60" s="231">
        <v>0</v>
      </c>
      <c r="J60" s="231">
        <v>0</v>
      </c>
      <c r="K60" s="231">
        <v>3</v>
      </c>
      <c r="L60" s="231">
        <v>1</v>
      </c>
      <c r="M60" s="231">
        <v>0</v>
      </c>
      <c r="N60" s="231">
        <v>6.5</v>
      </c>
      <c r="O60" s="231">
        <v>0</v>
      </c>
      <c r="P60" s="231">
        <v>0</v>
      </c>
      <c r="Q60" s="231">
        <v>0</v>
      </c>
      <c r="R60" s="231">
        <v>0</v>
      </c>
      <c r="S60" s="231">
        <v>0</v>
      </c>
      <c r="T60" s="231">
        <v>0</v>
      </c>
      <c r="U60" s="231">
        <v>0</v>
      </c>
      <c r="V60" s="231">
        <v>0</v>
      </c>
      <c r="W60" s="231">
        <v>0</v>
      </c>
      <c r="X60" s="231">
        <v>0</v>
      </c>
      <c r="Y60" s="231">
        <v>0</v>
      </c>
      <c r="Z60" s="231">
        <v>8.6</v>
      </c>
      <c r="AA60" s="231">
        <v>0</v>
      </c>
      <c r="AB60" s="231">
        <v>0</v>
      </c>
      <c r="AC60" s="231">
        <v>0</v>
      </c>
      <c r="AD60" s="231">
        <v>0</v>
      </c>
      <c r="AE60" s="231">
        <v>0</v>
      </c>
      <c r="AF60" s="231">
        <v>0</v>
      </c>
      <c r="AG60" s="231">
        <v>0</v>
      </c>
      <c r="AH60" s="231">
        <v>1</v>
      </c>
      <c r="AI60" s="231">
        <v>0</v>
      </c>
      <c r="AJ60" s="231">
        <v>0</v>
      </c>
      <c r="AK60" s="231">
        <v>0</v>
      </c>
      <c r="AL60" s="231">
        <v>0</v>
      </c>
      <c r="AM60" s="231">
        <v>1.8</v>
      </c>
      <c r="AN60" s="231">
        <v>0</v>
      </c>
    </row>
    <row r="61" spans="3:40" x14ac:dyDescent="0.3">
      <c r="C61" s="231">
        <v>28</v>
      </c>
      <c r="D61" s="231">
        <v>6</v>
      </c>
      <c r="E61" s="231">
        <v>2</v>
      </c>
      <c r="F61" s="231">
        <v>4066.4</v>
      </c>
      <c r="G61" s="231">
        <v>0</v>
      </c>
      <c r="H61" s="231">
        <v>912</v>
      </c>
      <c r="I61" s="231">
        <v>0</v>
      </c>
      <c r="J61" s="231">
        <v>0</v>
      </c>
      <c r="K61" s="231">
        <v>448</v>
      </c>
      <c r="L61" s="231">
        <v>72</v>
      </c>
      <c r="M61" s="231">
        <v>0</v>
      </c>
      <c r="N61" s="231">
        <v>940</v>
      </c>
      <c r="O61" s="231">
        <v>0</v>
      </c>
      <c r="P61" s="231">
        <v>0</v>
      </c>
      <c r="Q61" s="231">
        <v>0</v>
      </c>
      <c r="R61" s="231">
        <v>0</v>
      </c>
      <c r="S61" s="231">
        <v>0</v>
      </c>
      <c r="T61" s="231">
        <v>0</v>
      </c>
      <c r="U61" s="231">
        <v>0</v>
      </c>
      <c r="V61" s="231">
        <v>0</v>
      </c>
      <c r="W61" s="231">
        <v>0</v>
      </c>
      <c r="X61" s="231">
        <v>0</v>
      </c>
      <c r="Y61" s="231">
        <v>0</v>
      </c>
      <c r="Z61" s="231">
        <v>1300.8</v>
      </c>
      <c r="AA61" s="231">
        <v>0</v>
      </c>
      <c r="AB61" s="231">
        <v>0</v>
      </c>
      <c r="AC61" s="231">
        <v>0</v>
      </c>
      <c r="AD61" s="231">
        <v>0</v>
      </c>
      <c r="AE61" s="231">
        <v>0</v>
      </c>
      <c r="AF61" s="231">
        <v>0</v>
      </c>
      <c r="AG61" s="231">
        <v>0</v>
      </c>
      <c r="AH61" s="231">
        <v>160</v>
      </c>
      <c r="AI61" s="231">
        <v>0</v>
      </c>
      <c r="AJ61" s="231">
        <v>0</v>
      </c>
      <c r="AK61" s="231">
        <v>0</v>
      </c>
      <c r="AL61" s="231">
        <v>0</v>
      </c>
      <c r="AM61" s="231">
        <v>233.6</v>
      </c>
      <c r="AN61" s="231">
        <v>0</v>
      </c>
    </row>
    <row r="62" spans="3:40" x14ac:dyDescent="0.3">
      <c r="C62" s="231">
        <v>28</v>
      </c>
      <c r="D62" s="231">
        <v>6</v>
      </c>
      <c r="E62" s="231">
        <v>3</v>
      </c>
      <c r="F62" s="231">
        <v>0</v>
      </c>
      <c r="G62" s="231">
        <v>0</v>
      </c>
      <c r="H62" s="231">
        <v>0</v>
      </c>
      <c r="I62" s="231">
        <v>0</v>
      </c>
      <c r="J62" s="231">
        <v>0</v>
      </c>
      <c r="K62" s="231">
        <v>0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0</v>
      </c>
      <c r="S62" s="231">
        <v>0</v>
      </c>
      <c r="T62" s="231">
        <v>0</v>
      </c>
      <c r="U62" s="231">
        <v>0</v>
      </c>
      <c r="V62" s="231">
        <v>0</v>
      </c>
      <c r="W62" s="231">
        <v>0</v>
      </c>
      <c r="X62" s="231">
        <v>0</v>
      </c>
      <c r="Y62" s="231">
        <v>0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v>0</v>
      </c>
      <c r="AF62" s="231">
        <v>0</v>
      </c>
      <c r="AG62" s="231">
        <v>0</v>
      </c>
      <c r="AH62" s="231">
        <v>0</v>
      </c>
      <c r="AI62" s="231">
        <v>0</v>
      </c>
      <c r="AJ62" s="231">
        <v>0</v>
      </c>
      <c r="AK62" s="231">
        <v>0</v>
      </c>
      <c r="AL62" s="231">
        <v>0</v>
      </c>
      <c r="AM62" s="231">
        <v>0</v>
      </c>
      <c r="AN62" s="231">
        <v>0</v>
      </c>
    </row>
    <row r="63" spans="3:40" x14ac:dyDescent="0.3">
      <c r="C63" s="231">
        <v>28</v>
      </c>
      <c r="D63" s="231">
        <v>6</v>
      </c>
      <c r="E63" s="231">
        <v>4</v>
      </c>
      <c r="F63" s="231">
        <v>0</v>
      </c>
      <c r="G63" s="231">
        <v>0</v>
      </c>
      <c r="H63" s="231">
        <v>0</v>
      </c>
      <c r="I63" s="231">
        <v>0</v>
      </c>
      <c r="J63" s="231">
        <v>0</v>
      </c>
      <c r="K63" s="231">
        <v>0</v>
      </c>
      <c r="L63" s="231">
        <v>0</v>
      </c>
      <c r="M63" s="231">
        <v>0</v>
      </c>
      <c r="N63" s="231">
        <v>0</v>
      </c>
      <c r="O63" s="231">
        <v>0</v>
      </c>
      <c r="P63" s="231">
        <v>0</v>
      </c>
      <c r="Q63" s="231">
        <v>0</v>
      </c>
      <c r="R63" s="231">
        <v>0</v>
      </c>
      <c r="S63" s="231">
        <v>0</v>
      </c>
      <c r="T63" s="231">
        <v>0</v>
      </c>
      <c r="U63" s="231">
        <v>0</v>
      </c>
      <c r="V63" s="231">
        <v>0</v>
      </c>
      <c r="W63" s="231">
        <v>0</v>
      </c>
      <c r="X63" s="231">
        <v>0</v>
      </c>
      <c r="Y63" s="231">
        <v>0</v>
      </c>
      <c r="Z63" s="231">
        <v>0</v>
      </c>
      <c r="AA63" s="231">
        <v>0</v>
      </c>
      <c r="AB63" s="231">
        <v>0</v>
      </c>
      <c r="AC63" s="231">
        <v>0</v>
      </c>
      <c r="AD63" s="231">
        <v>0</v>
      </c>
      <c r="AE63" s="231">
        <v>0</v>
      </c>
      <c r="AF63" s="231">
        <v>0</v>
      </c>
      <c r="AG63" s="231">
        <v>0</v>
      </c>
      <c r="AH63" s="231">
        <v>0</v>
      </c>
      <c r="AI63" s="231">
        <v>0</v>
      </c>
      <c r="AJ63" s="231">
        <v>0</v>
      </c>
      <c r="AK63" s="231">
        <v>0</v>
      </c>
      <c r="AL63" s="231">
        <v>0</v>
      </c>
      <c r="AM63" s="231">
        <v>0</v>
      </c>
      <c r="AN63" s="231">
        <v>0</v>
      </c>
    </row>
    <row r="64" spans="3:40" x14ac:dyDescent="0.3">
      <c r="C64" s="231">
        <v>28</v>
      </c>
      <c r="D64" s="231">
        <v>6</v>
      </c>
      <c r="E64" s="231">
        <v>5</v>
      </c>
      <c r="F64" s="231">
        <v>0</v>
      </c>
      <c r="G64" s="231">
        <v>0</v>
      </c>
      <c r="H64" s="231">
        <v>0</v>
      </c>
      <c r="I64" s="231">
        <v>0</v>
      </c>
      <c r="J64" s="231">
        <v>0</v>
      </c>
      <c r="K64" s="231">
        <v>0</v>
      </c>
      <c r="L64" s="231">
        <v>0</v>
      </c>
      <c r="M64" s="231">
        <v>0</v>
      </c>
      <c r="N64" s="231">
        <v>0</v>
      </c>
      <c r="O64" s="231">
        <v>0</v>
      </c>
      <c r="P64" s="231">
        <v>0</v>
      </c>
      <c r="Q64" s="231">
        <v>0</v>
      </c>
      <c r="R64" s="231">
        <v>0</v>
      </c>
      <c r="S64" s="231">
        <v>0</v>
      </c>
      <c r="T64" s="231">
        <v>0</v>
      </c>
      <c r="U64" s="231">
        <v>0</v>
      </c>
      <c r="V64" s="231">
        <v>0</v>
      </c>
      <c r="W64" s="231">
        <v>0</v>
      </c>
      <c r="X64" s="231">
        <v>0</v>
      </c>
      <c r="Y64" s="231">
        <v>0</v>
      </c>
      <c r="Z64" s="231">
        <v>0</v>
      </c>
      <c r="AA64" s="231">
        <v>0</v>
      </c>
      <c r="AB64" s="231">
        <v>0</v>
      </c>
      <c r="AC64" s="231">
        <v>0</v>
      </c>
      <c r="AD64" s="231">
        <v>0</v>
      </c>
      <c r="AE64" s="231">
        <v>0</v>
      </c>
      <c r="AF64" s="231">
        <v>0</v>
      </c>
      <c r="AG64" s="231">
        <v>0</v>
      </c>
      <c r="AH64" s="231">
        <v>0</v>
      </c>
      <c r="AI64" s="231">
        <v>0</v>
      </c>
      <c r="AJ64" s="231">
        <v>0</v>
      </c>
      <c r="AK64" s="231">
        <v>0</v>
      </c>
      <c r="AL64" s="231">
        <v>0</v>
      </c>
      <c r="AM64" s="231">
        <v>0</v>
      </c>
      <c r="AN64" s="231">
        <v>0</v>
      </c>
    </row>
    <row r="65" spans="3:40" x14ac:dyDescent="0.3">
      <c r="C65" s="231">
        <v>28</v>
      </c>
      <c r="D65" s="231">
        <v>6</v>
      </c>
      <c r="E65" s="231">
        <v>6</v>
      </c>
      <c r="F65" s="231">
        <v>876026</v>
      </c>
      <c r="G65" s="231">
        <v>0</v>
      </c>
      <c r="H65" s="231">
        <v>317992</v>
      </c>
      <c r="I65" s="231">
        <v>0</v>
      </c>
      <c r="J65" s="231">
        <v>0</v>
      </c>
      <c r="K65" s="231">
        <v>96510</v>
      </c>
      <c r="L65" s="231">
        <v>25041</v>
      </c>
      <c r="M65" s="231">
        <v>0</v>
      </c>
      <c r="N65" s="231">
        <v>138442</v>
      </c>
      <c r="O65" s="231">
        <v>0</v>
      </c>
      <c r="P65" s="231">
        <v>0</v>
      </c>
      <c r="Q65" s="231">
        <v>0</v>
      </c>
      <c r="R65" s="231">
        <v>0</v>
      </c>
      <c r="S65" s="231">
        <v>0</v>
      </c>
      <c r="T65" s="231">
        <v>0</v>
      </c>
      <c r="U65" s="231">
        <v>0</v>
      </c>
      <c r="V65" s="231">
        <v>0</v>
      </c>
      <c r="W65" s="231">
        <v>0</v>
      </c>
      <c r="X65" s="231">
        <v>0</v>
      </c>
      <c r="Y65" s="231">
        <v>0</v>
      </c>
      <c r="Z65" s="231">
        <v>240739</v>
      </c>
      <c r="AA65" s="231">
        <v>0</v>
      </c>
      <c r="AB65" s="231">
        <v>0</v>
      </c>
      <c r="AC65" s="231">
        <v>0</v>
      </c>
      <c r="AD65" s="231">
        <v>0</v>
      </c>
      <c r="AE65" s="231">
        <v>0</v>
      </c>
      <c r="AF65" s="231">
        <v>0</v>
      </c>
      <c r="AG65" s="231">
        <v>0</v>
      </c>
      <c r="AH65" s="231">
        <v>15399</v>
      </c>
      <c r="AI65" s="231">
        <v>0</v>
      </c>
      <c r="AJ65" s="231">
        <v>0</v>
      </c>
      <c r="AK65" s="231">
        <v>0</v>
      </c>
      <c r="AL65" s="231">
        <v>0</v>
      </c>
      <c r="AM65" s="231">
        <v>41903</v>
      </c>
      <c r="AN65" s="231">
        <v>0</v>
      </c>
    </row>
    <row r="66" spans="3:40" x14ac:dyDescent="0.3">
      <c r="C66" s="231">
        <v>28</v>
      </c>
      <c r="D66" s="231">
        <v>6</v>
      </c>
      <c r="E66" s="231">
        <v>7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0</v>
      </c>
      <c r="P66" s="231">
        <v>0</v>
      </c>
      <c r="Q66" s="231">
        <v>0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v>0</v>
      </c>
      <c r="AF66" s="231">
        <v>0</v>
      </c>
      <c r="AG66" s="231">
        <v>0</v>
      </c>
      <c r="AH66" s="231">
        <v>0</v>
      </c>
      <c r="AI66" s="231">
        <v>0</v>
      </c>
      <c r="AJ66" s="231">
        <v>0</v>
      </c>
      <c r="AK66" s="231">
        <v>0</v>
      </c>
      <c r="AL66" s="231">
        <v>0</v>
      </c>
      <c r="AM66" s="231">
        <v>0</v>
      </c>
      <c r="AN66" s="231">
        <v>0</v>
      </c>
    </row>
    <row r="67" spans="3:40" x14ac:dyDescent="0.3">
      <c r="C67" s="231">
        <v>28</v>
      </c>
      <c r="D67" s="231">
        <v>6</v>
      </c>
      <c r="E67" s="231">
        <v>8</v>
      </c>
      <c r="F67" s="231">
        <v>0</v>
      </c>
      <c r="G67" s="231">
        <v>0</v>
      </c>
      <c r="H67" s="231">
        <v>0</v>
      </c>
      <c r="I67" s="231">
        <v>0</v>
      </c>
      <c r="J67" s="231">
        <v>0</v>
      </c>
      <c r="K67" s="231">
        <v>0</v>
      </c>
      <c r="L67" s="231">
        <v>0</v>
      </c>
      <c r="M67" s="231">
        <v>0</v>
      </c>
      <c r="N67" s="231">
        <v>0</v>
      </c>
      <c r="O67" s="231">
        <v>0</v>
      </c>
      <c r="P67" s="231">
        <v>0</v>
      </c>
      <c r="Q67" s="231">
        <v>0</v>
      </c>
      <c r="R67" s="231">
        <v>0</v>
      </c>
      <c r="S67" s="231">
        <v>0</v>
      </c>
      <c r="T67" s="231">
        <v>0</v>
      </c>
      <c r="U67" s="231">
        <v>0</v>
      </c>
      <c r="V67" s="231">
        <v>0</v>
      </c>
      <c r="W67" s="231">
        <v>0</v>
      </c>
      <c r="X67" s="231">
        <v>0</v>
      </c>
      <c r="Y67" s="231">
        <v>0</v>
      </c>
      <c r="Z67" s="231">
        <v>0</v>
      </c>
      <c r="AA67" s="231">
        <v>0</v>
      </c>
      <c r="AB67" s="231">
        <v>0</v>
      </c>
      <c r="AC67" s="231">
        <v>0</v>
      </c>
      <c r="AD67" s="231">
        <v>0</v>
      </c>
      <c r="AE67" s="231">
        <v>0</v>
      </c>
      <c r="AF67" s="231">
        <v>0</v>
      </c>
      <c r="AG67" s="231">
        <v>0</v>
      </c>
      <c r="AH67" s="231">
        <v>0</v>
      </c>
      <c r="AI67" s="231">
        <v>0</v>
      </c>
      <c r="AJ67" s="231">
        <v>0</v>
      </c>
      <c r="AK67" s="231">
        <v>0</v>
      </c>
      <c r="AL67" s="231">
        <v>0</v>
      </c>
      <c r="AM67" s="231">
        <v>0</v>
      </c>
      <c r="AN67" s="231">
        <v>0</v>
      </c>
    </row>
    <row r="68" spans="3:40" x14ac:dyDescent="0.3">
      <c r="C68" s="231">
        <v>28</v>
      </c>
      <c r="D68" s="231">
        <v>6</v>
      </c>
      <c r="E68" s="231">
        <v>9</v>
      </c>
      <c r="F68" s="231">
        <v>39900</v>
      </c>
      <c r="G68" s="231">
        <v>0</v>
      </c>
      <c r="H68" s="231">
        <v>20400</v>
      </c>
      <c r="I68" s="231">
        <v>0</v>
      </c>
      <c r="J68" s="231">
        <v>0</v>
      </c>
      <c r="K68" s="231">
        <v>4400</v>
      </c>
      <c r="L68" s="231">
        <v>1300</v>
      </c>
      <c r="M68" s="231">
        <v>0</v>
      </c>
      <c r="N68" s="231">
        <v>3400</v>
      </c>
      <c r="O68" s="231">
        <v>0</v>
      </c>
      <c r="P68" s="231">
        <v>0</v>
      </c>
      <c r="Q68" s="231">
        <v>0</v>
      </c>
      <c r="R68" s="231">
        <v>0</v>
      </c>
      <c r="S68" s="231">
        <v>0</v>
      </c>
      <c r="T68" s="231">
        <v>0</v>
      </c>
      <c r="U68" s="231">
        <v>0</v>
      </c>
      <c r="V68" s="231">
        <v>0</v>
      </c>
      <c r="W68" s="231">
        <v>0</v>
      </c>
      <c r="X68" s="231">
        <v>0</v>
      </c>
      <c r="Y68" s="231">
        <v>0</v>
      </c>
      <c r="Z68" s="231">
        <v>5400</v>
      </c>
      <c r="AA68" s="231">
        <v>0</v>
      </c>
      <c r="AB68" s="231">
        <v>0</v>
      </c>
      <c r="AC68" s="231">
        <v>0</v>
      </c>
      <c r="AD68" s="231">
        <v>0</v>
      </c>
      <c r="AE68" s="231">
        <v>0</v>
      </c>
      <c r="AF68" s="231">
        <v>0</v>
      </c>
      <c r="AG68" s="231">
        <v>0</v>
      </c>
      <c r="AH68" s="231">
        <v>500</v>
      </c>
      <c r="AI68" s="231">
        <v>0</v>
      </c>
      <c r="AJ68" s="231">
        <v>0</v>
      </c>
      <c r="AK68" s="231">
        <v>0</v>
      </c>
      <c r="AL68" s="231">
        <v>0</v>
      </c>
      <c r="AM68" s="231">
        <v>4500</v>
      </c>
      <c r="AN68" s="231">
        <v>0</v>
      </c>
    </row>
    <row r="69" spans="3:40" x14ac:dyDescent="0.3">
      <c r="C69" s="231">
        <v>28</v>
      </c>
      <c r="D69" s="231">
        <v>6</v>
      </c>
      <c r="E69" s="231">
        <v>10</v>
      </c>
      <c r="F69" s="231">
        <v>0</v>
      </c>
      <c r="G69" s="231">
        <v>0</v>
      </c>
      <c r="H69" s="231">
        <v>0</v>
      </c>
      <c r="I69" s="231">
        <v>0</v>
      </c>
      <c r="J69" s="231">
        <v>0</v>
      </c>
      <c r="K69" s="231">
        <v>0</v>
      </c>
      <c r="L69" s="231">
        <v>0</v>
      </c>
      <c r="M69" s="231">
        <v>0</v>
      </c>
      <c r="N69" s="231">
        <v>0</v>
      </c>
      <c r="O69" s="231">
        <v>0</v>
      </c>
      <c r="P69" s="231">
        <v>0</v>
      </c>
      <c r="Q69" s="231">
        <v>0</v>
      </c>
      <c r="R69" s="231">
        <v>0</v>
      </c>
      <c r="S69" s="231">
        <v>0</v>
      </c>
      <c r="T69" s="231">
        <v>0</v>
      </c>
      <c r="U69" s="231">
        <v>0</v>
      </c>
      <c r="V69" s="231">
        <v>0</v>
      </c>
      <c r="W69" s="231">
        <v>0</v>
      </c>
      <c r="X69" s="231">
        <v>0</v>
      </c>
      <c r="Y69" s="231">
        <v>0</v>
      </c>
      <c r="Z69" s="231">
        <v>0</v>
      </c>
      <c r="AA69" s="231">
        <v>0</v>
      </c>
      <c r="AB69" s="231">
        <v>0</v>
      </c>
      <c r="AC69" s="231">
        <v>0</v>
      </c>
      <c r="AD69" s="231">
        <v>0</v>
      </c>
      <c r="AE69" s="231">
        <v>0</v>
      </c>
      <c r="AF69" s="231">
        <v>0</v>
      </c>
      <c r="AG69" s="231">
        <v>0</v>
      </c>
      <c r="AH69" s="231">
        <v>0</v>
      </c>
      <c r="AI69" s="231">
        <v>0</v>
      </c>
      <c r="AJ69" s="231">
        <v>0</v>
      </c>
      <c r="AK69" s="231">
        <v>0</v>
      </c>
      <c r="AL69" s="231">
        <v>0</v>
      </c>
      <c r="AM69" s="231">
        <v>0</v>
      </c>
      <c r="AN69" s="231">
        <v>0</v>
      </c>
    </row>
    <row r="70" spans="3:40" x14ac:dyDescent="0.3">
      <c r="C70" s="231">
        <v>28</v>
      </c>
      <c r="D70" s="231">
        <v>6</v>
      </c>
      <c r="E70" s="231">
        <v>11</v>
      </c>
      <c r="F70" s="231">
        <v>5883.25</v>
      </c>
      <c r="G70" s="231">
        <v>0</v>
      </c>
      <c r="H70" s="231">
        <v>1799.9166666666667</v>
      </c>
      <c r="I70" s="231">
        <v>0</v>
      </c>
      <c r="J70" s="231">
        <v>0</v>
      </c>
      <c r="K70" s="231">
        <v>4083.3333333333335</v>
      </c>
      <c r="L70" s="231">
        <v>0</v>
      </c>
      <c r="M70" s="231">
        <v>0</v>
      </c>
      <c r="N70" s="231">
        <v>0</v>
      </c>
      <c r="O70" s="231">
        <v>0</v>
      </c>
      <c r="P70" s="231">
        <v>0</v>
      </c>
      <c r="Q70" s="231">
        <v>0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v>0</v>
      </c>
      <c r="AF70" s="231">
        <v>0</v>
      </c>
      <c r="AG70" s="231">
        <v>0</v>
      </c>
      <c r="AH70" s="231">
        <v>0</v>
      </c>
      <c r="AI70" s="231">
        <v>0</v>
      </c>
      <c r="AJ70" s="231">
        <v>0</v>
      </c>
      <c r="AK70" s="231">
        <v>0</v>
      </c>
      <c r="AL70" s="231">
        <v>0</v>
      </c>
      <c r="AM70" s="231">
        <v>0</v>
      </c>
      <c r="AN70" s="231">
        <v>0</v>
      </c>
    </row>
    <row r="71" spans="3:40" x14ac:dyDescent="0.3">
      <c r="C71" s="231">
        <v>28</v>
      </c>
      <c r="D71" s="231">
        <v>7</v>
      </c>
      <c r="E71" s="231">
        <v>1</v>
      </c>
      <c r="F71" s="231">
        <v>25.2</v>
      </c>
      <c r="G71" s="231">
        <v>0</v>
      </c>
      <c r="H71" s="231">
        <v>4.3</v>
      </c>
      <c r="I71" s="231">
        <v>0</v>
      </c>
      <c r="J71" s="231">
        <v>0</v>
      </c>
      <c r="K71" s="231">
        <v>3</v>
      </c>
      <c r="L71" s="231">
        <v>0</v>
      </c>
      <c r="M71" s="231">
        <v>0</v>
      </c>
      <c r="N71" s="231">
        <v>6.5</v>
      </c>
      <c r="O71" s="231">
        <v>0</v>
      </c>
      <c r="P71" s="231">
        <v>0</v>
      </c>
      <c r="Q71" s="231">
        <v>0</v>
      </c>
      <c r="R71" s="231">
        <v>0</v>
      </c>
      <c r="S71" s="231">
        <v>0</v>
      </c>
      <c r="T71" s="231">
        <v>0</v>
      </c>
      <c r="U71" s="231">
        <v>0</v>
      </c>
      <c r="V71" s="231">
        <v>0</v>
      </c>
      <c r="W71" s="231">
        <v>0</v>
      </c>
      <c r="X71" s="231">
        <v>0</v>
      </c>
      <c r="Y71" s="231">
        <v>0</v>
      </c>
      <c r="Z71" s="231">
        <v>8.6</v>
      </c>
      <c r="AA71" s="231">
        <v>0</v>
      </c>
      <c r="AB71" s="231">
        <v>0</v>
      </c>
      <c r="AC71" s="231">
        <v>0</v>
      </c>
      <c r="AD71" s="231">
        <v>0</v>
      </c>
      <c r="AE71" s="231">
        <v>0</v>
      </c>
      <c r="AF71" s="231">
        <v>0</v>
      </c>
      <c r="AG71" s="231">
        <v>0</v>
      </c>
      <c r="AH71" s="231">
        <v>1</v>
      </c>
      <c r="AI71" s="231">
        <v>0</v>
      </c>
      <c r="AJ71" s="231">
        <v>0</v>
      </c>
      <c r="AK71" s="231">
        <v>0</v>
      </c>
      <c r="AL71" s="231">
        <v>0</v>
      </c>
      <c r="AM71" s="231">
        <v>1.8</v>
      </c>
      <c r="AN71" s="231">
        <v>0</v>
      </c>
    </row>
    <row r="72" spans="3:40" x14ac:dyDescent="0.3">
      <c r="C72" s="231">
        <v>28</v>
      </c>
      <c r="D72" s="231">
        <v>7</v>
      </c>
      <c r="E72" s="231">
        <v>2</v>
      </c>
      <c r="F72" s="231">
        <v>3566.4</v>
      </c>
      <c r="G72" s="231">
        <v>0</v>
      </c>
      <c r="H72" s="231">
        <v>599.20000000000005</v>
      </c>
      <c r="I72" s="231">
        <v>0</v>
      </c>
      <c r="J72" s="231">
        <v>0</v>
      </c>
      <c r="K72" s="231">
        <v>352</v>
      </c>
      <c r="L72" s="231">
        <v>0</v>
      </c>
      <c r="M72" s="231">
        <v>0</v>
      </c>
      <c r="N72" s="231">
        <v>924</v>
      </c>
      <c r="O72" s="231">
        <v>0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0</v>
      </c>
      <c r="V72" s="231">
        <v>0</v>
      </c>
      <c r="W72" s="231">
        <v>0</v>
      </c>
      <c r="X72" s="231">
        <v>0</v>
      </c>
      <c r="Y72" s="231">
        <v>0</v>
      </c>
      <c r="Z72" s="231">
        <v>1286.4000000000001</v>
      </c>
      <c r="AA72" s="231">
        <v>0</v>
      </c>
      <c r="AB72" s="231">
        <v>0</v>
      </c>
      <c r="AC72" s="231">
        <v>0</v>
      </c>
      <c r="AD72" s="231">
        <v>0</v>
      </c>
      <c r="AE72" s="231">
        <v>0</v>
      </c>
      <c r="AF72" s="231">
        <v>0</v>
      </c>
      <c r="AG72" s="231">
        <v>0</v>
      </c>
      <c r="AH72" s="231">
        <v>112</v>
      </c>
      <c r="AI72" s="231">
        <v>0</v>
      </c>
      <c r="AJ72" s="231">
        <v>0</v>
      </c>
      <c r="AK72" s="231">
        <v>0</v>
      </c>
      <c r="AL72" s="231">
        <v>0</v>
      </c>
      <c r="AM72" s="231">
        <v>292.8</v>
      </c>
      <c r="AN72" s="231">
        <v>0</v>
      </c>
    </row>
    <row r="73" spans="3:40" x14ac:dyDescent="0.3">
      <c r="C73" s="231">
        <v>28</v>
      </c>
      <c r="D73" s="231">
        <v>7</v>
      </c>
      <c r="E73" s="231">
        <v>3</v>
      </c>
      <c r="F73" s="231">
        <v>0</v>
      </c>
      <c r="G73" s="231">
        <v>0</v>
      </c>
      <c r="H73" s="231">
        <v>0</v>
      </c>
      <c r="I73" s="231">
        <v>0</v>
      </c>
      <c r="J73" s="231">
        <v>0</v>
      </c>
      <c r="K73" s="231">
        <v>0</v>
      </c>
      <c r="L73" s="231">
        <v>0</v>
      </c>
      <c r="M73" s="231">
        <v>0</v>
      </c>
      <c r="N73" s="231">
        <v>0</v>
      </c>
      <c r="O73" s="231">
        <v>0</v>
      </c>
      <c r="P73" s="231">
        <v>0</v>
      </c>
      <c r="Q73" s="231">
        <v>0</v>
      </c>
      <c r="R73" s="231">
        <v>0</v>
      </c>
      <c r="S73" s="231">
        <v>0</v>
      </c>
      <c r="T73" s="231">
        <v>0</v>
      </c>
      <c r="U73" s="231">
        <v>0</v>
      </c>
      <c r="V73" s="231">
        <v>0</v>
      </c>
      <c r="W73" s="231">
        <v>0</v>
      </c>
      <c r="X73" s="231">
        <v>0</v>
      </c>
      <c r="Y73" s="231">
        <v>0</v>
      </c>
      <c r="Z73" s="231">
        <v>0</v>
      </c>
      <c r="AA73" s="231">
        <v>0</v>
      </c>
      <c r="AB73" s="231">
        <v>0</v>
      </c>
      <c r="AC73" s="231">
        <v>0</v>
      </c>
      <c r="AD73" s="231">
        <v>0</v>
      </c>
      <c r="AE73" s="231">
        <v>0</v>
      </c>
      <c r="AF73" s="231">
        <v>0</v>
      </c>
      <c r="AG73" s="231">
        <v>0</v>
      </c>
      <c r="AH73" s="231">
        <v>0</v>
      </c>
      <c r="AI73" s="231">
        <v>0</v>
      </c>
      <c r="AJ73" s="231">
        <v>0</v>
      </c>
      <c r="AK73" s="231">
        <v>0</v>
      </c>
      <c r="AL73" s="231">
        <v>0</v>
      </c>
      <c r="AM73" s="231">
        <v>0</v>
      </c>
      <c r="AN73" s="231">
        <v>0</v>
      </c>
    </row>
    <row r="74" spans="3:40" x14ac:dyDescent="0.3">
      <c r="C74" s="231">
        <v>28</v>
      </c>
      <c r="D74" s="231">
        <v>7</v>
      </c>
      <c r="E74" s="231">
        <v>4</v>
      </c>
      <c r="F74" s="231">
        <v>0</v>
      </c>
      <c r="G74" s="231">
        <v>0</v>
      </c>
      <c r="H74" s="231">
        <v>0</v>
      </c>
      <c r="I74" s="231">
        <v>0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0</v>
      </c>
      <c r="Q74" s="231">
        <v>0</v>
      </c>
      <c r="R74" s="231">
        <v>0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0</v>
      </c>
      <c r="AC74" s="231">
        <v>0</v>
      </c>
      <c r="AD74" s="231">
        <v>0</v>
      </c>
      <c r="AE74" s="231">
        <v>0</v>
      </c>
      <c r="AF74" s="231">
        <v>0</v>
      </c>
      <c r="AG74" s="231">
        <v>0</v>
      </c>
      <c r="AH74" s="231">
        <v>0</v>
      </c>
      <c r="AI74" s="231">
        <v>0</v>
      </c>
      <c r="AJ74" s="231">
        <v>0</v>
      </c>
      <c r="AK74" s="231">
        <v>0</v>
      </c>
      <c r="AL74" s="231">
        <v>0</v>
      </c>
      <c r="AM74" s="231">
        <v>0</v>
      </c>
      <c r="AN74" s="231">
        <v>0</v>
      </c>
    </row>
    <row r="75" spans="3:40" x14ac:dyDescent="0.3">
      <c r="C75" s="231">
        <v>28</v>
      </c>
      <c r="D75" s="231">
        <v>7</v>
      </c>
      <c r="E75" s="231">
        <v>5</v>
      </c>
      <c r="F75" s="231">
        <v>0</v>
      </c>
      <c r="G75" s="231">
        <v>0</v>
      </c>
      <c r="H75" s="231">
        <v>0</v>
      </c>
      <c r="I75" s="231">
        <v>0</v>
      </c>
      <c r="J75" s="231">
        <v>0</v>
      </c>
      <c r="K75" s="231">
        <v>0</v>
      </c>
      <c r="L75" s="231">
        <v>0</v>
      </c>
      <c r="M75" s="231">
        <v>0</v>
      </c>
      <c r="N75" s="231">
        <v>0</v>
      </c>
      <c r="O75" s="231">
        <v>0</v>
      </c>
      <c r="P75" s="231">
        <v>0</v>
      </c>
      <c r="Q75" s="231">
        <v>0</v>
      </c>
      <c r="R75" s="231">
        <v>0</v>
      </c>
      <c r="S75" s="231">
        <v>0</v>
      </c>
      <c r="T75" s="231">
        <v>0</v>
      </c>
      <c r="U75" s="231">
        <v>0</v>
      </c>
      <c r="V75" s="231">
        <v>0</v>
      </c>
      <c r="W75" s="231">
        <v>0</v>
      </c>
      <c r="X75" s="231">
        <v>0</v>
      </c>
      <c r="Y75" s="231">
        <v>0</v>
      </c>
      <c r="Z75" s="231">
        <v>0</v>
      </c>
      <c r="AA75" s="231">
        <v>0</v>
      </c>
      <c r="AB75" s="231">
        <v>0</v>
      </c>
      <c r="AC75" s="231">
        <v>0</v>
      </c>
      <c r="AD75" s="231">
        <v>0</v>
      </c>
      <c r="AE75" s="231">
        <v>0</v>
      </c>
      <c r="AF75" s="231">
        <v>0</v>
      </c>
      <c r="AG75" s="231">
        <v>0</v>
      </c>
      <c r="AH75" s="231">
        <v>0</v>
      </c>
      <c r="AI75" s="231">
        <v>0</v>
      </c>
      <c r="AJ75" s="231">
        <v>0</v>
      </c>
      <c r="AK75" s="231">
        <v>0</v>
      </c>
      <c r="AL75" s="231">
        <v>0</v>
      </c>
      <c r="AM75" s="231">
        <v>0</v>
      </c>
      <c r="AN75" s="231">
        <v>0</v>
      </c>
    </row>
    <row r="76" spans="3:40" x14ac:dyDescent="0.3">
      <c r="C76" s="231">
        <v>28</v>
      </c>
      <c r="D76" s="231">
        <v>7</v>
      </c>
      <c r="E76" s="231">
        <v>6</v>
      </c>
      <c r="F76" s="231">
        <v>1238796</v>
      </c>
      <c r="G76" s="231">
        <v>0</v>
      </c>
      <c r="H76" s="231">
        <v>478836</v>
      </c>
      <c r="I76" s="231">
        <v>0</v>
      </c>
      <c r="J76" s="231">
        <v>0</v>
      </c>
      <c r="K76" s="231">
        <v>130288</v>
      </c>
      <c r="L76" s="231">
        <v>11700</v>
      </c>
      <c r="M76" s="231">
        <v>0</v>
      </c>
      <c r="N76" s="231">
        <v>203202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343645</v>
      </c>
      <c r="AA76" s="231">
        <v>0</v>
      </c>
      <c r="AB76" s="231">
        <v>0</v>
      </c>
      <c r="AC76" s="231">
        <v>0</v>
      </c>
      <c r="AD76" s="231">
        <v>0</v>
      </c>
      <c r="AE76" s="231">
        <v>0</v>
      </c>
      <c r="AF76" s="231">
        <v>0</v>
      </c>
      <c r="AG76" s="231">
        <v>0</v>
      </c>
      <c r="AH76" s="231">
        <v>21347</v>
      </c>
      <c r="AI76" s="231">
        <v>0</v>
      </c>
      <c r="AJ76" s="231">
        <v>0</v>
      </c>
      <c r="AK76" s="231">
        <v>0</v>
      </c>
      <c r="AL76" s="231">
        <v>0</v>
      </c>
      <c r="AM76" s="231">
        <v>49778</v>
      </c>
      <c r="AN76" s="231">
        <v>0</v>
      </c>
    </row>
    <row r="77" spans="3:40" x14ac:dyDescent="0.3">
      <c r="C77" s="231">
        <v>28</v>
      </c>
      <c r="D77" s="231">
        <v>7</v>
      </c>
      <c r="E77" s="231">
        <v>7</v>
      </c>
      <c r="F77" s="231">
        <v>0</v>
      </c>
      <c r="G77" s="231">
        <v>0</v>
      </c>
      <c r="H77" s="231">
        <v>0</v>
      </c>
      <c r="I77" s="231">
        <v>0</v>
      </c>
      <c r="J77" s="231">
        <v>0</v>
      </c>
      <c r="K77" s="231">
        <v>0</v>
      </c>
      <c r="L77" s="231">
        <v>0</v>
      </c>
      <c r="M77" s="231">
        <v>0</v>
      </c>
      <c r="N77" s="231">
        <v>0</v>
      </c>
      <c r="O77" s="231">
        <v>0</v>
      </c>
      <c r="P77" s="231">
        <v>0</v>
      </c>
      <c r="Q77" s="231">
        <v>0</v>
      </c>
      <c r="R77" s="231">
        <v>0</v>
      </c>
      <c r="S77" s="231">
        <v>0</v>
      </c>
      <c r="T77" s="231">
        <v>0</v>
      </c>
      <c r="U77" s="231">
        <v>0</v>
      </c>
      <c r="V77" s="231">
        <v>0</v>
      </c>
      <c r="W77" s="231">
        <v>0</v>
      </c>
      <c r="X77" s="231">
        <v>0</v>
      </c>
      <c r="Y77" s="231">
        <v>0</v>
      </c>
      <c r="Z77" s="231">
        <v>0</v>
      </c>
      <c r="AA77" s="231">
        <v>0</v>
      </c>
      <c r="AB77" s="231">
        <v>0</v>
      </c>
      <c r="AC77" s="231">
        <v>0</v>
      </c>
      <c r="AD77" s="231">
        <v>0</v>
      </c>
      <c r="AE77" s="231">
        <v>0</v>
      </c>
      <c r="AF77" s="231">
        <v>0</v>
      </c>
      <c r="AG77" s="231">
        <v>0</v>
      </c>
      <c r="AH77" s="231">
        <v>0</v>
      </c>
      <c r="AI77" s="231">
        <v>0</v>
      </c>
      <c r="AJ77" s="231">
        <v>0</v>
      </c>
      <c r="AK77" s="231">
        <v>0</v>
      </c>
      <c r="AL77" s="231">
        <v>0</v>
      </c>
      <c r="AM77" s="231">
        <v>0</v>
      </c>
      <c r="AN77" s="231">
        <v>0</v>
      </c>
    </row>
    <row r="78" spans="3:40" x14ac:dyDescent="0.3">
      <c r="C78" s="231">
        <v>28</v>
      </c>
      <c r="D78" s="231">
        <v>7</v>
      </c>
      <c r="E78" s="231">
        <v>8</v>
      </c>
      <c r="F78" s="231">
        <v>0</v>
      </c>
      <c r="G78" s="231">
        <v>0</v>
      </c>
      <c r="H78" s="231">
        <v>0</v>
      </c>
      <c r="I78" s="231">
        <v>0</v>
      </c>
      <c r="J78" s="231">
        <v>0</v>
      </c>
      <c r="K78" s="231">
        <v>0</v>
      </c>
      <c r="L78" s="231">
        <v>0</v>
      </c>
      <c r="M78" s="231">
        <v>0</v>
      </c>
      <c r="N78" s="231">
        <v>0</v>
      </c>
      <c r="O78" s="231">
        <v>0</v>
      </c>
      <c r="P78" s="231">
        <v>0</v>
      </c>
      <c r="Q78" s="231">
        <v>0</v>
      </c>
      <c r="R78" s="231">
        <v>0</v>
      </c>
      <c r="S78" s="231">
        <v>0</v>
      </c>
      <c r="T78" s="231">
        <v>0</v>
      </c>
      <c r="U78" s="231">
        <v>0</v>
      </c>
      <c r="V78" s="231">
        <v>0</v>
      </c>
      <c r="W78" s="231">
        <v>0</v>
      </c>
      <c r="X78" s="231">
        <v>0</v>
      </c>
      <c r="Y78" s="231">
        <v>0</v>
      </c>
      <c r="Z78" s="231">
        <v>0</v>
      </c>
      <c r="AA78" s="231">
        <v>0</v>
      </c>
      <c r="AB78" s="231">
        <v>0</v>
      </c>
      <c r="AC78" s="231">
        <v>0</v>
      </c>
      <c r="AD78" s="231">
        <v>0</v>
      </c>
      <c r="AE78" s="231">
        <v>0</v>
      </c>
      <c r="AF78" s="231">
        <v>0</v>
      </c>
      <c r="AG78" s="231">
        <v>0</v>
      </c>
      <c r="AH78" s="231">
        <v>0</v>
      </c>
      <c r="AI78" s="231">
        <v>0</v>
      </c>
      <c r="AJ78" s="231">
        <v>0</v>
      </c>
      <c r="AK78" s="231">
        <v>0</v>
      </c>
      <c r="AL78" s="231">
        <v>0</v>
      </c>
      <c r="AM78" s="231">
        <v>0</v>
      </c>
      <c r="AN78" s="231">
        <v>0</v>
      </c>
    </row>
    <row r="79" spans="3:40" x14ac:dyDescent="0.3">
      <c r="C79" s="231">
        <v>28</v>
      </c>
      <c r="D79" s="231">
        <v>7</v>
      </c>
      <c r="E79" s="231">
        <v>9</v>
      </c>
      <c r="F79" s="231">
        <v>467944</v>
      </c>
      <c r="G79" s="231">
        <v>0</v>
      </c>
      <c r="H79" s="231">
        <v>224289</v>
      </c>
      <c r="I79" s="231">
        <v>0</v>
      </c>
      <c r="J79" s="231">
        <v>0</v>
      </c>
      <c r="K79" s="231">
        <v>58448</v>
      </c>
      <c r="L79" s="231">
        <v>11700</v>
      </c>
      <c r="M79" s="231">
        <v>0</v>
      </c>
      <c r="N79" s="231">
        <v>60034</v>
      </c>
      <c r="O79" s="231">
        <v>0</v>
      </c>
      <c r="P79" s="231">
        <v>0</v>
      </c>
      <c r="Q79" s="231">
        <v>0</v>
      </c>
      <c r="R79" s="231">
        <v>0</v>
      </c>
      <c r="S79" s="231">
        <v>0</v>
      </c>
      <c r="T79" s="231">
        <v>0</v>
      </c>
      <c r="U79" s="231">
        <v>0</v>
      </c>
      <c r="V79" s="231">
        <v>0</v>
      </c>
      <c r="W79" s="231">
        <v>0</v>
      </c>
      <c r="X79" s="231">
        <v>0</v>
      </c>
      <c r="Y79" s="231">
        <v>0</v>
      </c>
      <c r="Z79" s="231">
        <v>95436</v>
      </c>
      <c r="AA79" s="231">
        <v>0</v>
      </c>
      <c r="AB79" s="231">
        <v>0</v>
      </c>
      <c r="AC79" s="231">
        <v>0</v>
      </c>
      <c r="AD79" s="231">
        <v>0</v>
      </c>
      <c r="AE79" s="231">
        <v>0</v>
      </c>
      <c r="AF79" s="231">
        <v>0</v>
      </c>
      <c r="AG79" s="231">
        <v>0</v>
      </c>
      <c r="AH79" s="231">
        <v>6071</v>
      </c>
      <c r="AI79" s="231">
        <v>0</v>
      </c>
      <c r="AJ79" s="231">
        <v>0</v>
      </c>
      <c r="AK79" s="231">
        <v>0</v>
      </c>
      <c r="AL79" s="231">
        <v>0</v>
      </c>
      <c r="AM79" s="231">
        <v>11966</v>
      </c>
      <c r="AN79" s="231">
        <v>0</v>
      </c>
    </row>
    <row r="80" spans="3:40" x14ac:dyDescent="0.3">
      <c r="C80" s="231">
        <v>28</v>
      </c>
      <c r="D80" s="231">
        <v>7</v>
      </c>
      <c r="E80" s="231">
        <v>10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0</v>
      </c>
      <c r="Q80" s="231">
        <v>0</v>
      </c>
      <c r="R80" s="231">
        <v>0</v>
      </c>
      <c r="S80" s="231">
        <v>0</v>
      </c>
      <c r="T80" s="231">
        <v>0</v>
      </c>
      <c r="U80" s="231">
        <v>0</v>
      </c>
      <c r="V80" s="231">
        <v>0</v>
      </c>
      <c r="W80" s="231">
        <v>0</v>
      </c>
      <c r="X80" s="231">
        <v>0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v>0</v>
      </c>
      <c r="AF80" s="231">
        <v>0</v>
      </c>
      <c r="AG80" s="231">
        <v>0</v>
      </c>
      <c r="AH80" s="231">
        <v>0</v>
      </c>
      <c r="AI80" s="231">
        <v>0</v>
      </c>
      <c r="AJ80" s="231">
        <v>0</v>
      </c>
      <c r="AK80" s="231">
        <v>0</v>
      </c>
      <c r="AL80" s="231">
        <v>0</v>
      </c>
      <c r="AM80" s="231">
        <v>0</v>
      </c>
      <c r="AN80" s="231">
        <v>0</v>
      </c>
    </row>
    <row r="81" spans="3:40" x14ac:dyDescent="0.3">
      <c r="C81" s="231">
        <v>28</v>
      </c>
      <c r="D81" s="231">
        <v>7</v>
      </c>
      <c r="E81" s="231">
        <v>11</v>
      </c>
      <c r="F81" s="231">
        <v>5883.25</v>
      </c>
      <c r="G81" s="231">
        <v>0</v>
      </c>
      <c r="H81" s="231">
        <v>1799.9166666666667</v>
      </c>
      <c r="I81" s="231">
        <v>0</v>
      </c>
      <c r="J81" s="231">
        <v>0</v>
      </c>
      <c r="K81" s="231">
        <v>4083.3333333333335</v>
      </c>
      <c r="L81" s="231">
        <v>0</v>
      </c>
      <c r="M81" s="231">
        <v>0</v>
      </c>
      <c r="N81" s="231">
        <v>0</v>
      </c>
      <c r="O81" s="231">
        <v>0</v>
      </c>
      <c r="P81" s="231">
        <v>0</v>
      </c>
      <c r="Q81" s="231">
        <v>0</v>
      </c>
      <c r="R81" s="231">
        <v>0</v>
      </c>
      <c r="S81" s="231">
        <v>0</v>
      </c>
      <c r="T81" s="231">
        <v>0</v>
      </c>
      <c r="U81" s="231">
        <v>0</v>
      </c>
      <c r="V81" s="231">
        <v>0</v>
      </c>
      <c r="W81" s="231">
        <v>0</v>
      </c>
      <c r="X81" s="231">
        <v>0</v>
      </c>
      <c r="Y81" s="231">
        <v>0</v>
      </c>
      <c r="Z81" s="231">
        <v>0</v>
      </c>
      <c r="AA81" s="231">
        <v>0</v>
      </c>
      <c r="AB81" s="231">
        <v>0</v>
      </c>
      <c r="AC81" s="231">
        <v>0</v>
      </c>
      <c r="AD81" s="231">
        <v>0</v>
      </c>
      <c r="AE81" s="231">
        <v>0</v>
      </c>
      <c r="AF81" s="231">
        <v>0</v>
      </c>
      <c r="AG81" s="231">
        <v>0</v>
      </c>
      <c r="AH81" s="231">
        <v>0</v>
      </c>
      <c r="AI81" s="231">
        <v>0</v>
      </c>
      <c r="AJ81" s="231">
        <v>0</v>
      </c>
      <c r="AK81" s="231">
        <v>0</v>
      </c>
      <c r="AL81" s="231">
        <v>0</v>
      </c>
      <c r="AM81" s="231">
        <v>0</v>
      </c>
      <c r="AN81" s="231">
        <v>0</v>
      </c>
    </row>
    <row r="82" spans="3:40" x14ac:dyDescent="0.3">
      <c r="C82" s="231">
        <v>28</v>
      </c>
      <c r="D82" s="231">
        <v>8</v>
      </c>
      <c r="E82" s="231">
        <v>1</v>
      </c>
      <c r="F82" s="231">
        <v>25.2</v>
      </c>
      <c r="G82" s="231">
        <v>0</v>
      </c>
      <c r="H82" s="231">
        <v>4.3</v>
      </c>
      <c r="I82" s="231">
        <v>0</v>
      </c>
      <c r="J82" s="231">
        <v>0</v>
      </c>
      <c r="K82" s="231">
        <v>3</v>
      </c>
      <c r="L82" s="231">
        <v>0</v>
      </c>
      <c r="M82" s="231">
        <v>0</v>
      </c>
      <c r="N82" s="231">
        <v>6.5</v>
      </c>
      <c r="O82" s="231">
        <v>0</v>
      </c>
      <c r="P82" s="231">
        <v>0</v>
      </c>
      <c r="Q82" s="231">
        <v>0</v>
      </c>
      <c r="R82" s="231">
        <v>0</v>
      </c>
      <c r="S82" s="231">
        <v>0</v>
      </c>
      <c r="T82" s="231">
        <v>0</v>
      </c>
      <c r="U82" s="231">
        <v>0</v>
      </c>
      <c r="V82" s="231">
        <v>0</v>
      </c>
      <c r="W82" s="231">
        <v>0</v>
      </c>
      <c r="X82" s="231">
        <v>0</v>
      </c>
      <c r="Y82" s="231">
        <v>0</v>
      </c>
      <c r="Z82" s="231">
        <v>8.6</v>
      </c>
      <c r="AA82" s="231">
        <v>0</v>
      </c>
      <c r="AB82" s="231">
        <v>0</v>
      </c>
      <c r="AC82" s="231">
        <v>0</v>
      </c>
      <c r="AD82" s="231">
        <v>0</v>
      </c>
      <c r="AE82" s="231">
        <v>0</v>
      </c>
      <c r="AF82" s="231">
        <v>0</v>
      </c>
      <c r="AG82" s="231">
        <v>0</v>
      </c>
      <c r="AH82" s="231">
        <v>1</v>
      </c>
      <c r="AI82" s="231">
        <v>0</v>
      </c>
      <c r="AJ82" s="231">
        <v>0</v>
      </c>
      <c r="AK82" s="231">
        <v>0</v>
      </c>
      <c r="AL82" s="231">
        <v>0</v>
      </c>
      <c r="AM82" s="231">
        <v>1.8</v>
      </c>
      <c r="AN82" s="231">
        <v>0</v>
      </c>
    </row>
    <row r="83" spans="3:40" x14ac:dyDescent="0.3">
      <c r="C83" s="231">
        <v>28</v>
      </c>
      <c r="D83" s="231">
        <v>8</v>
      </c>
      <c r="E83" s="231">
        <v>2</v>
      </c>
      <c r="F83" s="231">
        <v>2983.2</v>
      </c>
      <c r="G83" s="231">
        <v>0</v>
      </c>
      <c r="H83" s="231">
        <v>488</v>
      </c>
      <c r="I83" s="231">
        <v>0</v>
      </c>
      <c r="J83" s="231">
        <v>0</v>
      </c>
      <c r="K83" s="231">
        <v>256</v>
      </c>
      <c r="L83" s="231">
        <v>0</v>
      </c>
      <c r="M83" s="231">
        <v>0</v>
      </c>
      <c r="N83" s="231">
        <v>836</v>
      </c>
      <c r="O83" s="231">
        <v>0</v>
      </c>
      <c r="P83" s="231">
        <v>0</v>
      </c>
      <c r="Q83" s="231">
        <v>0</v>
      </c>
      <c r="R83" s="231">
        <v>0</v>
      </c>
      <c r="S83" s="231">
        <v>0</v>
      </c>
      <c r="T83" s="231">
        <v>0</v>
      </c>
      <c r="U83" s="231">
        <v>0</v>
      </c>
      <c r="V83" s="231">
        <v>0</v>
      </c>
      <c r="W83" s="231">
        <v>0</v>
      </c>
      <c r="X83" s="231">
        <v>0</v>
      </c>
      <c r="Y83" s="231">
        <v>0</v>
      </c>
      <c r="Z83" s="231">
        <v>980.8</v>
      </c>
      <c r="AA83" s="231">
        <v>0</v>
      </c>
      <c r="AB83" s="231">
        <v>0</v>
      </c>
      <c r="AC83" s="231">
        <v>0</v>
      </c>
      <c r="AD83" s="231">
        <v>0</v>
      </c>
      <c r="AE83" s="231">
        <v>0</v>
      </c>
      <c r="AF83" s="231">
        <v>0</v>
      </c>
      <c r="AG83" s="231">
        <v>0</v>
      </c>
      <c r="AH83" s="231">
        <v>168</v>
      </c>
      <c r="AI83" s="231">
        <v>0</v>
      </c>
      <c r="AJ83" s="231">
        <v>0</v>
      </c>
      <c r="AK83" s="231">
        <v>0</v>
      </c>
      <c r="AL83" s="231">
        <v>0</v>
      </c>
      <c r="AM83" s="231">
        <v>254.4</v>
      </c>
      <c r="AN83" s="231">
        <v>0</v>
      </c>
    </row>
    <row r="84" spans="3:40" x14ac:dyDescent="0.3">
      <c r="C84" s="231">
        <v>28</v>
      </c>
      <c r="D84" s="231">
        <v>8</v>
      </c>
      <c r="E84" s="231">
        <v>3</v>
      </c>
      <c r="F84" s="231">
        <v>0</v>
      </c>
      <c r="G84" s="231">
        <v>0</v>
      </c>
      <c r="H84" s="231">
        <v>0</v>
      </c>
      <c r="I84" s="231">
        <v>0</v>
      </c>
      <c r="J84" s="231">
        <v>0</v>
      </c>
      <c r="K84" s="231">
        <v>0</v>
      </c>
      <c r="L84" s="231">
        <v>0</v>
      </c>
      <c r="M84" s="231">
        <v>0</v>
      </c>
      <c r="N84" s="231">
        <v>0</v>
      </c>
      <c r="O84" s="231">
        <v>0</v>
      </c>
      <c r="P84" s="231">
        <v>0</v>
      </c>
      <c r="Q84" s="231">
        <v>0</v>
      </c>
      <c r="R84" s="231">
        <v>0</v>
      </c>
      <c r="S84" s="231">
        <v>0</v>
      </c>
      <c r="T84" s="231">
        <v>0</v>
      </c>
      <c r="U84" s="231">
        <v>0</v>
      </c>
      <c r="V84" s="231">
        <v>0</v>
      </c>
      <c r="W84" s="231">
        <v>0</v>
      </c>
      <c r="X84" s="231">
        <v>0</v>
      </c>
      <c r="Y84" s="231">
        <v>0</v>
      </c>
      <c r="Z84" s="231">
        <v>0</v>
      </c>
      <c r="AA84" s="231">
        <v>0</v>
      </c>
      <c r="AB84" s="231">
        <v>0</v>
      </c>
      <c r="AC84" s="231">
        <v>0</v>
      </c>
      <c r="AD84" s="231">
        <v>0</v>
      </c>
      <c r="AE84" s="231">
        <v>0</v>
      </c>
      <c r="AF84" s="231">
        <v>0</v>
      </c>
      <c r="AG84" s="231">
        <v>0</v>
      </c>
      <c r="AH84" s="231">
        <v>0</v>
      </c>
      <c r="AI84" s="231">
        <v>0</v>
      </c>
      <c r="AJ84" s="231">
        <v>0</v>
      </c>
      <c r="AK84" s="231">
        <v>0</v>
      </c>
      <c r="AL84" s="231">
        <v>0</v>
      </c>
      <c r="AM84" s="231">
        <v>0</v>
      </c>
      <c r="AN84" s="231">
        <v>0</v>
      </c>
    </row>
    <row r="85" spans="3:40" x14ac:dyDescent="0.3">
      <c r="C85" s="231">
        <v>28</v>
      </c>
      <c r="D85" s="231">
        <v>8</v>
      </c>
      <c r="E85" s="231">
        <v>4</v>
      </c>
      <c r="F85" s="231">
        <v>0</v>
      </c>
      <c r="G85" s="231">
        <v>0</v>
      </c>
      <c r="H85" s="231">
        <v>0</v>
      </c>
      <c r="I85" s="231">
        <v>0</v>
      </c>
      <c r="J85" s="231">
        <v>0</v>
      </c>
      <c r="K85" s="231">
        <v>0</v>
      </c>
      <c r="L85" s="231">
        <v>0</v>
      </c>
      <c r="M85" s="231">
        <v>0</v>
      </c>
      <c r="N85" s="231">
        <v>0</v>
      </c>
      <c r="O85" s="231">
        <v>0</v>
      </c>
      <c r="P85" s="231">
        <v>0</v>
      </c>
      <c r="Q85" s="231">
        <v>0</v>
      </c>
      <c r="R85" s="231">
        <v>0</v>
      </c>
      <c r="S85" s="231">
        <v>0</v>
      </c>
      <c r="T85" s="231">
        <v>0</v>
      </c>
      <c r="U85" s="231">
        <v>0</v>
      </c>
      <c r="V85" s="231">
        <v>0</v>
      </c>
      <c r="W85" s="231">
        <v>0</v>
      </c>
      <c r="X85" s="231">
        <v>0</v>
      </c>
      <c r="Y85" s="231">
        <v>0</v>
      </c>
      <c r="Z85" s="231">
        <v>0</v>
      </c>
      <c r="AA85" s="231">
        <v>0</v>
      </c>
      <c r="AB85" s="231">
        <v>0</v>
      </c>
      <c r="AC85" s="231">
        <v>0</v>
      </c>
      <c r="AD85" s="231">
        <v>0</v>
      </c>
      <c r="AE85" s="231">
        <v>0</v>
      </c>
      <c r="AF85" s="231">
        <v>0</v>
      </c>
      <c r="AG85" s="231">
        <v>0</v>
      </c>
      <c r="AH85" s="231">
        <v>0</v>
      </c>
      <c r="AI85" s="231">
        <v>0</v>
      </c>
      <c r="AJ85" s="231">
        <v>0</v>
      </c>
      <c r="AK85" s="231">
        <v>0</v>
      </c>
      <c r="AL85" s="231">
        <v>0</v>
      </c>
      <c r="AM85" s="231">
        <v>0</v>
      </c>
      <c r="AN85" s="231">
        <v>0</v>
      </c>
    </row>
    <row r="86" spans="3:40" x14ac:dyDescent="0.3">
      <c r="C86" s="231">
        <v>28</v>
      </c>
      <c r="D86" s="231">
        <v>8</v>
      </c>
      <c r="E86" s="231">
        <v>5</v>
      </c>
      <c r="F86" s="231">
        <v>0</v>
      </c>
      <c r="G86" s="231">
        <v>0</v>
      </c>
      <c r="H86" s="231">
        <v>0</v>
      </c>
      <c r="I86" s="231">
        <v>0</v>
      </c>
      <c r="J86" s="231">
        <v>0</v>
      </c>
      <c r="K86" s="231">
        <v>0</v>
      </c>
      <c r="L86" s="231">
        <v>0</v>
      </c>
      <c r="M86" s="231">
        <v>0</v>
      </c>
      <c r="N86" s="231">
        <v>0</v>
      </c>
      <c r="O86" s="231">
        <v>0</v>
      </c>
      <c r="P86" s="231">
        <v>0</v>
      </c>
      <c r="Q86" s="231">
        <v>0</v>
      </c>
      <c r="R86" s="231">
        <v>0</v>
      </c>
      <c r="S86" s="231">
        <v>0</v>
      </c>
      <c r="T86" s="231">
        <v>0</v>
      </c>
      <c r="U86" s="231">
        <v>0</v>
      </c>
      <c r="V86" s="231">
        <v>0</v>
      </c>
      <c r="W86" s="231">
        <v>0</v>
      </c>
      <c r="X86" s="231">
        <v>0</v>
      </c>
      <c r="Y86" s="231">
        <v>0</v>
      </c>
      <c r="Z86" s="231">
        <v>0</v>
      </c>
      <c r="AA86" s="231">
        <v>0</v>
      </c>
      <c r="AB86" s="231">
        <v>0</v>
      </c>
      <c r="AC86" s="231">
        <v>0</v>
      </c>
      <c r="AD86" s="231">
        <v>0</v>
      </c>
      <c r="AE86" s="231">
        <v>0</v>
      </c>
      <c r="AF86" s="231">
        <v>0</v>
      </c>
      <c r="AG86" s="231">
        <v>0</v>
      </c>
      <c r="AH86" s="231">
        <v>0</v>
      </c>
      <c r="AI86" s="231">
        <v>0</v>
      </c>
      <c r="AJ86" s="231">
        <v>0</v>
      </c>
      <c r="AK86" s="231">
        <v>0</v>
      </c>
      <c r="AL86" s="231">
        <v>0</v>
      </c>
      <c r="AM86" s="231">
        <v>0</v>
      </c>
      <c r="AN86" s="231">
        <v>0</v>
      </c>
    </row>
    <row r="87" spans="3:40" x14ac:dyDescent="0.3">
      <c r="C87" s="231">
        <v>28</v>
      </c>
      <c r="D87" s="231">
        <v>8</v>
      </c>
      <c r="E87" s="231">
        <v>6</v>
      </c>
      <c r="F87" s="231">
        <v>762391</v>
      </c>
      <c r="G87" s="231">
        <v>0</v>
      </c>
      <c r="H87" s="231">
        <v>250592</v>
      </c>
      <c r="I87" s="231">
        <v>0</v>
      </c>
      <c r="J87" s="231">
        <v>0</v>
      </c>
      <c r="K87" s="231">
        <v>73067</v>
      </c>
      <c r="L87" s="231">
        <v>0</v>
      </c>
      <c r="M87" s="231">
        <v>0</v>
      </c>
      <c r="N87" s="231">
        <v>140109</v>
      </c>
      <c r="O87" s="231">
        <v>0</v>
      </c>
      <c r="P87" s="231">
        <v>0</v>
      </c>
      <c r="Q87" s="231">
        <v>0</v>
      </c>
      <c r="R87" s="231">
        <v>0</v>
      </c>
      <c r="S87" s="231">
        <v>0</v>
      </c>
      <c r="T87" s="231">
        <v>0</v>
      </c>
      <c r="U87" s="231">
        <v>0</v>
      </c>
      <c r="V87" s="231">
        <v>0</v>
      </c>
      <c r="W87" s="231">
        <v>0</v>
      </c>
      <c r="X87" s="231">
        <v>0</v>
      </c>
      <c r="Y87" s="231">
        <v>0</v>
      </c>
      <c r="Z87" s="231">
        <v>244256</v>
      </c>
      <c r="AA87" s="231">
        <v>0</v>
      </c>
      <c r="AB87" s="231">
        <v>0</v>
      </c>
      <c r="AC87" s="231">
        <v>0</v>
      </c>
      <c r="AD87" s="231">
        <v>0</v>
      </c>
      <c r="AE87" s="231">
        <v>0</v>
      </c>
      <c r="AF87" s="231">
        <v>0</v>
      </c>
      <c r="AG87" s="231">
        <v>0</v>
      </c>
      <c r="AH87" s="231">
        <v>14850</v>
      </c>
      <c r="AI87" s="231">
        <v>0</v>
      </c>
      <c r="AJ87" s="231">
        <v>0</v>
      </c>
      <c r="AK87" s="231">
        <v>0</v>
      </c>
      <c r="AL87" s="231">
        <v>0</v>
      </c>
      <c r="AM87" s="231">
        <v>39517</v>
      </c>
      <c r="AN87" s="231">
        <v>0</v>
      </c>
    </row>
    <row r="88" spans="3:40" x14ac:dyDescent="0.3">
      <c r="C88" s="231">
        <v>28</v>
      </c>
      <c r="D88" s="231">
        <v>8</v>
      </c>
      <c r="E88" s="231">
        <v>7</v>
      </c>
      <c r="F88" s="231">
        <v>0</v>
      </c>
      <c r="G88" s="231">
        <v>0</v>
      </c>
      <c r="H88" s="231">
        <v>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v>0</v>
      </c>
      <c r="AF88" s="231">
        <v>0</v>
      </c>
      <c r="AG88" s="231">
        <v>0</v>
      </c>
      <c r="AH88" s="231">
        <v>0</v>
      </c>
      <c r="AI88" s="231">
        <v>0</v>
      </c>
      <c r="AJ88" s="231">
        <v>0</v>
      </c>
      <c r="AK88" s="231">
        <v>0</v>
      </c>
      <c r="AL88" s="231">
        <v>0</v>
      </c>
      <c r="AM88" s="231">
        <v>0</v>
      </c>
      <c r="AN88" s="231">
        <v>0</v>
      </c>
    </row>
    <row r="89" spans="3:40" x14ac:dyDescent="0.3">
      <c r="C89" s="231">
        <v>28</v>
      </c>
      <c r="D89" s="231">
        <v>8</v>
      </c>
      <c r="E89" s="231">
        <v>8</v>
      </c>
      <c r="F89" s="231">
        <v>0</v>
      </c>
      <c r="G89" s="231">
        <v>0</v>
      </c>
      <c r="H89" s="231">
        <v>0</v>
      </c>
      <c r="I89" s="231">
        <v>0</v>
      </c>
      <c r="J89" s="231">
        <v>0</v>
      </c>
      <c r="K89" s="231">
        <v>0</v>
      </c>
      <c r="L89" s="231">
        <v>0</v>
      </c>
      <c r="M89" s="231">
        <v>0</v>
      </c>
      <c r="N89" s="231">
        <v>0</v>
      </c>
      <c r="O89" s="231">
        <v>0</v>
      </c>
      <c r="P89" s="231">
        <v>0</v>
      </c>
      <c r="Q89" s="231">
        <v>0</v>
      </c>
      <c r="R89" s="231">
        <v>0</v>
      </c>
      <c r="S89" s="231">
        <v>0</v>
      </c>
      <c r="T89" s="231">
        <v>0</v>
      </c>
      <c r="U89" s="231">
        <v>0</v>
      </c>
      <c r="V89" s="231">
        <v>0</v>
      </c>
      <c r="W89" s="231">
        <v>0</v>
      </c>
      <c r="X89" s="231">
        <v>0</v>
      </c>
      <c r="Y89" s="231">
        <v>0</v>
      </c>
      <c r="Z89" s="231">
        <v>0</v>
      </c>
      <c r="AA89" s="231">
        <v>0</v>
      </c>
      <c r="AB89" s="231">
        <v>0</v>
      </c>
      <c r="AC89" s="231">
        <v>0</v>
      </c>
      <c r="AD89" s="231">
        <v>0</v>
      </c>
      <c r="AE89" s="231">
        <v>0</v>
      </c>
      <c r="AF89" s="231">
        <v>0</v>
      </c>
      <c r="AG89" s="231">
        <v>0</v>
      </c>
      <c r="AH89" s="231">
        <v>0</v>
      </c>
      <c r="AI89" s="231">
        <v>0</v>
      </c>
      <c r="AJ89" s="231">
        <v>0</v>
      </c>
      <c r="AK89" s="231">
        <v>0</v>
      </c>
      <c r="AL89" s="231">
        <v>0</v>
      </c>
      <c r="AM89" s="231">
        <v>0</v>
      </c>
      <c r="AN89" s="231">
        <v>0</v>
      </c>
    </row>
    <row r="90" spans="3:40" x14ac:dyDescent="0.3">
      <c r="C90" s="231">
        <v>28</v>
      </c>
      <c r="D90" s="231">
        <v>8</v>
      </c>
      <c r="E90" s="231">
        <v>9</v>
      </c>
      <c r="F90" s="231">
        <v>9332</v>
      </c>
      <c r="G90" s="231">
        <v>0</v>
      </c>
      <c r="H90" s="231">
        <v>0</v>
      </c>
      <c r="I90" s="231">
        <v>0</v>
      </c>
      <c r="J90" s="231">
        <v>0</v>
      </c>
      <c r="K90" s="231">
        <v>7464</v>
      </c>
      <c r="L90" s="231">
        <v>0</v>
      </c>
      <c r="M90" s="231">
        <v>0</v>
      </c>
      <c r="N90" s="231">
        <v>0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v>0</v>
      </c>
      <c r="AF90" s="231">
        <v>0</v>
      </c>
      <c r="AG90" s="231">
        <v>0</v>
      </c>
      <c r="AH90" s="231">
        <v>0</v>
      </c>
      <c r="AI90" s="231">
        <v>0</v>
      </c>
      <c r="AJ90" s="231">
        <v>0</v>
      </c>
      <c r="AK90" s="231">
        <v>0</v>
      </c>
      <c r="AL90" s="231">
        <v>0</v>
      </c>
      <c r="AM90" s="231">
        <v>1868</v>
      </c>
      <c r="AN90" s="231">
        <v>0</v>
      </c>
    </row>
    <row r="91" spans="3:40" x14ac:dyDescent="0.3">
      <c r="C91" s="231">
        <v>28</v>
      </c>
      <c r="D91" s="231">
        <v>8</v>
      </c>
      <c r="E91" s="231">
        <v>10</v>
      </c>
      <c r="F91" s="231">
        <v>9600</v>
      </c>
      <c r="G91" s="231">
        <v>0</v>
      </c>
      <c r="H91" s="231">
        <v>0</v>
      </c>
      <c r="I91" s="231">
        <v>0</v>
      </c>
      <c r="J91" s="231">
        <v>0</v>
      </c>
      <c r="K91" s="231">
        <v>9600</v>
      </c>
      <c r="L91" s="231">
        <v>0</v>
      </c>
      <c r="M91" s="231">
        <v>0</v>
      </c>
      <c r="N91" s="231">
        <v>0</v>
      </c>
      <c r="O91" s="231">
        <v>0</v>
      </c>
      <c r="P91" s="231">
        <v>0</v>
      </c>
      <c r="Q91" s="231">
        <v>0</v>
      </c>
      <c r="R91" s="231">
        <v>0</v>
      </c>
      <c r="S91" s="231">
        <v>0</v>
      </c>
      <c r="T91" s="231">
        <v>0</v>
      </c>
      <c r="U91" s="231">
        <v>0</v>
      </c>
      <c r="V91" s="231">
        <v>0</v>
      </c>
      <c r="W91" s="231">
        <v>0</v>
      </c>
      <c r="X91" s="231">
        <v>0</v>
      </c>
      <c r="Y91" s="231">
        <v>0</v>
      </c>
      <c r="Z91" s="231">
        <v>0</v>
      </c>
      <c r="AA91" s="231">
        <v>0</v>
      </c>
      <c r="AB91" s="231">
        <v>0</v>
      </c>
      <c r="AC91" s="231">
        <v>0</v>
      </c>
      <c r="AD91" s="231">
        <v>0</v>
      </c>
      <c r="AE91" s="231">
        <v>0</v>
      </c>
      <c r="AF91" s="231">
        <v>0</v>
      </c>
      <c r="AG91" s="231">
        <v>0</v>
      </c>
      <c r="AH91" s="231">
        <v>0</v>
      </c>
      <c r="AI91" s="231">
        <v>0</v>
      </c>
      <c r="AJ91" s="231">
        <v>0</v>
      </c>
      <c r="AK91" s="231">
        <v>0</v>
      </c>
      <c r="AL91" s="231">
        <v>0</v>
      </c>
      <c r="AM91" s="231">
        <v>0</v>
      </c>
      <c r="AN91" s="231">
        <v>0</v>
      </c>
    </row>
    <row r="92" spans="3:40" x14ac:dyDescent="0.3">
      <c r="C92" s="231">
        <v>28</v>
      </c>
      <c r="D92" s="231">
        <v>8</v>
      </c>
      <c r="E92" s="231">
        <v>11</v>
      </c>
      <c r="F92" s="231">
        <v>5883.25</v>
      </c>
      <c r="G92" s="231">
        <v>0</v>
      </c>
      <c r="H92" s="231">
        <v>1799.9166666666667</v>
      </c>
      <c r="I92" s="231">
        <v>0</v>
      </c>
      <c r="J92" s="231">
        <v>0</v>
      </c>
      <c r="K92" s="231">
        <v>4083.3333333333335</v>
      </c>
      <c r="L92" s="231">
        <v>0</v>
      </c>
      <c r="M92" s="231">
        <v>0</v>
      </c>
      <c r="N92" s="231">
        <v>0</v>
      </c>
      <c r="O92" s="231">
        <v>0</v>
      </c>
      <c r="P92" s="231">
        <v>0</v>
      </c>
      <c r="Q92" s="231">
        <v>0</v>
      </c>
      <c r="R92" s="231">
        <v>0</v>
      </c>
      <c r="S92" s="231">
        <v>0</v>
      </c>
      <c r="T92" s="231">
        <v>0</v>
      </c>
      <c r="U92" s="231">
        <v>0</v>
      </c>
      <c r="V92" s="231">
        <v>0</v>
      </c>
      <c r="W92" s="231">
        <v>0</v>
      </c>
      <c r="X92" s="231">
        <v>0</v>
      </c>
      <c r="Y92" s="231">
        <v>0</v>
      </c>
      <c r="Z92" s="231">
        <v>0</v>
      </c>
      <c r="AA92" s="231">
        <v>0</v>
      </c>
      <c r="AB92" s="231">
        <v>0</v>
      </c>
      <c r="AC92" s="231">
        <v>0</v>
      </c>
      <c r="AD92" s="231">
        <v>0</v>
      </c>
      <c r="AE92" s="231">
        <v>0</v>
      </c>
      <c r="AF92" s="231">
        <v>0</v>
      </c>
      <c r="AG92" s="231">
        <v>0</v>
      </c>
      <c r="AH92" s="231">
        <v>0</v>
      </c>
      <c r="AI92" s="231">
        <v>0</v>
      </c>
      <c r="AJ92" s="231">
        <v>0</v>
      </c>
      <c r="AK92" s="231">
        <v>0</v>
      </c>
      <c r="AL92" s="231">
        <v>0</v>
      </c>
      <c r="AM92" s="231">
        <v>0</v>
      </c>
      <c r="AN92" s="231">
        <v>0</v>
      </c>
    </row>
    <row r="93" spans="3:40" x14ac:dyDescent="0.3">
      <c r="C93" s="231">
        <v>28</v>
      </c>
      <c r="D93" s="231">
        <v>9</v>
      </c>
      <c r="E93" s="231">
        <v>1</v>
      </c>
      <c r="F93" s="231">
        <v>25.3</v>
      </c>
      <c r="G93" s="231">
        <v>0</v>
      </c>
      <c r="H93" s="231">
        <v>4.9000000000000004</v>
      </c>
      <c r="I93" s="231">
        <v>0</v>
      </c>
      <c r="J93" s="231">
        <v>0</v>
      </c>
      <c r="K93" s="231">
        <v>2.5</v>
      </c>
      <c r="L93" s="231">
        <v>0</v>
      </c>
      <c r="M93" s="231">
        <v>0</v>
      </c>
      <c r="N93" s="231">
        <v>6.5</v>
      </c>
      <c r="O93" s="231">
        <v>0</v>
      </c>
      <c r="P93" s="231">
        <v>0</v>
      </c>
      <c r="Q93" s="231">
        <v>0</v>
      </c>
      <c r="R93" s="231">
        <v>0</v>
      </c>
      <c r="S93" s="231">
        <v>0</v>
      </c>
      <c r="T93" s="231">
        <v>0</v>
      </c>
      <c r="U93" s="231">
        <v>0</v>
      </c>
      <c r="V93" s="231">
        <v>0</v>
      </c>
      <c r="W93" s="231">
        <v>0</v>
      </c>
      <c r="X93" s="231">
        <v>0</v>
      </c>
      <c r="Y93" s="231">
        <v>0</v>
      </c>
      <c r="Z93" s="231">
        <v>8.6</v>
      </c>
      <c r="AA93" s="231">
        <v>0</v>
      </c>
      <c r="AB93" s="231">
        <v>0</v>
      </c>
      <c r="AC93" s="231">
        <v>0</v>
      </c>
      <c r="AD93" s="231">
        <v>0</v>
      </c>
      <c r="AE93" s="231">
        <v>0</v>
      </c>
      <c r="AF93" s="231">
        <v>0</v>
      </c>
      <c r="AG93" s="231">
        <v>0</v>
      </c>
      <c r="AH93" s="231">
        <v>1</v>
      </c>
      <c r="AI93" s="231">
        <v>0</v>
      </c>
      <c r="AJ93" s="231">
        <v>0</v>
      </c>
      <c r="AK93" s="231">
        <v>0</v>
      </c>
      <c r="AL93" s="231">
        <v>0</v>
      </c>
      <c r="AM93" s="231">
        <v>1.8</v>
      </c>
      <c r="AN93" s="231">
        <v>0</v>
      </c>
    </row>
    <row r="94" spans="3:40" x14ac:dyDescent="0.3">
      <c r="C94" s="231">
        <v>28</v>
      </c>
      <c r="D94" s="231">
        <v>9</v>
      </c>
      <c r="E94" s="231">
        <v>2</v>
      </c>
      <c r="F94" s="231">
        <v>3856.8</v>
      </c>
      <c r="G94" s="231">
        <v>0</v>
      </c>
      <c r="H94" s="231">
        <v>822.4</v>
      </c>
      <c r="I94" s="231">
        <v>0</v>
      </c>
      <c r="J94" s="231">
        <v>0</v>
      </c>
      <c r="K94" s="231">
        <v>264</v>
      </c>
      <c r="L94" s="231">
        <v>0</v>
      </c>
      <c r="M94" s="231">
        <v>0</v>
      </c>
      <c r="N94" s="231">
        <v>972</v>
      </c>
      <c r="O94" s="231">
        <v>0</v>
      </c>
      <c r="P94" s="231">
        <v>0</v>
      </c>
      <c r="Q94" s="231">
        <v>0</v>
      </c>
      <c r="R94" s="231">
        <v>0</v>
      </c>
      <c r="S94" s="231">
        <v>0</v>
      </c>
      <c r="T94" s="231">
        <v>0</v>
      </c>
      <c r="U94" s="231">
        <v>0</v>
      </c>
      <c r="V94" s="231">
        <v>0</v>
      </c>
      <c r="W94" s="231">
        <v>0</v>
      </c>
      <c r="X94" s="231">
        <v>0</v>
      </c>
      <c r="Y94" s="231">
        <v>0</v>
      </c>
      <c r="Z94" s="231">
        <v>1425.6</v>
      </c>
      <c r="AA94" s="231">
        <v>0</v>
      </c>
      <c r="AB94" s="231">
        <v>0</v>
      </c>
      <c r="AC94" s="231">
        <v>0</v>
      </c>
      <c r="AD94" s="231">
        <v>0</v>
      </c>
      <c r="AE94" s="231">
        <v>0</v>
      </c>
      <c r="AF94" s="231">
        <v>0</v>
      </c>
      <c r="AG94" s="231">
        <v>0</v>
      </c>
      <c r="AH94" s="231">
        <v>96</v>
      </c>
      <c r="AI94" s="231">
        <v>0</v>
      </c>
      <c r="AJ94" s="231">
        <v>0</v>
      </c>
      <c r="AK94" s="231">
        <v>0</v>
      </c>
      <c r="AL94" s="231">
        <v>0</v>
      </c>
      <c r="AM94" s="231">
        <v>276.8</v>
      </c>
      <c r="AN94" s="231">
        <v>0</v>
      </c>
    </row>
    <row r="95" spans="3:40" x14ac:dyDescent="0.3">
      <c r="C95" s="231">
        <v>28</v>
      </c>
      <c r="D95" s="231">
        <v>9</v>
      </c>
      <c r="E95" s="231">
        <v>3</v>
      </c>
      <c r="F95" s="231">
        <v>0</v>
      </c>
      <c r="G95" s="231">
        <v>0</v>
      </c>
      <c r="H95" s="231">
        <v>0</v>
      </c>
      <c r="I95" s="231">
        <v>0</v>
      </c>
      <c r="J95" s="231">
        <v>0</v>
      </c>
      <c r="K95" s="231">
        <v>0</v>
      </c>
      <c r="L95" s="231">
        <v>0</v>
      </c>
      <c r="M95" s="231">
        <v>0</v>
      </c>
      <c r="N95" s="231">
        <v>0</v>
      </c>
      <c r="O95" s="231">
        <v>0</v>
      </c>
      <c r="P95" s="231">
        <v>0</v>
      </c>
      <c r="Q95" s="231">
        <v>0</v>
      </c>
      <c r="R95" s="231">
        <v>0</v>
      </c>
      <c r="S95" s="231">
        <v>0</v>
      </c>
      <c r="T95" s="231">
        <v>0</v>
      </c>
      <c r="U95" s="231">
        <v>0</v>
      </c>
      <c r="V95" s="231">
        <v>0</v>
      </c>
      <c r="W95" s="231">
        <v>0</v>
      </c>
      <c r="X95" s="231">
        <v>0</v>
      </c>
      <c r="Y95" s="231">
        <v>0</v>
      </c>
      <c r="Z95" s="231">
        <v>0</v>
      </c>
      <c r="AA95" s="231">
        <v>0</v>
      </c>
      <c r="AB95" s="231">
        <v>0</v>
      </c>
      <c r="AC95" s="231">
        <v>0</v>
      </c>
      <c r="AD95" s="231">
        <v>0</v>
      </c>
      <c r="AE95" s="231">
        <v>0</v>
      </c>
      <c r="AF95" s="231">
        <v>0</v>
      </c>
      <c r="AG95" s="231">
        <v>0</v>
      </c>
      <c r="AH95" s="231">
        <v>0</v>
      </c>
      <c r="AI95" s="231">
        <v>0</v>
      </c>
      <c r="AJ95" s="231">
        <v>0</v>
      </c>
      <c r="AK95" s="231">
        <v>0</v>
      </c>
      <c r="AL95" s="231">
        <v>0</v>
      </c>
      <c r="AM95" s="231">
        <v>0</v>
      </c>
      <c r="AN95" s="231">
        <v>0</v>
      </c>
    </row>
    <row r="96" spans="3:40" x14ac:dyDescent="0.3">
      <c r="C96" s="231">
        <v>28</v>
      </c>
      <c r="D96" s="231">
        <v>9</v>
      </c>
      <c r="E96" s="231">
        <v>4</v>
      </c>
      <c r="F96" s="231">
        <v>0</v>
      </c>
      <c r="G96" s="231">
        <v>0</v>
      </c>
      <c r="H96" s="231">
        <v>0</v>
      </c>
      <c r="I96" s="231">
        <v>0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0</v>
      </c>
      <c r="P96" s="231">
        <v>0</v>
      </c>
      <c r="Q96" s="231">
        <v>0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v>0</v>
      </c>
      <c r="AF96" s="231">
        <v>0</v>
      </c>
      <c r="AG96" s="231">
        <v>0</v>
      </c>
      <c r="AH96" s="231">
        <v>0</v>
      </c>
      <c r="AI96" s="231">
        <v>0</v>
      </c>
      <c r="AJ96" s="231">
        <v>0</v>
      </c>
      <c r="AK96" s="231">
        <v>0</v>
      </c>
      <c r="AL96" s="231">
        <v>0</v>
      </c>
      <c r="AM96" s="231">
        <v>0</v>
      </c>
      <c r="AN96" s="231">
        <v>0</v>
      </c>
    </row>
    <row r="97" spans="3:40" x14ac:dyDescent="0.3">
      <c r="C97" s="231">
        <v>28</v>
      </c>
      <c r="D97" s="231">
        <v>9</v>
      </c>
      <c r="E97" s="231">
        <v>5</v>
      </c>
      <c r="F97" s="231">
        <v>0</v>
      </c>
      <c r="G97" s="231">
        <v>0</v>
      </c>
      <c r="H97" s="231">
        <v>0</v>
      </c>
      <c r="I97" s="231">
        <v>0</v>
      </c>
      <c r="J97" s="231">
        <v>0</v>
      </c>
      <c r="K97" s="231">
        <v>0</v>
      </c>
      <c r="L97" s="231">
        <v>0</v>
      </c>
      <c r="M97" s="231">
        <v>0</v>
      </c>
      <c r="N97" s="231">
        <v>0</v>
      </c>
      <c r="O97" s="231">
        <v>0</v>
      </c>
      <c r="P97" s="231">
        <v>0</v>
      </c>
      <c r="Q97" s="231">
        <v>0</v>
      </c>
      <c r="R97" s="231">
        <v>0</v>
      </c>
      <c r="S97" s="231">
        <v>0</v>
      </c>
      <c r="T97" s="231">
        <v>0</v>
      </c>
      <c r="U97" s="231">
        <v>0</v>
      </c>
      <c r="V97" s="231">
        <v>0</v>
      </c>
      <c r="W97" s="231">
        <v>0</v>
      </c>
      <c r="X97" s="231">
        <v>0</v>
      </c>
      <c r="Y97" s="231">
        <v>0</v>
      </c>
      <c r="Z97" s="231">
        <v>0</v>
      </c>
      <c r="AA97" s="231">
        <v>0</v>
      </c>
      <c r="AB97" s="231">
        <v>0</v>
      </c>
      <c r="AC97" s="231">
        <v>0</v>
      </c>
      <c r="AD97" s="231">
        <v>0</v>
      </c>
      <c r="AE97" s="231">
        <v>0</v>
      </c>
      <c r="AF97" s="231">
        <v>0</v>
      </c>
      <c r="AG97" s="231">
        <v>0</v>
      </c>
      <c r="AH97" s="231">
        <v>0</v>
      </c>
      <c r="AI97" s="231">
        <v>0</v>
      </c>
      <c r="AJ97" s="231">
        <v>0</v>
      </c>
      <c r="AK97" s="231">
        <v>0</v>
      </c>
      <c r="AL97" s="231">
        <v>0</v>
      </c>
      <c r="AM97" s="231">
        <v>0</v>
      </c>
      <c r="AN97" s="231">
        <v>0</v>
      </c>
    </row>
    <row r="98" spans="3:40" x14ac:dyDescent="0.3">
      <c r="C98" s="231">
        <v>28</v>
      </c>
      <c r="D98" s="231">
        <v>9</v>
      </c>
      <c r="E98" s="231">
        <v>6</v>
      </c>
      <c r="F98" s="231">
        <v>776144</v>
      </c>
      <c r="G98" s="231">
        <v>0</v>
      </c>
      <c r="H98" s="231">
        <v>262595</v>
      </c>
      <c r="I98" s="231">
        <v>0</v>
      </c>
      <c r="J98" s="231">
        <v>0</v>
      </c>
      <c r="K98" s="231">
        <v>65838</v>
      </c>
      <c r="L98" s="231">
        <v>0</v>
      </c>
      <c r="M98" s="231">
        <v>0</v>
      </c>
      <c r="N98" s="231">
        <v>147825</v>
      </c>
      <c r="O98" s="231">
        <v>0</v>
      </c>
      <c r="P98" s="231">
        <v>0</v>
      </c>
      <c r="Q98" s="231">
        <v>0</v>
      </c>
      <c r="R98" s="231">
        <v>0</v>
      </c>
      <c r="S98" s="231">
        <v>0</v>
      </c>
      <c r="T98" s="231">
        <v>0</v>
      </c>
      <c r="U98" s="231">
        <v>0</v>
      </c>
      <c r="V98" s="231">
        <v>0</v>
      </c>
      <c r="W98" s="231">
        <v>0</v>
      </c>
      <c r="X98" s="231">
        <v>0</v>
      </c>
      <c r="Y98" s="231">
        <v>0</v>
      </c>
      <c r="Z98" s="231">
        <v>243276</v>
      </c>
      <c r="AA98" s="231">
        <v>0</v>
      </c>
      <c r="AB98" s="231">
        <v>0</v>
      </c>
      <c r="AC98" s="231">
        <v>0</v>
      </c>
      <c r="AD98" s="231">
        <v>0</v>
      </c>
      <c r="AE98" s="231">
        <v>0</v>
      </c>
      <c r="AF98" s="231">
        <v>0</v>
      </c>
      <c r="AG98" s="231">
        <v>0</v>
      </c>
      <c r="AH98" s="231">
        <v>15029</v>
      </c>
      <c r="AI98" s="231">
        <v>0</v>
      </c>
      <c r="AJ98" s="231">
        <v>0</v>
      </c>
      <c r="AK98" s="231">
        <v>0</v>
      </c>
      <c r="AL98" s="231">
        <v>0</v>
      </c>
      <c r="AM98" s="231">
        <v>41581</v>
      </c>
      <c r="AN98" s="231">
        <v>0</v>
      </c>
    </row>
    <row r="99" spans="3:40" x14ac:dyDescent="0.3">
      <c r="C99" s="231">
        <v>28</v>
      </c>
      <c r="D99" s="231">
        <v>9</v>
      </c>
      <c r="E99" s="231">
        <v>7</v>
      </c>
      <c r="F99" s="231">
        <v>0</v>
      </c>
      <c r="G99" s="231">
        <v>0</v>
      </c>
      <c r="H99" s="231">
        <v>0</v>
      </c>
      <c r="I99" s="231">
        <v>0</v>
      </c>
      <c r="J99" s="231">
        <v>0</v>
      </c>
      <c r="K99" s="231">
        <v>0</v>
      </c>
      <c r="L99" s="231">
        <v>0</v>
      </c>
      <c r="M99" s="231">
        <v>0</v>
      </c>
      <c r="N99" s="231">
        <v>0</v>
      </c>
      <c r="O99" s="231">
        <v>0</v>
      </c>
      <c r="P99" s="231">
        <v>0</v>
      </c>
      <c r="Q99" s="231">
        <v>0</v>
      </c>
      <c r="R99" s="231">
        <v>0</v>
      </c>
      <c r="S99" s="231">
        <v>0</v>
      </c>
      <c r="T99" s="231">
        <v>0</v>
      </c>
      <c r="U99" s="231">
        <v>0</v>
      </c>
      <c r="V99" s="231">
        <v>0</v>
      </c>
      <c r="W99" s="231">
        <v>0</v>
      </c>
      <c r="X99" s="231">
        <v>0</v>
      </c>
      <c r="Y99" s="231">
        <v>0</v>
      </c>
      <c r="Z99" s="231">
        <v>0</v>
      </c>
      <c r="AA99" s="231">
        <v>0</v>
      </c>
      <c r="AB99" s="231">
        <v>0</v>
      </c>
      <c r="AC99" s="231">
        <v>0</v>
      </c>
      <c r="AD99" s="231">
        <v>0</v>
      </c>
      <c r="AE99" s="231">
        <v>0</v>
      </c>
      <c r="AF99" s="231">
        <v>0</v>
      </c>
      <c r="AG99" s="231">
        <v>0</v>
      </c>
      <c r="AH99" s="231">
        <v>0</v>
      </c>
      <c r="AI99" s="231">
        <v>0</v>
      </c>
      <c r="AJ99" s="231">
        <v>0</v>
      </c>
      <c r="AK99" s="231">
        <v>0</v>
      </c>
      <c r="AL99" s="231">
        <v>0</v>
      </c>
      <c r="AM99" s="231">
        <v>0</v>
      </c>
      <c r="AN99" s="231">
        <v>0</v>
      </c>
    </row>
    <row r="100" spans="3:40" x14ac:dyDescent="0.3">
      <c r="C100" s="231">
        <v>28</v>
      </c>
      <c r="D100" s="231">
        <v>9</v>
      </c>
      <c r="E100" s="231">
        <v>8</v>
      </c>
      <c r="F100" s="231">
        <v>0</v>
      </c>
      <c r="G100" s="231">
        <v>0</v>
      </c>
      <c r="H100" s="231">
        <v>0</v>
      </c>
      <c r="I100" s="231">
        <v>0</v>
      </c>
      <c r="J100" s="231">
        <v>0</v>
      </c>
      <c r="K100" s="231">
        <v>0</v>
      </c>
      <c r="L100" s="231">
        <v>0</v>
      </c>
      <c r="M100" s="231">
        <v>0</v>
      </c>
      <c r="N100" s="231">
        <v>0</v>
      </c>
      <c r="O100" s="231">
        <v>0</v>
      </c>
      <c r="P100" s="231">
        <v>0</v>
      </c>
      <c r="Q100" s="231">
        <v>0</v>
      </c>
      <c r="R100" s="231">
        <v>0</v>
      </c>
      <c r="S100" s="231">
        <v>0</v>
      </c>
      <c r="T100" s="231">
        <v>0</v>
      </c>
      <c r="U100" s="231">
        <v>0</v>
      </c>
      <c r="V100" s="231">
        <v>0</v>
      </c>
      <c r="W100" s="231">
        <v>0</v>
      </c>
      <c r="X100" s="231">
        <v>0</v>
      </c>
      <c r="Y100" s="231">
        <v>0</v>
      </c>
      <c r="Z100" s="231">
        <v>0</v>
      </c>
      <c r="AA100" s="231">
        <v>0</v>
      </c>
      <c r="AB100" s="231">
        <v>0</v>
      </c>
      <c r="AC100" s="231">
        <v>0</v>
      </c>
      <c r="AD100" s="231">
        <v>0</v>
      </c>
      <c r="AE100" s="231">
        <v>0</v>
      </c>
      <c r="AF100" s="231">
        <v>0</v>
      </c>
      <c r="AG100" s="231">
        <v>0</v>
      </c>
      <c r="AH100" s="231">
        <v>0</v>
      </c>
      <c r="AI100" s="231">
        <v>0</v>
      </c>
      <c r="AJ100" s="231">
        <v>0</v>
      </c>
      <c r="AK100" s="231">
        <v>0</v>
      </c>
      <c r="AL100" s="231">
        <v>0</v>
      </c>
      <c r="AM100" s="231">
        <v>0</v>
      </c>
      <c r="AN100" s="231">
        <v>0</v>
      </c>
    </row>
    <row r="101" spans="3:40" x14ac:dyDescent="0.3">
      <c r="C101" s="231">
        <v>28</v>
      </c>
      <c r="D101" s="231">
        <v>9</v>
      </c>
      <c r="E101" s="231">
        <v>9</v>
      </c>
      <c r="F101" s="231">
        <v>19235</v>
      </c>
      <c r="G101" s="231">
        <v>0</v>
      </c>
      <c r="H101" s="231">
        <v>571</v>
      </c>
      <c r="I101" s="231">
        <v>0</v>
      </c>
      <c r="J101" s="231">
        <v>0</v>
      </c>
      <c r="K101" s="231">
        <v>14928</v>
      </c>
      <c r="L101" s="231">
        <v>0</v>
      </c>
      <c r="M101" s="231">
        <v>0</v>
      </c>
      <c r="N101" s="231">
        <v>0</v>
      </c>
      <c r="O101" s="231">
        <v>0</v>
      </c>
      <c r="P101" s="231">
        <v>0</v>
      </c>
      <c r="Q101" s="231">
        <v>0</v>
      </c>
      <c r="R101" s="231">
        <v>0</v>
      </c>
      <c r="S101" s="231">
        <v>0</v>
      </c>
      <c r="T101" s="231">
        <v>0</v>
      </c>
      <c r="U101" s="231">
        <v>0</v>
      </c>
      <c r="V101" s="231">
        <v>0</v>
      </c>
      <c r="W101" s="231">
        <v>0</v>
      </c>
      <c r="X101" s="231">
        <v>0</v>
      </c>
      <c r="Y101" s="231">
        <v>0</v>
      </c>
      <c r="Z101" s="231">
        <v>0</v>
      </c>
      <c r="AA101" s="231">
        <v>0</v>
      </c>
      <c r="AB101" s="231">
        <v>0</v>
      </c>
      <c r="AC101" s="231">
        <v>0</v>
      </c>
      <c r="AD101" s="231">
        <v>0</v>
      </c>
      <c r="AE101" s="231">
        <v>0</v>
      </c>
      <c r="AF101" s="231">
        <v>0</v>
      </c>
      <c r="AG101" s="231">
        <v>0</v>
      </c>
      <c r="AH101" s="231">
        <v>0</v>
      </c>
      <c r="AI101" s="231">
        <v>0</v>
      </c>
      <c r="AJ101" s="231">
        <v>0</v>
      </c>
      <c r="AK101" s="231">
        <v>0</v>
      </c>
      <c r="AL101" s="231">
        <v>0</v>
      </c>
      <c r="AM101" s="231">
        <v>3736</v>
      </c>
      <c r="AN101" s="231">
        <v>0</v>
      </c>
    </row>
    <row r="102" spans="3:40" x14ac:dyDescent="0.3">
      <c r="C102" s="231">
        <v>28</v>
      </c>
      <c r="D102" s="231">
        <v>9</v>
      </c>
      <c r="E102" s="231">
        <v>10</v>
      </c>
      <c r="F102" s="231">
        <v>25600</v>
      </c>
      <c r="G102" s="231">
        <v>0</v>
      </c>
      <c r="H102" s="231">
        <v>0</v>
      </c>
      <c r="I102" s="231">
        <v>0</v>
      </c>
      <c r="J102" s="231">
        <v>0</v>
      </c>
      <c r="K102" s="231">
        <v>25600</v>
      </c>
      <c r="L102" s="231">
        <v>0</v>
      </c>
      <c r="M102" s="231">
        <v>0</v>
      </c>
      <c r="N102" s="231">
        <v>0</v>
      </c>
      <c r="O102" s="231">
        <v>0</v>
      </c>
      <c r="P102" s="231">
        <v>0</v>
      </c>
      <c r="Q102" s="231">
        <v>0</v>
      </c>
      <c r="R102" s="231">
        <v>0</v>
      </c>
      <c r="S102" s="231">
        <v>0</v>
      </c>
      <c r="T102" s="231">
        <v>0</v>
      </c>
      <c r="U102" s="231">
        <v>0</v>
      </c>
      <c r="V102" s="231">
        <v>0</v>
      </c>
      <c r="W102" s="231">
        <v>0</v>
      </c>
      <c r="X102" s="231">
        <v>0</v>
      </c>
      <c r="Y102" s="231">
        <v>0</v>
      </c>
      <c r="Z102" s="231">
        <v>0</v>
      </c>
      <c r="AA102" s="231">
        <v>0</v>
      </c>
      <c r="AB102" s="231">
        <v>0</v>
      </c>
      <c r="AC102" s="231">
        <v>0</v>
      </c>
      <c r="AD102" s="231">
        <v>0</v>
      </c>
      <c r="AE102" s="231">
        <v>0</v>
      </c>
      <c r="AF102" s="231">
        <v>0</v>
      </c>
      <c r="AG102" s="231">
        <v>0</v>
      </c>
      <c r="AH102" s="231">
        <v>0</v>
      </c>
      <c r="AI102" s="231">
        <v>0</v>
      </c>
      <c r="AJ102" s="231">
        <v>0</v>
      </c>
      <c r="AK102" s="231">
        <v>0</v>
      </c>
      <c r="AL102" s="231">
        <v>0</v>
      </c>
      <c r="AM102" s="231">
        <v>0</v>
      </c>
      <c r="AN102" s="231">
        <v>0</v>
      </c>
    </row>
    <row r="103" spans="3:40" x14ac:dyDescent="0.3">
      <c r="C103" s="231">
        <v>28</v>
      </c>
      <c r="D103" s="231">
        <v>9</v>
      </c>
      <c r="E103" s="231">
        <v>11</v>
      </c>
      <c r="F103" s="231">
        <v>5883.25</v>
      </c>
      <c r="G103" s="231">
        <v>0</v>
      </c>
      <c r="H103" s="231">
        <v>1799.9166666666667</v>
      </c>
      <c r="I103" s="231">
        <v>0</v>
      </c>
      <c r="J103" s="231">
        <v>0</v>
      </c>
      <c r="K103" s="231">
        <v>4083.3333333333335</v>
      </c>
      <c r="L103" s="231">
        <v>0</v>
      </c>
      <c r="M103" s="231">
        <v>0</v>
      </c>
      <c r="N103" s="231">
        <v>0</v>
      </c>
      <c r="O103" s="231">
        <v>0</v>
      </c>
      <c r="P103" s="231">
        <v>0</v>
      </c>
      <c r="Q103" s="231">
        <v>0</v>
      </c>
      <c r="R103" s="231">
        <v>0</v>
      </c>
      <c r="S103" s="231">
        <v>0</v>
      </c>
      <c r="T103" s="231">
        <v>0</v>
      </c>
      <c r="U103" s="231">
        <v>0</v>
      </c>
      <c r="V103" s="231">
        <v>0</v>
      </c>
      <c r="W103" s="231">
        <v>0</v>
      </c>
      <c r="X103" s="231">
        <v>0</v>
      </c>
      <c r="Y103" s="231">
        <v>0</v>
      </c>
      <c r="Z103" s="231">
        <v>0</v>
      </c>
      <c r="AA103" s="231">
        <v>0</v>
      </c>
      <c r="AB103" s="231">
        <v>0</v>
      </c>
      <c r="AC103" s="231">
        <v>0</v>
      </c>
      <c r="AD103" s="231">
        <v>0</v>
      </c>
      <c r="AE103" s="231">
        <v>0</v>
      </c>
      <c r="AF103" s="231">
        <v>0</v>
      </c>
      <c r="AG103" s="231">
        <v>0</v>
      </c>
      <c r="AH103" s="231">
        <v>0</v>
      </c>
      <c r="AI103" s="231">
        <v>0</v>
      </c>
      <c r="AJ103" s="231">
        <v>0</v>
      </c>
      <c r="AK103" s="231">
        <v>0</v>
      </c>
      <c r="AL103" s="231">
        <v>0</v>
      </c>
      <c r="AM103" s="231">
        <v>0</v>
      </c>
      <c r="AN103" s="231">
        <v>0</v>
      </c>
    </row>
    <row r="104" spans="3:40" x14ac:dyDescent="0.3">
      <c r="C104" s="231">
        <v>28</v>
      </c>
      <c r="D104" s="231">
        <v>10</v>
      </c>
      <c r="E104" s="231">
        <v>1</v>
      </c>
      <c r="F104" s="231">
        <v>25.5</v>
      </c>
      <c r="G104" s="231">
        <v>0</v>
      </c>
      <c r="H104" s="231">
        <v>4.9000000000000004</v>
      </c>
      <c r="I104" s="231">
        <v>0</v>
      </c>
      <c r="J104" s="231">
        <v>0</v>
      </c>
      <c r="K104" s="231">
        <v>2.5</v>
      </c>
      <c r="L104" s="231">
        <v>0</v>
      </c>
      <c r="M104" s="231">
        <v>0</v>
      </c>
      <c r="N104" s="231">
        <v>6.5</v>
      </c>
      <c r="O104" s="231">
        <v>0</v>
      </c>
      <c r="P104" s="231">
        <v>0</v>
      </c>
      <c r="Q104" s="231">
        <v>0</v>
      </c>
      <c r="R104" s="231">
        <v>0</v>
      </c>
      <c r="S104" s="231">
        <v>0</v>
      </c>
      <c r="T104" s="231">
        <v>0</v>
      </c>
      <c r="U104" s="231">
        <v>0</v>
      </c>
      <c r="V104" s="231">
        <v>0</v>
      </c>
      <c r="W104" s="231">
        <v>0</v>
      </c>
      <c r="X104" s="231">
        <v>0</v>
      </c>
      <c r="Y104" s="231">
        <v>0</v>
      </c>
      <c r="Z104" s="231">
        <v>8.8000000000000007</v>
      </c>
      <c r="AA104" s="231">
        <v>0</v>
      </c>
      <c r="AB104" s="231">
        <v>0</v>
      </c>
      <c r="AC104" s="231">
        <v>0</v>
      </c>
      <c r="AD104" s="231">
        <v>0</v>
      </c>
      <c r="AE104" s="231">
        <v>0</v>
      </c>
      <c r="AF104" s="231">
        <v>0</v>
      </c>
      <c r="AG104" s="231">
        <v>0</v>
      </c>
      <c r="AH104" s="231">
        <v>1</v>
      </c>
      <c r="AI104" s="231">
        <v>0</v>
      </c>
      <c r="AJ104" s="231">
        <v>0</v>
      </c>
      <c r="AK104" s="231">
        <v>0</v>
      </c>
      <c r="AL104" s="231">
        <v>0</v>
      </c>
      <c r="AM104" s="231">
        <v>1.8</v>
      </c>
      <c r="AN104" s="231">
        <v>0</v>
      </c>
    </row>
    <row r="105" spans="3:40" x14ac:dyDescent="0.3">
      <c r="C105" s="231">
        <v>28</v>
      </c>
      <c r="D105" s="231">
        <v>10</v>
      </c>
      <c r="E105" s="231">
        <v>2</v>
      </c>
      <c r="F105" s="231">
        <v>4024.8</v>
      </c>
      <c r="G105" s="231">
        <v>0</v>
      </c>
      <c r="H105" s="231">
        <v>869.6</v>
      </c>
      <c r="I105" s="231">
        <v>0</v>
      </c>
      <c r="J105" s="231">
        <v>0</v>
      </c>
      <c r="K105" s="231">
        <v>276</v>
      </c>
      <c r="L105" s="231">
        <v>0</v>
      </c>
      <c r="M105" s="231">
        <v>0</v>
      </c>
      <c r="N105" s="231">
        <v>1172</v>
      </c>
      <c r="O105" s="231">
        <v>0</v>
      </c>
      <c r="P105" s="231">
        <v>0</v>
      </c>
      <c r="Q105" s="231">
        <v>0</v>
      </c>
      <c r="R105" s="231">
        <v>0</v>
      </c>
      <c r="S105" s="231">
        <v>0</v>
      </c>
      <c r="T105" s="231">
        <v>0</v>
      </c>
      <c r="U105" s="231">
        <v>0</v>
      </c>
      <c r="V105" s="231">
        <v>0</v>
      </c>
      <c r="W105" s="231">
        <v>0</v>
      </c>
      <c r="X105" s="231">
        <v>0</v>
      </c>
      <c r="Y105" s="231">
        <v>0</v>
      </c>
      <c r="Z105" s="231">
        <v>1356</v>
      </c>
      <c r="AA105" s="231">
        <v>0</v>
      </c>
      <c r="AB105" s="231">
        <v>0</v>
      </c>
      <c r="AC105" s="231">
        <v>0</v>
      </c>
      <c r="AD105" s="231">
        <v>0</v>
      </c>
      <c r="AE105" s="231">
        <v>0</v>
      </c>
      <c r="AF105" s="231">
        <v>0</v>
      </c>
      <c r="AG105" s="231">
        <v>0</v>
      </c>
      <c r="AH105" s="231">
        <v>20</v>
      </c>
      <c r="AI105" s="231">
        <v>0</v>
      </c>
      <c r="AJ105" s="231">
        <v>0</v>
      </c>
      <c r="AK105" s="231">
        <v>0</v>
      </c>
      <c r="AL105" s="231">
        <v>0</v>
      </c>
      <c r="AM105" s="231">
        <v>331.2</v>
      </c>
      <c r="AN105" s="231">
        <v>0</v>
      </c>
    </row>
    <row r="106" spans="3:40" x14ac:dyDescent="0.3">
      <c r="C106" s="231">
        <v>28</v>
      </c>
      <c r="D106" s="231">
        <v>10</v>
      </c>
      <c r="E106" s="231">
        <v>3</v>
      </c>
      <c r="F106" s="231">
        <v>174</v>
      </c>
      <c r="G106" s="231">
        <v>0</v>
      </c>
      <c r="H106" s="231">
        <v>0</v>
      </c>
      <c r="I106" s="231">
        <v>0</v>
      </c>
      <c r="J106" s="231">
        <v>0</v>
      </c>
      <c r="K106" s="231">
        <v>174</v>
      </c>
      <c r="L106" s="231">
        <v>0</v>
      </c>
      <c r="M106" s="231">
        <v>0</v>
      </c>
      <c r="N106" s="231">
        <v>0</v>
      </c>
      <c r="O106" s="231">
        <v>0</v>
      </c>
      <c r="P106" s="231">
        <v>0</v>
      </c>
      <c r="Q106" s="231">
        <v>0</v>
      </c>
      <c r="R106" s="231">
        <v>0</v>
      </c>
      <c r="S106" s="231">
        <v>0</v>
      </c>
      <c r="T106" s="231">
        <v>0</v>
      </c>
      <c r="U106" s="231">
        <v>0</v>
      </c>
      <c r="V106" s="231">
        <v>0</v>
      </c>
      <c r="W106" s="231">
        <v>0</v>
      </c>
      <c r="X106" s="231">
        <v>0</v>
      </c>
      <c r="Y106" s="231">
        <v>0</v>
      </c>
      <c r="Z106" s="231">
        <v>0</v>
      </c>
      <c r="AA106" s="231">
        <v>0</v>
      </c>
      <c r="AB106" s="231">
        <v>0</v>
      </c>
      <c r="AC106" s="231">
        <v>0</v>
      </c>
      <c r="AD106" s="231">
        <v>0</v>
      </c>
      <c r="AE106" s="231">
        <v>0</v>
      </c>
      <c r="AF106" s="231">
        <v>0</v>
      </c>
      <c r="AG106" s="231">
        <v>0</v>
      </c>
      <c r="AH106" s="231">
        <v>0</v>
      </c>
      <c r="AI106" s="231">
        <v>0</v>
      </c>
      <c r="AJ106" s="231">
        <v>0</v>
      </c>
      <c r="AK106" s="231">
        <v>0</v>
      </c>
      <c r="AL106" s="231">
        <v>0</v>
      </c>
      <c r="AM106" s="231">
        <v>0</v>
      </c>
      <c r="AN106" s="231">
        <v>0</v>
      </c>
    </row>
    <row r="107" spans="3:40" x14ac:dyDescent="0.3">
      <c r="C107" s="231">
        <v>28</v>
      </c>
      <c r="D107" s="231">
        <v>10</v>
      </c>
      <c r="E107" s="231">
        <v>4</v>
      </c>
      <c r="F107" s="231">
        <v>0</v>
      </c>
      <c r="G107" s="231">
        <v>0</v>
      </c>
      <c r="H107" s="231">
        <v>0</v>
      </c>
      <c r="I107" s="231">
        <v>0</v>
      </c>
      <c r="J107" s="231">
        <v>0</v>
      </c>
      <c r="K107" s="231">
        <v>0</v>
      </c>
      <c r="L107" s="231">
        <v>0</v>
      </c>
      <c r="M107" s="231">
        <v>0</v>
      </c>
      <c r="N107" s="231">
        <v>0</v>
      </c>
      <c r="O107" s="231">
        <v>0</v>
      </c>
      <c r="P107" s="231">
        <v>0</v>
      </c>
      <c r="Q107" s="231">
        <v>0</v>
      </c>
      <c r="R107" s="231">
        <v>0</v>
      </c>
      <c r="S107" s="231">
        <v>0</v>
      </c>
      <c r="T107" s="231">
        <v>0</v>
      </c>
      <c r="U107" s="231">
        <v>0</v>
      </c>
      <c r="V107" s="231">
        <v>0</v>
      </c>
      <c r="W107" s="231">
        <v>0</v>
      </c>
      <c r="X107" s="231">
        <v>0</v>
      </c>
      <c r="Y107" s="231">
        <v>0</v>
      </c>
      <c r="Z107" s="231">
        <v>0</v>
      </c>
      <c r="AA107" s="231">
        <v>0</v>
      </c>
      <c r="AB107" s="231">
        <v>0</v>
      </c>
      <c r="AC107" s="231">
        <v>0</v>
      </c>
      <c r="AD107" s="231">
        <v>0</v>
      </c>
      <c r="AE107" s="231">
        <v>0</v>
      </c>
      <c r="AF107" s="231">
        <v>0</v>
      </c>
      <c r="AG107" s="231">
        <v>0</v>
      </c>
      <c r="AH107" s="231">
        <v>0</v>
      </c>
      <c r="AI107" s="231">
        <v>0</v>
      </c>
      <c r="AJ107" s="231">
        <v>0</v>
      </c>
      <c r="AK107" s="231">
        <v>0</v>
      </c>
      <c r="AL107" s="231">
        <v>0</v>
      </c>
      <c r="AM107" s="231">
        <v>0</v>
      </c>
      <c r="AN107" s="231">
        <v>0</v>
      </c>
    </row>
    <row r="108" spans="3:40" x14ac:dyDescent="0.3">
      <c r="C108" s="231">
        <v>28</v>
      </c>
      <c r="D108" s="231">
        <v>10</v>
      </c>
      <c r="E108" s="231">
        <v>5</v>
      </c>
      <c r="F108" s="231">
        <v>0</v>
      </c>
      <c r="G108" s="231">
        <v>0</v>
      </c>
      <c r="H108" s="231">
        <v>0</v>
      </c>
      <c r="I108" s="231">
        <v>0</v>
      </c>
      <c r="J108" s="231">
        <v>0</v>
      </c>
      <c r="K108" s="231">
        <v>0</v>
      </c>
      <c r="L108" s="231">
        <v>0</v>
      </c>
      <c r="M108" s="231">
        <v>0</v>
      </c>
      <c r="N108" s="231">
        <v>0</v>
      </c>
      <c r="O108" s="231">
        <v>0</v>
      </c>
      <c r="P108" s="231">
        <v>0</v>
      </c>
      <c r="Q108" s="231">
        <v>0</v>
      </c>
      <c r="R108" s="231">
        <v>0</v>
      </c>
      <c r="S108" s="231">
        <v>0</v>
      </c>
      <c r="T108" s="231">
        <v>0</v>
      </c>
      <c r="U108" s="231">
        <v>0</v>
      </c>
      <c r="V108" s="231">
        <v>0</v>
      </c>
      <c r="W108" s="231">
        <v>0</v>
      </c>
      <c r="X108" s="231">
        <v>0</v>
      </c>
      <c r="Y108" s="231">
        <v>0</v>
      </c>
      <c r="Z108" s="231">
        <v>0</v>
      </c>
      <c r="AA108" s="231">
        <v>0</v>
      </c>
      <c r="AB108" s="231">
        <v>0</v>
      </c>
      <c r="AC108" s="231">
        <v>0</v>
      </c>
      <c r="AD108" s="231">
        <v>0</v>
      </c>
      <c r="AE108" s="231">
        <v>0</v>
      </c>
      <c r="AF108" s="231">
        <v>0</v>
      </c>
      <c r="AG108" s="231">
        <v>0</v>
      </c>
      <c r="AH108" s="231">
        <v>0</v>
      </c>
      <c r="AI108" s="231">
        <v>0</v>
      </c>
      <c r="AJ108" s="231">
        <v>0</v>
      </c>
      <c r="AK108" s="231">
        <v>0</v>
      </c>
      <c r="AL108" s="231">
        <v>0</v>
      </c>
      <c r="AM108" s="231">
        <v>0</v>
      </c>
      <c r="AN108" s="231">
        <v>0</v>
      </c>
    </row>
    <row r="109" spans="3:40" x14ac:dyDescent="0.3">
      <c r="C109" s="231">
        <v>28</v>
      </c>
      <c r="D109" s="231">
        <v>10</v>
      </c>
      <c r="E109" s="231">
        <v>6</v>
      </c>
      <c r="F109" s="231">
        <v>788232</v>
      </c>
      <c r="G109" s="231">
        <v>0</v>
      </c>
      <c r="H109" s="231">
        <v>263227</v>
      </c>
      <c r="I109" s="231">
        <v>0</v>
      </c>
      <c r="J109" s="231">
        <v>0</v>
      </c>
      <c r="K109" s="231">
        <v>87183</v>
      </c>
      <c r="L109" s="231">
        <v>0</v>
      </c>
      <c r="M109" s="231">
        <v>0</v>
      </c>
      <c r="N109" s="231">
        <v>148450</v>
      </c>
      <c r="O109" s="231">
        <v>0</v>
      </c>
      <c r="P109" s="231">
        <v>0</v>
      </c>
      <c r="Q109" s="231">
        <v>0</v>
      </c>
      <c r="R109" s="231">
        <v>0</v>
      </c>
      <c r="S109" s="231">
        <v>0</v>
      </c>
      <c r="T109" s="231">
        <v>0</v>
      </c>
      <c r="U109" s="231">
        <v>0</v>
      </c>
      <c r="V109" s="231">
        <v>0</v>
      </c>
      <c r="W109" s="231">
        <v>0</v>
      </c>
      <c r="X109" s="231">
        <v>0</v>
      </c>
      <c r="Y109" s="231">
        <v>0</v>
      </c>
      <c r="Z109" s="231">
        <v>245426</v>
      </c>
      <c r="AA109" s="231">
        <v>0</v>
      </c>
      <c r="AB109" s="231">
        <v>0</v>
      </c>
      <c r="AC109" s="231">
        <v>0</v>
      </c>
      <c r="AD109" s="231">
        <v>0</v>
      </c>
      <c r="AE109" s="231">
        <v>0</v>
      </c>
      <c r="AF109" s="231">
        <v>0</v>
      </c>
      <c r="AG109" s="231">
        <v>0</v>
      </c>
      <c r="AH109" s="231">
        <v>4362</v>
      </c>
      <c r="AI109" s="231">
        <v>0</v>
      </c>
      <c r="AJ109" s="231">
        <v>0</v>
      </c>
      <c r="AK109" s="231">
        <v>0</v>
      </c>
      <c r="AL109" s="231">
        <v>0</v>
      </c>
      <c r="AM109" s="231">
        <v>39584</v>
      </c>
      <c r="AN109" s="231">
        <v>0</v>
      </c>
    </row>
    <row r="110" spans="3:40" x14ac:dyDescent="0.3">
      <c r="C110" s="231">
        <v>28</v>
      </c>
      <c r="D110" s="231">
        <v>10</v>
      </c>
      <c r="E110" s="231">
        <v>7</v>
      </c>
      <c r="F110" s="231">
        <v>0</v>
      </c>
      <c r="G110" s="231">
        <v>0</v>
      </c>
      <c r="H110" s="231">
        <v>0</v>
      </c>
      <c r="I110" s="231">
        <v>0</v>
      </c>
      <c r="J110" s="231">
        <v>0</v>
      </c>
      <c r="K110" s="231">
        <v>0</v>
      </c>
      <c r="L110" s="231">
        <v>0</v>
      </c>
      <c r="M110" s="231">
        <v>0</v>
      </c>
      <c r="N110" s="231">
        <v>0</v>
      </c>
      <c r="O110" s="231">
        <v>0</v>
      </c>
      <c r="P110" s="231">
        <v>0</v>
      </c>
      <c r="Q110" s="231">
        <v>0</v>
      </c>
      <c r="R110" s="231">
        <v>0</v>
      </c>
      <c r="S110" s="231">
        <v>0</v>
      </c>
      <c r="T110" s="231">
        <v>0</v>
      </c>
      <c r="U110" s="231">
        <v>0</v>
      </c>
      <c r="V110" s="231">
        <v>0</v>
      </c>
      <c r="W110" s="231">
        <v>0</v>
      </c>
      <c r="X110" s="231">
        <v>0</v>
      </c>
      <c r="Y110" s="231">
        <v>0</v>
      </c>
      <c r="Z110" s="231">
        <v>0</v>
      </c>
      <c r="AA110" s="231">
        <v>0</v>
      </c>
      <c r="AB110" s="231">
        <v>0</v>
      </c>
      <c r="AC110" s="231">
        <v>0</v>
      </c>
      <c r="AD110" s="231">
        <v>0</v>
      </c>
      <c r="AE110" s="231">
        <v>0</v>
      </c>
      <c r="AF110" s="231">
        <v>0</v>
      </c>
      <c r="AG110" s="231">
        <v>0</v>
      </c>
      <c r="AH110" s="231">
        <v>0</v>
      </c>
      <c r="AI110" s="231">
        <v>0</v>
      </c>
      <c r="AJ110" s="231">
        <v>0</v>
      </c>
      <c r="AK110" s="231">
        <v>0</v>
      </c>
      <c r="AL110" s="231">
        <v>0</v>
      </c>
      <c r="AM110" s="231">
        <v>0</v>
      </c>
      <c r="AN110" s="231">
        <v>0</v>
      </c>
    </row>
    <row r="111" spans="3:40" x14ac:dyDescent="0.3">
      <c r="C111" s="231">
        <v>28</v>
      </c>
      <c r="D111" s="231">
        <v>10</v>
      </c>
      <c r="E111" s="231">
        <v>8</v>
      </c>
      <c r="F111" s="231">
        <v>0</v>
      </c>
      <c r="G111" s="231">
        <v>0</v>
      </c>
      <c r="H111" s="231">
        <v>0</v>
      </c>
      <c r="I111" s="231">
        <v>0</v>
      </c>
      <c r="J111" s="231">
        <v>0</v>
      </c>
      <c r="K111" s="231">
        <v>0</v>
      </c>
      <c r="L111" s="231">
        <v>0</v>
      </c>
      <c r="M111" s="231">
        <v>0</v>
      </c>
      <c r="N111" s="231">
        <v>0</v>
      </c>
      <c r="O111" s="231">
        <v>0</v>
      </c>
      <c r="P111" s="231">
        <v>0</v>
      </c>
      <c r="Q111" s="231">
        <v>0</v>
      </c>
      <c r="R111" s="231">
        <v>0</v>
      </c>
      <c r="S111" s="231">
        <v>0</v>
      </c>
      <c r="T111" s="231">
        <v>0</v>
      </c>
      <c r="U111" s="231">
        <v>0</v>
      </c>
      <c r="V111" s="231">
        <v>0</v>
      </c>
      <c r="W111" s="231">
        <v>0</v>
      </c>
      <c r="X111" s="231">
        <v>0</v>
      </c>
      <c r="Y111" s="231">
        <v>0</v>
      </c>
      <c r="Z111" s="231">
        <v>0</v>
      </c>
      <c r="AA111" s="231">
        <v>0</v>
      </c>
      <c r="AB111" s="231">
        <v>0</v>
      </c>
      <c r="AC111" s="231">
        <v>0</v>
      </c>
      <c r="AD111" s="231">
        <v>0</v>
      </c>
      <c r="AE111" s="231">
        <v>0</v>
      </c>
      <c r="AF111" s="231">
        <v>0</v>
      </c>
      <c r="AG111" s="231">
        <v>0</v>
      </c>
      <c r="AH111" s="231">
        <v>0</v>
      </c>
      <c r="AI111" s="231">
        <v>0</v>
      </c>
      <c r="AJ111" s="231">
        <v>0</v>
      </c>
      <c r="AK111" s="231">
        <v>0</v>
      </c>
      <c r="AL111" s="231">
        <v>0</v>
      </c>
      <c r="AM111" s="231">
        <v>0</v>
      </c>
      <c r="AN111" s="231">
        <v>0</v>
      </c>
    </row>
    <row r="112" spans="3:40" x14ac:dyDescent="0.3">
      <c r="C112" s="231">
        <v>28</v>
      </c>
      <c r="D112" s="231">
        <v>10</v>
      </c>
      <c r="E112" s="231">
        <v>9</v>
      </c>
      <c r="F112" s="231">
        <v>9332</v>
      </c>
      <c r="G112" s="231">
        <v>0</v>
      </c>
      <c r="H112" s="231">
        <v>0</v>
      </c>
      <c r="I112" s="231">
        <v>0</v>
      </c>
      <c r="J112" s="231">
        <v>0</v>
      </c>
      <c r="K112" s="231">
        <v>7464</v>
      </c>
      <c r="L112" s="231">
        <v>0</v>
      </c>
      <c r="M112" s="231">
        <v>0</v>
      </c>
      <c r="N112" s="231">
        <v>0</v>
      </c>
      <c r="O112" s="231">
        <v>0</v>
      </c>
      <c r="P112" s="231">
        <v>0</v>
      </c>
      <c r="Q112" s="231">
        <v>0</v>
      </c>
      <c r="R112" s="231">
        <v>0</v>
      </c>
      <c r="S112" s="231">
        <v>0</v>
      </c>
      <c r="T112" s="231">
        <v>0</v>
      </c>
      <c r="U112" s="231">
        <v>0</v>
      </c>
      <c r="V112" s="231">
        <v>0</v>
      </c>
      <c r="W112" s="231">
        <v>0</v>
      </c>
      <c r="X112" s="231">
        <v>0</v>
      </c>
      <c r="Y112" s="231">
        <v>0</v>
      </c>
      <c r="Z112" s="231">
        <v>0</v>
      </c>
      <c r="AA112" s="231">
        <v>0</v>
      </c>
      <c r="AB112" s="231">
        <v>0</v>
      </c>
      <c r="AC112" s="231">
        <v>0</v>
      </c>
      <c r="AD112" s="231">
        <v>0</v>
      </c>
      <c r="AE112" s="231">
        <v>0</v>
      </c>
      <c r="AF112" s="231">
        <v>0</v>
      </c>
      <c r="AG112" s="231">
        <v>0</v>
      </c>
      <c r="AH112" s="231">
        <v>0</v>
      </c>
      <c r="AI112" s="231">
        <v>0</v>
      </c>
      <c r="AJ112" s="231">
        <v>0</v>
      </c>
      <c r="AK112" s="231">
        <v>0</v>
      </c>
      <c r="AL112" s="231">
        <v>0</v>
      </c>
      <c r="AM112" s="231">
        <v>1868</v>
      </c>
      <c r="AN112" s="231">
        <v>0</v>
      </c>
    </row>
    <row r="113" spans="3:40" x14ac:dyDescent="0.3">
      <c r="C113" s="231">
        <v>28</v>
      </c>
      <c r="D113" s="231">
        <v>10</v>
      </c>
      <c r="E113" s="231">
        <v>10</v>
      </c>
      <c r="F113" s="231">
        <v>22000</v>
      </c>
      <c r="G113" s="231">
        <v>0</v>
      </c>
      <c r="H113" s="231">
        <v>0</v>
      </c>
      <c r="I113" s="231">
        <v>0</v>
      </c>
      <c r="J113" s="231">
        <v>0</v>
      </c>
      <c r="K113" s="231">
        <v>22000</v>
      </c>
      <c r="L113" s="231">
        <v>0</v>
      </c>
      <c r="M113" s="231">
        <v>0</v>
      </c>
      <c r="N113" s="231">
        <v>0</v>
      </c>
      <c r="O113" s="231">
        <v>0</v>
      </c>
      <c r="P113" s="231">
        <v>0</v>
      </c>
      <c r="Q113" s="231">
        <v>0</v>
      </c>
      <c r="R113" s="231">
        <v>0</v>
      </c>
      <c r="S113" s="231">
        <v>0</v>
      </c>
      <c r="T113" s="231">
        <v>0</v>
      </c>
      <c r="U113" s="231">
        <v>0</v>
      </c>
      <c r="V113" s="231">
        <v>0</v>
      </c>
      <c r="W113" s="231">
        <v>0</v>
      </c>
      <c r="X113" s="231">
        <v>0</v>
      </c>
      <c r="Y113" s="231">
        <v>0</v>
      </c>
      <c r="Z113" s="231">
        <v>0</v>
      </c>
      <c r="AA113" s="231">
        <v>0</v>
      </c>
      <c r="AB113" s="231">
        <v>0</v>
      </c>
      <c r="AC113" s="231">
        <v>0</v>
      </c>
      <c r="AD113" s="231">
        <v>0</v>
      </c>
      <c r="AE113" s="231">
        <v>0</v>
      </c>
      <c r="AF113" s="231">
        <v>0</v>
      </c>
      <c r="AG113" s="231">
        <v>0</v>
      </c>
      <c r="AH113" s="231">
        <v>0</v>
      </c>
      <c r="AI113" s="231">
        <v>0</v>
      </c>
      <c r="AJ113" s="231">
        <v>0</v>
      </c>
      <c r="AK113" s="231">
        <v>0</v>
      </c>
      <c r="AL113" s="231">
        <v>0</v>
      </c>
      <c r="AM113" s="231">
        <v>0</v>
      </c>
      <c r="AN113" s="231">
        <v>0</v>
      </c>
    </row>
    <row r="114" spans="3:40" x14ac:dyDescent="0.3">
      <c r="C114" s="231">
        <v>28</v>
      </c>
      <c r="D114" s="231">
        <v>10</v>
      </c>
      <c r="E114" s="231">
        <v>11</v>
      </c>
      <c r="F114" s="231">
        <v>5883.25</v>
      </c>
      <c r="G114" s="231">
        <v>0</v>
      </c>
      <c r="H114" s="231">
        <v>1799.9166666666667</v>
      </c>
      <c r="I114" s="231">
        <v>0</v>
      </c>
      <c r="J114" s="231">
        <v>0</v>
      </c>
      <c r="K114" s="231">
        <v>4083.3333333333335</v>
      </c>
      <c r="L114" s="231">
        <v>0</v>
      </c>
      <c r="M114" s="231">
        <v>0</v>
      </c>
      <c r="N114" s="231">
        <v>0</v>
      </c>
      <c r="O114" s="231">
        <v>0</v>
      </c>
      <c r="P114" s="231">
        <v>0</v>
      </c>
      <c r="Q114" s="231">
        <v>0</v>
      </c>
      <c r="R114" s="231">
        <v>0</v>
      </c>
      <c r="S114" s="231">
        <v>0</v>
      </c>
      <c r="T114" s="231">
        <v>0</v>
      </c>
      <c r="U114" s="231">
        <v>0</v>
      </c>
      <c r="V114" s="231">
        <v>0</v>
      </c>
      <c r="W114" s="231">
        <v>0</v>
      </c>
      <c r="X114" s="231">
        <v>0</v>
      </c>
      <c r="Y114" s="231">
        <v>0</v>
      </c>
      <c r="Z114" s="231">
        <v>0</v>
      </c>
      <c r="AA114" s="231">
        <v>0</v>
      </c>
      <c r="AB114" s="231">
        <v>0</v>
      </c>
      <c r="AC114" s="231">
        <v>0</v>
      </c>
      <c r="AD114" s="231">
        <v>0</v>
      </c>
      <c r="AE114" s="231">
        <v>0</v>
      </c>
      <c r="AF114" s="231">
        <v>0</v>
      </c>
      <c r="AG114" s="231">
        <v>0</v>
      </c>
      <c r="AH114" s="231">
        <v>0</v>
      </c>
      <c r="AI114" s="231">
        <v>0</v>
      </c>
      <c r="AJ114" s="231">
        <v>0</v>
      </c>
      <c r="AK114" s="231">
        <v>0</v>
      </c>
      <c r="AL114" s="231">
        <v>0</v>
      </c>
      <c r="AM114" s="231">
        <v>0</v>
      </c>
      <c r="AN114" s="231">
        <v>0</v>
      </c>
    </row>
    <row r="115" spans="3:40" x14ac:dyDescent="0.3">
      <c r="C115" s="231">
        <v>28</v>
      </c>
      <c r="D115" s="231">
        <v>11</v>
      </c>
      <c r="E115" s="231">
        <v>1</v>
      </c>
      <c r="F115" s="231">
        <v>25.5</v>
      </c>
      <c r="G115" s="231">
        <v>0</v>
      </c>
      <c r="H115" s="231">
        <v>4.9000000000000004</v>
      </c>
      <c r="I115" s="231">
        <v>0</v>
      </c>
      <c r="J115" s="231">
        <v>0</v>
      </c>
      <c r="K115" s="231">
        <v>2.5</v>
      </c>
      <c r="L115" s="231">
        <v>0</v>
      </c>
      <c r="M115" s="231">
        <v>0</v>
      </c>
      <c r="N115" s="231">
        <v>6.5</v>
      </c>
      <c r="O115" s="231">
        <v>0</v>
      </c>
      <c r="P115" s="231">
        <v>0</v>
      </c>
      <c r="Q115" s="231">
        <v>0</v>
      </c>
      <c r="R115" s="231">
        <v>0</v>
      </c>
      <c r="S115" s="231">
        <v>0</v>
      </c>
      <c r="T115" s="231">
        <v>0</v>
      </c>
      <c r="U115" s="231">
        <v>0</v>
      </c>
      <c r="V115" s="231">
        <v>0</v>
      </c>
      <c r="W115" s="231">
        <v>0</v>
      </c>
      <c r="X115" s="231">
        <v>0</v>
      </c>
      <c r="Y115" s="231">
        <v>0</v>
      </c>
      <c r="Z115" s="231">
        <v>8.8000000000000007</v>
      </c>
      <c r="AA115" s="231">
        <v>0</v>
      </c>
      <c r="AB115" s="231">
        <v>0</v>
      </c>
      <c r="AC115" s="231">
        <v>0</v>
      </c>
      <c r="AD115" s="231">
        <v>0</v>
      </c>
      <c r="AE115" s="231">
        <v>0</v>
      </c>
      <c r="AF115" s="231">
        <v>0</v>
      </c>
      <c r="AG115" s="231">
        <v>0</v>
      </c>
      <c r="AH115" s="231">
        <v>1</v>
      </c>
      <c r="AI115" s="231">
        <v>0</v>
      </c>
      <c r="AJ115" s="231">
        <v>0</v>
      </c>
      <c r="AK115" s="231">
        <v>0</v>
      </c>
      <c r="AL115" s="231">
        <v>0</v>
      </c>
      <c r="AM115" s="231">
        <v>1.8</v>
      </c>
      <c r="AN115" s="231">
        <v>0</v>
      </c>
    </row>
    <row r="116" spans="3:40" x14ac:dyDescent="0.3">
      <c r="C116" s="231">
        <v>28</v>
      </c>
      <c r="D116" s="231">
        <v>11</v>
      </c>
      <c r="E116" s="231">
        <v>2</v>
      </c>
      <c r="F116" s="231">
        <v>3407.2</v>
      </c>
      <c r="G116" s="231">
        <v>0</v>
      </c>
      <c r="H116" s="231">
        <v>608</v>
      </c>
      <c r="I116" s="231">
        <v>0</v>
      </c>
      <c r="J116" s="231">
        <v>0</v>
      </c>
      <c r="K116" s="231">
        <v>384</v>
      </c>
      <c r="L116" s="231">
        <v>0</v>
      </c>
      <c r="M116" s="231">
        <v>0</v>
      </c>
      <c r="N116" s="231">
        <v>980</v>
      </c>
      <c r="O116" s="231">
        <v>0</v>
      </c>
      <c r="P116" s="231">
        <v>0</v>
      </c>
      <c r="Q116" s="231">
        <v>0</v>
      </c>
      <c r="R116" s="231">
        <v>0</v>
      </c>
      <c r="S116" s="231">
        <v>0</v>
      </c>
      <c r="T116" s="231">
        <v>0</v>
      </c>
      <c r="U116" s="231">
        <v>0</v>
      </c>
      <c r="V116" s="231">
        <v>0</v>
      </c>
      <c r="W116" s="231">
        <v>0</v>
      </c>
      <c r="X116" s="231">
        <v>0</v>
      </c>
      <c r="Y116" s="231">
        <v>0</v>
      </c>
      <c r="Z116" s="231">
        <v>1160</v>
      </c>
      <c r="AA116" s="231">
        <v>0</v>
      </c>
      <c r="AB116" s="231">
        <v>0</v>
      </c>
      <c r="AC116" s="231">
        <v>0</v>
      </c>
      <c r="AD116" s="231">
        <v>0</v>
      </c>
      <c r="AE116" s="231">
        <v>0</v>
      </c>
      <c r="AF116" s="231">
        <v>0</v>
      </c>
      <c r="AG116" s="231">
        <v>0</v>
      </c>
      <c r="AH116" s="231">
        <v>0</v>
      </c>
      <c r="AI116" s="231">
        <v>0</v>
      </c>
      <c r="AJ116" s="231">
        <v>0</v>
      </c>
      <c r="AK116" s="231">
        <v>0</v>
      </c>
      <c r="AL116" s="231">
        <v>0</v>
      </c>
      <c r="AM116" s="231">
        <v>275.2</v>
      </c>
      <c r="AN116" s="231">
        <v>0</v>
      </c>
    </row>
    <row r="117" spans="3:40" x14ac:dyDescent="0.3">
      <c r="C117" s="231">
        <v>28</v>
      </c>
      <c r="D117" s="231">
        <v>11</v>
      </c>
      <c r="E117" s="231">
        <v>3</v>
      </c>
      <c r="F117" s="231">
        <v>24</v>
      </c>
      <c r="G117" s="231">
        <v>0</v>
      </c>
      <c r="H117" s="231">
        <v>0</v>
      </c>
      <c r="I117" s="231">
        <v>0</v>
      </c>
      <c r="J117" s="231">
        <v>0</v>
      </c>
      <c r="K117" s="231">
        <v>24</v>
      </c>
      <c r="L117" s="231">
        <v>0</v>
      </c>
      <c r="M117" s="231">
        <v>0</v>
      </c>
      <c r="N117" s="231">
        <v>0</v>
      </c>
      <c r="O117" s="231">
        <v>0</v>
      </c>
      <c r="P117" s="231">
        <v>0</v>
      </c>
      <c r="Q117" s="231">
        <v>0</v>
      </c>
      <c r="R117" s="231">
        <v>0</v>
      </c>
      <c r="S117" s="231">
        <v>0</v>
      </c>
      <c r="T117" s="231">
        <v>0</v>
      </c>
      <c r="U117" s="231">
        <v>0</v>
      </c>
      <c r="V117" s="231">
        <v>0</v>
      </c>
      <c r="W117" s="231">
        <v>0</v>
      </c>
      <c r="X117" s="231">
        <v>0</v>
      </c>
      <c r="Y117" s="231">
        <v>0</v>
      </c>
      <c r="Z117" s="231">
        <v>0</v>
      </c>
      <c r="AA117" s="231">
        <v>0</v>
      </c>
      <c r="AB117" s="231">
        <v>0</v>
      </c>
      <c r="AC117" s="231">
        <v>0</v>
      </c>
      <c r="AD117" s="231">
        <v>0</v>
      </c>
      <c r="AE117" s="231">
        <v>0</v>
      </c>
      <c r="AF117" s="231">
        <v>0</v>
      </c>
      <c r="AG117" s="231">
        <v>0</v>
      </c>
      <c r="AH117" s="231">
        <v>0</v>
      </c>
      <c r="AI117" s="231">
        <v>0</v>
      </c>
      <c r="AJ117" s="231">
        <v>0</v>
      </c>
      <c r="AK117" s="231">
        <v>0</v>
      </c>
      <c r="AL117" s="231">
        <v>0</v>
      </c>
      <c r="AM117" s="231">
        <v>0</v>
      </c>
      <c r="AN117" s="231">
        <v>0</v>
      </c>
    </row>
    <row r="118" spans="3:40" x14ac:dyDescent="0.3">
      <c r="C118" s="231">
        <v>28</v>
      </c>
      <c r="D118" s="231">
        <v>11</v>
      </c>
      <c r="E118" s="231">
        <v>4</v>
      </c>
      <c r="F118" s="231">
        <v>0</v>
      </c>
      <c r="G118" s="231">
        <v>0</v>
      </c>
      <c r="H118" s="231">
        <v>0</v>
      </c>
      <c r="I118" s="231">
        <v>0</v>
      </c>
      <c r="J118" s="231">
        <v>0</v>
      </c>
      <c r="K118" s="231">
        <v>0</v>
      </c>
      <c r="L118" s="231">
        <v>0</v>
      </c>
      <c r="M118" s="231">
        <v>0</v>
      </c>
      <c r="N118" s="231">
        <v>0</v>
      </c>
      <c r="O118" s="231">
        <v>0</v>
      </c>
      <c r="P118" s="231">
        <v>0</v>
      </c>
      <c r="Q118" s="231">
        <v>0</v>
      </c>
      <c r="R118" s="231">
        <v>0</v>
      </c>
      <c r="S118" s="231">
        <v>0</v>
      </c>
      <c r="T118" s="231">
        <v>0</v>
      </c>
      <c r="U118" s="231">
        <v>0</v>
      </c>
      <c r="V118" s="231">
        <v>0</v>
      </c>
      <c r="W118" s="231">
        <v>0</v>
      </c>
      <c r="X118" s="231">
        <v>0</v>
      </c>
      <c r="Y118" s="231">
        <v>0</v>
      </c>
      <c r="Z118" s="231">
        <v>0</v>
      </c>
      <c r="AA118" s="231">
        <v>0</v>
      </c>
      <c r="AB118" s="231">
        <v>0</v>
      </c>
      <c r="AC118" s="231">
        <v>0</v>
      </c>
      <c r="AD118" s="231">
        <v>0</v>
      </c>
      <c r="AE118" s="231">
        <v>0</v>
      </c>
      <c r="AF118" s="231">
        <v>0</v>
      </c>
      <c r="AG118" s="231">
        <v>0</v>
      </c>
      <c r="AH118" s="231">
        <v>0</v>
      </c>
      <c r="AI118" s="231">
        <v>0</v>
      </c>
      <c r="AJ118" s="231">
        <v>0</v>
      </c>
      <c r="AK118" s="231">
        <v>0</v>
      </c>
      <c r="AL118" s="231">
        <v>0</v>
      </c>
      <c r="AM118" s="231">
        <v>0</v>
      </c>
      <c r="AN118" s="231">
        <v>0</v>
      </c>
    </row>
    <row r="119" spans="3:40" x14ac:dyDescent="0.3">
      <c r="C119" s="231">
        <v>28</v>
      </c>
      <c r="D119" s="231">
        <v>11</v>
      </c>
      <c r="E119" s="231">
        <v>5</v>
      </c>
      <c r="F119" s="231">
        <v>0</v>
      </c>
      <c r="G119" s="231">
        <v>0</v>
      </c>
      <c r="H119" s="231">
        <v>0</v>
      </c>
      <c r="I119" s="231">
        <v>0</v>
      </c>
      <c r="J119" s="231">
        <v>0</v>
      </c>
      <c r="K119" s="231">
        <v>0</v>
      </c>
      <c r="L119" s="231">
        <v>0</v>
      </c>
      <c r="M119" s="231">
        <v>0</v>
      </c>
      <c r="N119" s="231">
        <v>0</v>
      </c>
      <c r="O119" s="231">
        <v>0</v>
      </c>
      <c r="P119" s="231">
        <v>0</v>
      </c>
      <c r="Q119" s="231">
        <v>0</v>
      </c>
      <c r="R119" s="231">
        <v>0</v>
      </c>
      <c r="S119" s="231">
        <v>0</v>
      </c>
      <c r="T119" s="231">
        <v>0</v>
      </c>
      <c r="U119" s="231">
        <v>0</v>
      </c>
      <c r="V119" s="231">
        <v>0</v>
      </c>
      <c r="W119" s="231">
        <v>0</v>
      </c>
      <c r="X119" s="231">
        <v>0</v>
      </c>
      <c r="Y119" s="231">
        <v>0</v>
      </c>
      <c r="Z119" s="231">
        <v>0</v>
      </c>
      <c r="AA119" s="231">
        <v>0</v>
      </c>
      <c r="AB119" s="231">
        <v>0</v>
      </c>
      <c r="AC119" s="231">
        <v>0</v>
      </c>
      <c r="AD119" s="231">
        <v>0</v>
      </c>
      <c r="AE119" s="231">
        <v>0</v>
      </c>
      <c r="AF119" s="231">
        <v>0</v>
      </c>
      <c r="AG119" s="231">
        <v>0</v>
      </c>
      <c r="AH119" s="231">
        <v>0</v>
      </c>
      <c r="AI119" s="231">
        <v>0</v>
      </c>
      <c r="AJ119" s="231">
        <v>0</v>
      </c>
      <c r="AK119" s="231">
        <v>0</v>
      </c>
      <c r="AL119" s="231">
        <v>0</v>
      </c>
      <c r="AM119" s="231">
        <v>0</v>
      </c>
      <c r="AN119" s="231">
        <v>0</v>
      </c>
    </row>
    <row r="120" spans="3:40" x14ac:dyDescent="0.3">
      <c r="C120" s="231">
        <v>28</v>
      </c>
      <c r="D120" s="231">
        <v>11</v>
      </c>
      <c r="E120" s="231">
        <v>6</v>
      </c>
      <c r="F120" s="231">
        <v>1275558</v>
      </c>
      <c r="G120" s="231">
        <v>0</v>
      </c>
      <c r="H120" s="231">
        <v>502126</v>
      </c>
      <c r="I120" s="231">
        <v>0</v>
      </c>
      <c r="J120" s="231">
        <v>0</v>
      </c>
      <c r="K120" s="231">
        <v>132890</v>
      </c>
      <c r="L120" s="231">
        <v>0</v>
      </c>
      <c r="M120" s="231">
        <v>0</v>
      </c>
      <c r="N120" s="231">
        <v>220511</v>
      </c>
      <c r="O120" s="231">
        <v>0</v>
      </c>
      <c r="P120" s="231">
        <v>0</v>
      </c>
      <c r="Q120" s="231">
        <v>0</v>
      </c>
      <c r="R120" s="231">
        <v>0</v>
      </c>
      <c r="S120" s="231">
        <v>0</v>
      </c>
      <c r="T120" s="231">
        <v>0</v>
      </c>
      <c r="U120" s="231">
        <v>0</v>
      </c>
      <c r="V120" s="231">
        <v>0</v>
      </c>
      <c r="W120" s="231">
        <v>0</v>
      </c>
      <c r="X120" s="231">
        <v>0</v>
      </c>
      <c r="Y120" s="231">
        <v>0</v>
      </c>
      <c r="Z120" s="231">
        <v>362936</v>
      </c>
      <c r="AA120" s="231">
        <v>0</v>
      </c>
      <c r="AB120" s="231">
        <v>0</v>
      </c>
      <c r="AC120" s="231">
        <v>0</v>
      </c>
      <c r="AD120" s="231">
        <v>0</v>
      </c>
      <c r="AE120" s="231">
        <v>0</v>
      </c>
      <c r="AF120" s="231">
        <v>0</v>
      </c>
      <c r="AG120" s="231">
        <v>0</v>
      </c>
      <c r="AH120" s="231">
        <v>4047</v>
      </c>
      <c r="AI120" s="231">
        <v>0</v>
      </c>
      <c r="AJ120" s="231">
        <v>0</v>
      </c>
      <c r="AK120" s="231">
        <v>0</v>
      </c>
      <c r="AL120" s="231">
        <v>0</v>
      </c>
      <c r="AM120" s="231">
        <v>53048</v>
      </c>
      <c r="AN120" s="231">
        <v>0</v>
      </c>
    </row>
    <row r="121" spans="3:40" x14ac:dyDescent="0.3">
      <c r="C121" s="231">
        <v>28</v>
      </c>
      <c r="D121" s="231">
        <v>11</v>
      </c>
      <c r="E121" s="231">
        <v>7</v>
      </c>
      <c r="F121" s="231">
        <v>0</v>
      </c>
      <c r="G121" s="231">
        <v>0</v>
      </c>
      <c r="H121" s="231">
        <v>0</v>
      </c>
      <c r="I121" s="231">
        <v>0</v>
      </c>
      <c r="J121" s="231">
        <v>0</v>
      </c>
      <c r="K121" s="231">
        <v>0</v>
      </c>
      <c r="L121" s="231">
        <v>0</v>
      </c>
      <c r="M121" s="231">
        <v>0</v>
      </c>
      <c r="N121" s="231">
        <v>0</v>
      </c>
      <c r="O121" s="231">
        <v>0</v>
      </c>
      <c r="P121" s="231">
        <v>0</v>
      </c>
      <c r="Q121" s="231">
        <v>0</v>
      </c>
      <c r="R121" s="231">
        <v>0</v>
      </c>
      <c r="S121" s="231">
        <v>0</v>
      </c>
      <c r="T121" s="231">
        <v>0</v>
      </c>
      <c r="U121" s="231">
        <v>0</v>
      </c>
      <c r="V121" s="231">
        <v>0</v>
      </c>
      <c r="W121" s="231">
        <v>0</v>
      </c>
      <c r="X121" s="231">
        <v>0</v>
      </c>
      <c r="Y121" s="231">
        <v>0</v>
      </c>
      <c r="Z121" s="231">
        <v>0</v>
      </c>
      <c r="AA121" s="231">
        <v>0</v>
      </c>
      <c r="AB121" s="231">
        <v>0</v>
      </c>
      <c r="AC121" s="231">
        <v>0</v>
      </c>
      <c r="AD121" s="231">
        <v>0</v>
      </c>
      <c r="AE121" s="231">
        <v>0</v>
      </c>
      <c r="AF121" s="231">
        <v>0</v>
      </c>
      <c r="AG121" s="231">
        <v>0</v>
      </c>
      <c r="AH121" s="231">
        <v>0</v>
      </c>
      <c r="AI121" s="231">
        <v>0</v>
      </c>
      <c r="AJ121" s="231">
        <v>0</v>
      </c>
      <c r="AK121" s="231">
        <v>0</v>
      </c>
      <c r="AL121" s="231">
        <v>0</v>
      </c>
      <c r="AM121" s="231">
        <v>0</v>
      </c>
      <c r="AN121" s="231">
        <v>0</v>
      </c>
    </row>
    <row r="122" spans="3:40" x14ac:dyDescent="0.3">
      <c r="C122" s="231">
        <v>28</v>
      </c>
      <c r="D122" s="231">
        <v>11</v>
      </c>
      <c r="E122" s="231">
        <v>8</v>
      </c>
      <c r="F122" s="231">
        <v>0</v>
      </c>
      <c r="G122" s="231">
        <v>0</v>
      </c>
      <c r="H122" s="231">
        <v>0</v>
      </c>
      <c r="I122" s="231">
        <v>0</v>
      </c>
      <c r="J122" s="231">
        <v>0</v>
      </c>
      <c r="K122" s="231">
        <v>0</v>
      </c>
      <c r="L122" s="231">
        <v>0</v>
      </c>
      <c r="M122" s="231">
        <v>0</v>
      </c>
      <c r="N122" s="231">
        <v>0</v>
      </c>
      <c r="O122" s="231">
        <v>0</v>
      </c>
      <c r="P122" s="231">
        <v>0</v>
      </c>
      <c r="Q122" s="231">
        <v>0</v>
      </c>
      <c r="R122" s="231">
        <v>0</v>
      </c>
      <c r="S122" s="231">
        <v>0</v>
      </c>
      <c r="T122" s="231">
        <v>0</v>
      </c>
      <c r="U122" s="231">
        <v>0</v>
      </c>
      <c r="V122" s="231">
        <v>0</v>
      </c>
      <c r="W122" s="231">
        <v>0</v>
      </c>
      <c r="X122" s="231">
        <v>0</v>
      </c>
      <c r="Y122" s="231">
        <v>0</v>
      </c>
      <c r="Z122" s="231">
        <v>0</v>
      </c>
      <c r="AA122" s="231">
        <v>0</v>
      </c>
      <c r="AB122" s="231">
        <v>0</v>
      </c>
      <c r="AC122" s="231">
        <v>0</v>
      </c>
      <c r="AD122" s="231">
        <v>0</v>
      </c>
      <c r="AE122" s="231">
        <v>0</v>
      </c>
      <c r="AF122" s="231">
        <v>0</v>
      </c>
      <c r="AG122" s="231">
        <v>0</v>
      </c>
      <c r="AH122" s="231">
        <v>0</v>
      </c>
      <c r="AI122" s="231">
        <v>0</v>
      </c>
      <c r="AJ122" s="231">
        <v>0</v>
      </c>
      <c r="AK122" s="231">
        <v>0</v>
      </c>
      <c r="AL122" s="231">
        <v>0</v>
      </c>
      <c r="AM122" s="231">
        <v>0</v>
      </c>
      <c r="AN122" s="231">
        <v>0</v>
      </c>
    </row>
    <row r="123" spans="3:40" x14ac:dyDescent="0.3">
      <c r="C123" s="231">
        <v>28</v>
      </c>
      <c r="D123" s="231">
        <v>11</v>
      </c>
      <c r="E123" s="231">
        <v>9</v>
      </c>
      <c r="F123" s="231">
        <v>482792</v>
      </c>
      <c r="G123" s="231">
        <v>0</v>
      </c>
      <c r="H123" s="231">
        <v>229941</v>
      </c>
      <c r="I123" s="231">
        <v>0</v>
      </c>
      <c r="J123" s="231">
        <v>0</v>
      </c>
      <c r="K123" s="231">
        <v>50310</v>
      </c>
      <c r="L123" s="231">
        <v>0</v>
      </c>
      <c r="M123" s="231">
        <v>0</v>
      </c>
      <c r="N123" s="231">
        <v>72430</v>
      </c>
      <c r="O123" s="231">
        <v>0</v>
      </c>
      <c r="P123" s="231">
        <v>0</v>
      </c>
      <c r="Q123" s="231">
        <v>0</v>
      </c>
      <c r="R123" s="231">
        <v>0</v>
      </c>
      <c r="S123" s="231">
        <v>0</v>
      </c>
      <c r="T123" s="231">
        <v>0</v>
      </c>
      <c r="U123" s="231">
        <v>0</v>
      </c>
      <c r="V123" s="231">
        <v>0</v>
      </c>
      <c r="W123" s="231">
        <v>0</v>
      </c>
      <c r="X123" s="231">
        <v>0</v>
      </c>
      <c r="Y123" s="231">
        <v>0</v>
      </c>
      <c r="Z123" s="231">
        <v>110633</v>
      </c>
      <c r="AA123" s="231">
        <v>0</v>
      </c>
      <c r="AB123" s="231">
        <v>0</v>
      </c>
      <c r="AC123" s="231">
        <v>0</v>
      </c>
      <c r="AD123" s="231">
        <v>0</v>
      </c>
      <c r="AE123" s="231">
        <v>0</v>
      </c>
      <c r="AF123" s="231">
        <v>0</v>
      </c>
      <c r="AG123" s="231">
        <v>0</v>
      </c>
      <c r="AH123" s="231">
        <v>4047</v>
      </c>
      <c r="AI123" s="231">
        <v>0</v>
      </c>
      <c r="AJ123" s="231">
        <v>0</v>
      </c>
      <c r="AK123" s="231">
        <v>0</v>
      </c>
      <c r="AL123" s="231">
        <v>0</v>
      </c>
      <c r="AM123" s="231">
        <v>15431</v>
      </c>
      <c r="AN123" s="231">
        <v>0</v>
      </c>
    </row>
    <row r="124" spans="3:40" x14ac:dyDescent="0.3">
      <c r="C124" s="231">
        <v>28</v>
      </c>
      <c r="D124" s="231">
        <v>11</v>
      </c>
      <c r="E124" s="231">
        <v>10</v>
      </c>
      <c r="F124" s="231">
        <v>11300</v>
      </c>
      <c r="G124" s="231">
        <v>0</v>
      </c>
      <c r="H124" s="231">
        <v>10800</v>
      </c>
      <c r="I124" s="231">
        <v>0</v>
      </c>
      <c r="J124" s="231">
        <v>0</v>
      </c>
      <c r="K124" s="231">
        <v>500</v>
      </c>
      <c r="L124" s="231">
        <v>0</v>
      </c>
      <c r="M124" s="231">
        <v>0</v>
      </c>
      <c r="N124" s="231">
        <v>0</v>
      </c>
      <c r="O124" s="231">
        <v>0</v>
      </c>
      <c r="P124" s="231">
        <v>0</v>
      </c>
      <c r="Q124" s="231">
        <v>0</v>
      </c>
      <c r="R124" s="231">
        <v>0</v>
      </c>
      <c r="S124" s="231">
        <v>0</v>
      </c>
      <c r="T124" s="231">
        <v>0</v>
      </c>
      <c r="U124" s="231">
        <v>0</v>
      </c>
      <c r="V124" s="231">
        <v>0</v>
      </c>
      <c r="W124" s="231">
        <v>0</v>
      </c>
      <c r="X124" s="231">
        <v>0</v>
      </c>
      <c r="Y124" s="231">
        <v>0</v>
      </c>
      <c r="Z124" s="231">
        <v>0</v>
      </c>
      <c r="AA124" s="231">
        <v>0</v>
      </c>
      <c r="AB124" s="231">
        <v>0</v>
      </c>
      <c r="AC124" s="231">
        <v>0</v>
      </c>
      <c r="AD124" s="231">
        <v>0</v>
      </c>
      <c r="AE124" s="231">
        <v>0</v>
      </c>
      <c r="AF124" s="231">
        <v>0</v>
      </c>
      <c r="AG124" s="231">
        <v>0</v>
      </c>
      <c r="AH124" s="231">
        <v>0</v>
      </c>
      <c r="AI124" s="231">
        <v>0</v>
      </c>
      <c r="AJ124" s="231">
        <v>0</v>
      </c>
      <c r="AK124" s="231">
        <v>0</v>
      </c>
      <c r="AL124" s="231">
        <v>0</v>
      </c>
      <c r="AM124" s="231">
        <v>0</v>
      </c>
      <c r="AN124" s="231">
        <v>0</v>
      </c>
    </row>
    <row r="125" spans="3:40" x14ac:dyDescent="0.3">
      <c r="C125" s="231">
        <v>28</v>
      </c>
      <c r="D125" s="231">
        <v>11</v>
      </c>
      <c r="E125" s="231">
        <v>11</v>
      </c>
      <c r="F125" s="231">
        <v>5883.25</v>
      </c>
      <c r="G125" s="231">
        <v>0</v>
      </c>
      <c r="H125" s="231">
        <v>1799.9166666666667</v>
      </c>
      <c r="I125" s="231">
        <v>0</v>
      </c>
      <c r="J125" s="231">
        <v>0</v>
      </c>
      <c r="K125" s="231">
        <v>4083.3333333333335</v>
      </c>
      <c r="L125" s="231">
        <v>0</v>
      </c>
      <c r="M125" s="231">
        <v>0</v>
      </c>
      <c r="N125" s="231">
        <v>0</v>
      </c>
      <c r="O125" s="231">
        <v>0</v>
      </c>
      <c r="P125" s="231">
        <v>0</v>
      </c>
      <c r="Q125" s="231">
        <v>0</v>
      </c>
      <c r="R125" s="231">
        <v>0</v>
      </c>
      <c r="S125" s="231">
        <v>0</v>
      </c>
      <c r="T125" s="231">
        <v>0</v>
      </c>
      <c r="U125" s="231">
        <v>0</v>
      </c>
      <c r="V125" s="231">
        <v>0</v>
      </c>
      <c r="W125" s="231">
        <v>0</v>
      </c>
      <c r="X125" s="231">
        <v>0</v>
      </c>
      <c r="Y125" s="231">
        <v>0</v>
      </c>
      <c r="Z125" s="231">
        <v>0</v>
      </c>
      <c r="AA125" s="231">
        <v>0</v>
      </c>
      <c r="AB125" s="231">
        <v>0</v>
      </c>
      <c r="AC125" s="231">
        <v>0</v>
      </c>
      <c r="AD125" s="231">
        <v>0</v>
      </c>
      <c r="AE125" s="231">
        <v>0</v>
      </c>
      <c r="AF125" s="231">
        <v>0</v>
      </c>
      <c r="AG125" s="231">
        <v>0</v>
      </c>
      <c r="AH125" s="231">
        <v>0</v>
      </c>
      <c r="AI125" s="231">
        <v>0</v>
      </c>
      <c r="AJ125" s="231">
        <v>0</v>
      </c>
      <c r="AK125" s="231">
        <v>0</v>
      </c>
      <c r="AL125" s="231">
        <v>0</v>
      </c>
      <c r="AM125" s="231">
        <v>0</v>
      </c>
      <c r="AN125" s="231">
        <v>0</v>
      </c>
    </row>
    <row r="126" spans="3:40" x14ac:dyDescent="0.3">
      <c r="C126" s="231">
        <v>28</v>
      </c>
      <c r="D126" s="231">
        <v>12</v>
      </c>
      <c r="E126" s="231">
        <v>1</v>
      </c>
      <c r="F126" s="231">
        <v>26.3</v>
      </c>
      <c r="G126" s="231">
        <v>0</v>
      </c>
      <c r="H126" s="231">
        <v>5.7</v>
      </c>
      <c r="I126" s="231">
        <v>0</v>
      </c>
      <c r="J126" s="231">
        <v>0</v>
      </c>
      <c r="K126" s="231">
        <v>2.5</v>
      </c>
      <c r="L126" s="231">
        <v>0</v>
      </c>
      <c r="M126" s="231">
        <v>0</v>
      </c>
      <c r="N126" s="231">
        <v>6.5</v>
      </c>
      <c r="O126" s="231">
        <v>0</v>
      </c>
      <c r="P126" s="231">
        <v>0</v>
      </c>
      <c r="Q126" s="231">
        <v>0</v>
      </c>
      <c r="R126" s="231">
        <v>0</v>
      </c>
      <c r="S126" s="231">
        <v>0</v>
      </c>
      <c r="T126" s="231">
        <v>0</v>
      </c>
      <c r="U126" s="231">
        <v>0</v>
      </c>
      <c r="V126" s="231">
        <v>0</v>
      </c>
      <c r="W126" s="231">
        <v>0</v>
      </c>
      <c r="X126" s="231">
        <v>0</v>
      </c>
      <c r="Y126" s="231">
        <v>0</v>
      </c>
      <c r="Z126" s="231">
        <v>8.8000000000000007</v>
      </c>
      <c r="AA126" s="231">
        <v>0</v>
      </c>
      <c r="AB126" s="231">
        <v>0</v>
      </c>
      <c r="AC126" s="231">
        <v>0</v>
      </c>
      <c r="AD126" s="231">
        <v>0</v>
      </c>
      <c r="AE126" s="231">
        <v>0</v>
      </c>
      <c r="AF126" s="231">
        <v>0</v>
      </c>
      <c r="AG126" s="231">
        <v>0</v>
      </c>
      <c r="AH126" s="231">
        <v>1</v>
      </c>
      <c r="AI126" s="231">
        <v>0</v>
      </c>
      <c r="AJ126" s="231">
        <v>0</v>
      </c>
      <c r="AK126" s="231">
        <v>0</v>
      </c>
      <c r="AL126" s="231">
        <v>0</v>
      </c>
      <c r="AM126" s="231">
        <v>1.8</v>
      </c>
      <c r="AN126" s="231">
        <v>0</v>
      </c>
    </row>
    <row r="127" spans="3:40" x14ac:dyDescent="0.3">
      <c r="C127" s="231">
        <v>28</v>
      </c>
      <c r="D127" s="231">
        <v>12</v>
      </c>
      <c r="E127" s="231">
        <v>2</v>
      </c>
      <c r="F127" s="231">
        <v>3732</v>
      </c>
      <c r="G127" s="231">
        <v>0</v>
      </c>
      <c r="H127" s="231">
        <v>827.2</v>
      </c>
      <c r="I127" s="231">
        <v>0</v>
      </c>
      <c r="J127" s="231">
        <v>0</v>
      </c>
      <c r="K127" s="231">
        <v>392</v>
      </c>
      <c r="L127" s="231">
        <v>0</v>
      </c>
      <c r="M127" s="231">
        <v>0</v>
      </c>
      <c r="N127" s="231">
        <v>948</v>
      </c>
      <c r="O127" s="231">
        <v>0</v>
      </c>
      <c r="P127" s="231">
        <v>0</v>
      </c>
      <c r="Q127" s="231">
        <v>0</v>
      </c>
      <c r="R127" s="231">
        <v>0</v>
      </c>
      <c r="S127" s="231">
        <v>0</v>
      </c>
      <c r="T127" s="231">
        <v>0</v>
      </c>
      <c r="U127" s="231">
        <v>0</v>
      </c>
      <c r="V127" s="231">
        <v>0</v>
      </c>
      <c r="W127" s="231">
        <v>0</v>
      </c>
      <c r="X127" s="231">
        <v>0</v>
      </c>
      <c r="Y127" s="231">
        <v>0</v>
      </c>
      <c r="Z127" s="231">
        <v>1248</v>
      </c>
      <c r="AA127" s="231">
        <v>0</v>
      </c>
      <c r="AB127" s="231">
        <v>0</v>
      </c>
      <c r="AC127" s="231">
        <v>0</v>
      </c>
      <c r="AD127" s="231">
        <v>0</v>
      </c>
      <c r="AE127" s="231">
        <v>0</v>
      </c>
      <c r="AF127" s="231">
        <v>0</v>
      </c>
      <c r="AG127" s="231">
        <v>0</v>
      </c>
      <c r="AH127" s="231">
        <v>0</v>
      </c>
      <c r="AI127" s="231">
        <v>0</v>
      </c>
      <c r="AJ127" s="231">
        <v>0</v>
      </c>
      <c r="AK127" s="231">
        <v>0</v>
      </c>
      <c r="AL127" s="231">
        <v>0</v>
      </c>
      <c r="AM127" s="231">
        <v>316.8</v>
      </c>
      <c r="AN127" s="231">
        <v>0</v>
      </c>
    </row>
    <row r="128" spans="3:40" x14ac:dyDescent="0.3">
      <c r="C128" s="231">
        <v>28</v>
      </c>
      <c r="D128" s="231">
        <v>12</v>
      </c>
      <c r="E128" s="231">
        <v>3</v>
      </c>
      <c r="F128" s="231">
        <v>0</v>
      </c>
      <c r="G128" s="231">
        <v>0</v>
      </c>
      <c r="H128" s="231">
        <v>0</v>
      </c>
      <c r="I128" s="231">
        <v>0</v>
      </c>
      <c r="J128" s="231">
        <v>0</v>
      </c>
      <c r="K128" s="231">
        <v>0</v>
      </c>
      <c r="L128" s="231">
        <v>0</v>
      </c>
      <c r="M128" s="231">
        <v>0</v>
      </c>
      <c r="N128" s="231">
        <v>0</v>
      </c>
      <c r="O128" s="231">
        <v>0</v>
      </c>
      <c r="P128" s="231">
        <v>0</v>
      </c>
      <c r="Q128" s="231">
        <v>0</v>
      </c>
      <c r="R128" s="231">
        <v>0</v>
      </c>
      <c r="S128" s="231">
        <v>0</v>
      </c>
      <c r="T128" s="231">
        <v>0</v>
      </c>
      <c r="U128" s="231">
        <v>0</v>
      </c>
      <c r="V128" s="231">
        <v>0</v>
      </c>
      <c r="W128" s="231">
        <v>0</v>
      </c>
      <c r="X128" s="231">
        <v>0</v>
      </c>
      <c r="Y128" s="231">
        <v>0</v>
      </c>
      <c r="Z128" s="231">
        <v>0</v>
      </c>
      <c r="AA128" s="231">
        <v>0</v>
      </c>
      <c r="AB128" s="231">
        <v>0</v>
      </c>
      <c r="AC128" s="231">
        <v>0</v>
      </c>
      <c r="AD128" s="231">
        <v>0</v>
      </c>
      <c r="AE128" s="231">
        <v>0</v>
      </c>
      <c r="AF128" s="231">
        <v>0</v>
      </c>
      <c r="AG128" s="231">
        <v>0</v>
      </c>
      <c r="AH128" s="231">
        <v>0</v>
      </c>
      <c r="AI128" s="231">
        <v>0</v>
      </c>
      <c r="AJ128" s="231">
        <v>0</v>
      </c>
      <c r="AK128" s="231">
        <v>0</v>
      </c>
      <c r="AL128" s="231">
        <v>0</v>
      </c>
      <c r="AM128" s="231">
        <v>0</v>
      </c>
      <c r="AN128" s="231">
        <v>0</v>
      </c>
    </row>
    <row r="129" spans="3:40" x14ac:dyDescent="0.3">
      <c r="C129" s="231">
        <v>28</v>
      </c>
      <c r="D129" s="231">
        <v>12</v>
      </c>
      <c r="E129" s="231">
        <v>4</v>
      </c>
      <c r="F129" s="231">
        <v>0</v>
      </c>
      <c r="G129" s="231">
        <v>0</v>
      </c>
      <c r="H129" s="231">
        <v>0</v>
      </c>
      <c r="I129" s="231">
        <v>0</v>
      </c>
      <c r="J129" s="231">
        <v>0</v>
      </c>
      <c r="K129" s="231">
        <v>0</v>
      </c>
      <c r="L129" s="231">
        <v>0</v>
      </c>
      <c r="M129" s="231">
        <v>0</v>
      </c>
      <c r="N129" s="231">
        <v>0</v>
      </c>
      <c r="O129" s="231">
        <v>0</v>
      </c>
      <c r="P129" s="231">
        <v>0</v>
      </c>
      <c r="Q129" s="231">
        <v>0</v>
      </c>
      <c r="R129" s="231">
        <v>0</v>
      </c>
      <c r="S129" s="231">
        <v>0</v>
      </c>
      <c r="T129" s="231">
        <v>0</v>
      </c>
      <c r="U129" s="231">
        <v>0</v>
      </c>
      <c r="V129" s="231">
        <v>0</v>
      </c>
      <c r="W129" s="231">
        <v>0</v>
      </c>
      <c r="X129" s="231">
        <v>0</v>
      </c>
      <c r="Y129" s="231">
        <v>0</v>
      </c>
      <c r="Z129" s="231">
        <v>0</v>
      </c>
      <c r="AA129" s="231">
        <v>0</v>
      </c>
      <c r="AB129" s="231">
        <v>0</v>
      </c>
      <c r="AC129" s="231">
        <v>0</v>
      </c>
      <c r="AD129" s="231">
        <v>0</v>
      </c>
      <c r="AE129" s="231">
        <v>0</v>
      </c>
      <c r="AF129" s="231">
        <v>0</v>
      </c>
      <c r="AG129" s="231">
        <v>0</v>
      </c>
      <c r="AH129" s="231">
        <v>0</v>
      </c>
      <c r="AI129" s="231">
        <v>0</v>
      </c>
      <c r="AJ129" s="231">
        <v>0</v>
      </c>
      <c r="AK129" s="231">
        <v>0</v>
      </c>
      <c r="AL129" s="231">
        <v>0</v>
      </c>
      <c r="AM129" s="231">
        <v>0</v>
      </c>
      <c r="AN129" s="231">
        <v>0</v>
      </c>
    </row>
    <row r="130" spans="3:40" x14ac:dyDescent="0.3">
      <c r="C130" s="231">
        <v>28</v>
      </c>
      <c r="D130" s="231">
        <v>12</v>
      </c>
      <c r="E130" s="231">
        <v>5</v>
      </c>
      <c r="F130" s="231">
        <v>0</v>
      </c>
      <c r="G130" s="231">
        <v>0</v>
      </c>
      <c r="H130" s="231">
        <v>0</v>
      </c>
      <c r="I130" s="231">
        <v>0</v>
      </c>
      <c r="J130" s="231">
        <v>0</v>
      </c>
      <c r="K130" s="231">
        <v>0</v>
      </c>
      <c r="L130" s="231">
        <v>0</v>
      </c>
      <c r="M130" s="231">
        <v>0</v>
      </c>
      <c r="N130" s="231">
        <v>0</v>
      </c>
      <c r="O130" s="231">
        <v>0</v>
      </c>
      <c r="P130" s="231">
        <v>0</v>
      </c>
      <c r="Q130" s="231">
        <v>0</v>
      </c>
      <c r="R130" s="231">
        <v>0</v>
      </c>
      <c r="S130" s="231">
        <v>0</v>
      </c>
      <c r="T130" s="231">
        <v>0</v>
      </c>
      <c r="U130" s="231">
        <v>0</v>
      </c>
      <c r="V130" s="231">
        <v>0</v>
      </c>
      <c r="W130" s="231">
        <v>0</v>
      </c>
      <c r="X130" s="231">
        <v>0</v>
      </c>
      <c r="Y130" s="231">
        <v>0</v>
      </c>
      <c r="Z130" s="231">
        <v>0</v>
      </c>
      <c r="AA130" s="231">
        <v>0</v>
      </c>
      <c r="AB130" s="231">
        <v>0</v>
      </c>
      <c r="AC130" s="231">
        <v>0</v>
      </c>
      <c r="AD130" s="231">
        <v>0</v>
      </c>
      <c r="AE130" s="231">
        <v>0</v>
      </c>
      <c r="AF130" s="231">
        <v>0</v>
      </c>
      <c r="AG130" s="231">
        <v>0</v>
      </c>
      <c r="AH130" s="231">
        <v>0</v>
      </c>
      <c r="AI130" s="231">
        <v>0</v>
      </c>
      <c r="AJ130" s="231">
        <v>0</v>
      </c>
      <c r="AK130" s="231">
        <v>0</v>
      </c>
      <c r="AL130" s="231">
        <v>0</v>
      </c>
      <c r="AM130" s="231">
        <v>0</v>
      </c>
      <c r="AN130" s="231">
        <v>0</v>
      </c>
    </row>
    <row r="131" spans="3:40" x14ac:dyDescent="0.3">
      <c r="C131" s="231">
        <v>28</v>
      </c>
      <c r="D131" s="231">
        <v>12</v>
      </c>
      <c r="E131" s="231">
        <v>6</v>
      </c>
      <c r="F131" s="231">
        <v>924829</v>
      </c>
      <c r="G131" s="231">
        <v>0</v>
      </c>
      <c r="H131" s="231">
        <v>370814</v>
      </c>
      <c r="I131" s="231">
        <v>0</v>
      </c>
      <c r="J131" s="231">
        <v>0</v>
      </c>
      <c r="K131" s="231">
        <v>80137</v>
      </c>
      <c r="L131" s="231">
        <v>0</v>
      </c>
      <c r="M131" s="231">
        <v>0</v>
      </c>
      <c r="N131" s="231">
        <v>166903</v>
      </c>
      <c r="O131" s="231">
        <v>0</v>
      </c>
      <c r="P131" s="231">
        <v>0</v>
      </c>
      <c r="Q131" s="231">
        <v>0</v>
      </c>
      <c r="R131" s="231">
        <v>0</v>
      </c>
      <c r="S131" s="231">
        <v>0</v>
      </c>
      <c r="T131" s="231">
        <v>0</v>
      </c>
      <c r="U131" s="231">
        <v>0</v>
      </c>
      <c r="V131" s="231">
        <v>0</v>
      </c>
      <c r="W131" s="231">
        <v>0</v>
      </c>
      <c r="X131" s="231">
        <v>0</v>
      </c>
      <c r="Y131" s="231">
        <v>0</v>
      </c>
      <c r="Z131" s="231">
        <v>267142</v>
      </c>
      <c r="AA131" s="231">
        <v>0</v>
      </c>
      <c r="AB131" s="231">
        <v>0</v>
      </c>
      <c r="AC131" s="231">
        <v>0</v>
      </c>
      <c r="AD131" s="231">
        <v>0</v>
      </c>
      <c r="AE131" s="231">
        <v>0</v>
      </c>
      <c r="AF131" s="231">
        <v>0</v>
      </c>
      <c r="AG131" s="231">
        <v>0</v>
      </c>
      <c r="AH131" s="231">
        <v>0</v>
      </c>
      <c r="AI131" s="231">
        <v>0</v>
      </c>
      <c r="AJ131" s="231">
        <v>0</v>
      </c>
      <c r="AK131" s="231">
        <v>0</v>
      </c>
      <c r="AL131" s="231">
        <v>0</v>
      </c>
      <c r="AM131" s="231">
        <v>39833</v>
      </c>
      <c r="AN131" s="231">
        <v>0</v>
      </c>
    </row>
    <row r="132" spans="3:40" x14ac:dyDescent="0.3">
      <c r="C132" s="231">
        <v>28</v>
      </c>
      <c r="D132" s="231">
        <v>12</v>
      </c>
      <c r="E132" s="231">
        <v>7</v>
      </c>
      <c r="F132" s="231">
        <v>0</v>
      </c>
      <c r="G132" s="231">
        <v>0</v>
      </c>
      <c r="H132" s="231">
        <v>0</v>
      </c>
      <c r="I132" s="231">
        <v>0</v>
      </c>
      <c r="J132" s="231">
        <v>0</v>
      </c>
      <c r="K132" s="231">
        <v>0</v>
      </c>
      <c r="L132" s="231">
        <v>0</v>
      </c>
      <c r="M132" s="231">
        <v>0</v>
      </c>
      <c r="N132" s="231">
        <v>0</v>
      </c>
      <c r="O132" s="231">
        <v>0</v>
      </c>
      <c r="P132" s="231">
        <v>0</v>
      </c>
      <c r="Q132" s="231">
        <v>0</v>
      </c>
      <c r="R132" s="231">
        <v>0</v>
      </c>
      <c r="S132" s="231">
        <v>0</v>
      </c>
      <c r="T132" s="231">
        <v>0</v>
      </c>
      <c r="U132" s="231">
        <v>0</v>
      </c>
      <c r="V132" s="231">
        <v>0</v>
      </c>
      <c r="W132" s="231">
        <v>0</v>
      </c>
      <c r="X132" s="231">
        <v>0</v>
      </c>
      <c r="Y132" s="231">
        <v>0</v>
      </c>
      <c r="Z132" s="231">
        <v>0</v>
      </c>
      <c r="AA132" s="231">
        <v>0</v>
      </c>
      <c r="AB132" s="231">
        <v>0</v>
      </c>
      <c r="AC132" s="231">
        <v>0</v>
      </c>
      <c r="AD132" s="231">
        <v>0</v>
      </c>
      <c r="AE132" s="231">
        <v>0</v>
      </c>
      <c r="AF132" s="231">
        <v>0</v>
      </c>
      <c r="AG132" s="231">
        <v>0</v>
      </c>
      <c r="AH132" s="231">
        <v>0</v>
      </c>
      <c r="AI132" s="231">
        <v>0</v>
      </c>
      <c r="AJ132" s="231">
        <v>0</v>
      </c>
      <c r="AK132" s="231">
        <v>0</v>
      </c>
      <c r="AL132" s="231">
        <v>0</v>
      </c>
      <c r="AM132" s="231">
        <v>0</v>
      </c>
      <c r="AN132" s="231">
        <v>0</v>
      </c>
    </row>
    <row r="133" spans="3:40" x14ac:dyDescent="0.3">
      <c r="C133" s="231">
        <v>28</v>
      </c>
      <c r="D133" s="231">
        <v>12</v>
      </c>
      <c r="E133" s="231">
        <v>8</v>
      </c>
      <c r="F133" s="231">
        <v>0</v>
      </c>
      <c r="G133" s="231">
        <v>0</v>
      </c>
      <c r="H133" s="231">
        <v>0</v>
      </c>
      <c r="I133" s="231">
        <v>0</v>
      </c>
      <c r="J133" s="231">
        <v>0</v>
      </c>
      <c r="K133" s="231">
        <v>0</v>
      </c>
      <c r="L133" s="231">
        <v>0</v>
      </c>
      <c r="M133" s="231">
        <v>0</v>
      </c>
      <c r="N133" s="231">
        <v>0</v>
      </c>
      <c r="O133" s="231">
        <v>0</v>
      </c>
      <c r="P133" s="231">
        <v>0</v>
      </c>
      <c r="Q133" s="231">
        <v>0</v>
      </c>
      <c r="R133" s="231">
        <v>0</v>
      </c>
      <c r="S133" s="231">
        <v>0</v>
      </c>
      <c r="T133" s="231">
        <v>0</v>
      </c>
      <c r="U133" s="231">
        <v>0</v>
      </c>
      <c r="V133" s="231">
        <v>0</v>
      </c>
      <c r="W133" s="231">
        <v>0</v>
      </c>
      <c r="X133" s="231">
        <v>0</v>
      </c>
      <c r="Y133" s="231">
        <v>0</v>
      </c>
      <c r="Z133" s="231">
        <v>0</v>
      </c>
      <c r="AA133" s="231">
        <v>0</v>
      </c>
      <c r="AB133" s="231">
        <v>0</v>
      </c>
      <c r="AC133" s="231">
        <v>0</v>
      </c>
      <c r="AD133" s="231">
        <v>0</v>
      </c>
      <c r="AE133" s="231">
        <v>0</v>
      </c>
      <c r="AF133" s="231">
        <v>0</v>
      </c>
      <c r="AG133" s="231">
        <v>0</v>
      </c>
      <c r="AH133" s="231">
        <v>0</v>
      </c>
      <c r="AI133" s="231">
        <v>0</v>
      </c>
      <c r="AJ133" s="231">
        <v>0</v>
      </c>
      <c r="AK133" s="231">
        <v>0</v>
      </c>
      <c r="AL133" s="231">
        <v>0</v>
      </c>
      <c r="AM133" s="231">
        <v>0</v>
      </c>
      <c r="AN133" s="231">
        <v>0</v>
      </c>
    </row>
    <row r="134" spans="3:40" x14ac:dyDescent="0.3">
      <c r="C134" s="231">
        <v>28</v>
      </c>
      <c r="D134" s="231">
        <v>12</v>
      </c>
      <c r="E134" s="231">
        <v>9</v>
      </c>
      <c r="F134" s="231">
        <v>11662</v>
      </c>
      <c r="G134" s="231">
        <v>660</v>
      </c>
      <c r="H134" s="231">
        <v>0</v>
      </c>
      <c r="I134" s="231">
        <v>0</v>
      </c>
      <c r="J134" s="231">
        <v>0</v>
      </c>
      <c r="K134" s="231">
        <v>0</v>
      </c>
      <c r="L134" s="231">
        <v>0</v>
      </c>
      <c r="M134" s="231">
        <v>0</v>
      </c>
      <c r="N134" s="231">
        <v>5180</v>
      </c>
      <c r="O134" s="231">
        <v>0</v>
      </c>
      <c r="P134" s="231">
        <v>0</v>
      </c>
      <c r="Q134" s="231">
        <v>0</v>
      </c>
      <c r="R134" s="231">
        <v>0</v>
      </c>
      <c r="S134" s="231">
        <v>0</v>
      </c>
      <c r="T134" s="231">
        <v>0</v>
      </c>
      <c r="U134" s="231">
        <v>0</v>
      </c>
      <c r="V134" s="231">
        <v>0</v>
      </c>
      <c r="W134" s="231">
        <v>0</v>
      </c>
      <c r="X134" s="231">
        <v>0</v>
      </c>
      <c r="Y134" s="231">
        <v>0</v>
      </c>
      <c r="Z134" s="231">
        <v>3960</v>
      </c>
      <c r="AA134" s="231">
        <v>0</v>
      </c>
      <c r="AB134" s="231">
        <v>0</v>
      </c>
      <c r="AC134" s="231">
        <v>0</v>
      </c>
      <c r="AD134" s="231">
        <v>0</v>
      </c>
      <c r="AE134" s="231">
        <v>0</v>
      </c>
      <c r="AF134" s="231">
        <v>0</v>
      </c>
      <c r="AG134" s="231">
        <v>0</v>
      </c>
      <c r="AH134" s="231">
        <v>0</v>
      </c>
      <c r="AI134" s="231">
        <v>0</v>
      </c>
      <c r="AJ134" s="231">
        <v>0</v>
      </c>
      <c r="AK134" s="231">
        <v>0</v>
      </c>
      <c r="AL134" s="231">
        <v>0</v>
      </c>
      <c r="AM134" s="231">
        <v>1862</v>
      </c>
      <c r="AN134" s="231">
        <v>0</v>
      </c>
    </row>
    <row r="135" spans="3:40" x14ac:dyDescent="0.3">
      <c r="C135" s="231">
        <v>28</v>
      </c>
      <c r="D135" s="231">
        <v>12</v>
      </c>
      <c r="E135" s="231">
        <v>10</v>
      </c>
      <c r="F135" s="231">
        <v>1800</v>
      </c>
      <c r="G135" s="231">
        <v>0</v>
      </c>
      <c r="H135" s="231">
        <v>1800</v>
      </c>
      <c r="I135" s="231">
        <v>0</v>
      </c>
      <c r="J135" s="231">
        <v>0</v>
      </c>
      <c r="K135" s="231">
        <v>0</v>
      </c>
      <c r="L135" s="231">
        <v>0</v>
      </c>
      <c r="M135" s="231">
        <v>0</v>
      </c>
      <c r="N135" s="231">
        <v>0</v>
      </c>
      <c r="O135" s="231">
        <v>0</v>
      </c>
      <c r="P135" s="231">
        <v>0</v>
      </c>
      <c r="Q135" s="231">
        <v>0</v>
      </c>
      <c r="R135" s="231">
        <v>0</v>
      </c>
      <c r="S135" s="231">
        <v>0</v>
      </c>
      <c r="T135" s="231">
        <v>0</v>
      </c>
      <c r="U135" s="231">
        <v>0</v>
      </c>
      <c r="V135" s="231">
        <v>0</v>
      </c>
      <c r="W135" s="231">
        <v>0</v>
      </c>
      <c r="X135" s="231">
        <v>0</v>
      </c>
      <c r="Y135" s="231">
        <v>0</v>
      </c>
      <c r="Z135" s="231">
        <v>0</v>
      </c>
      <c r="AA135" s="231">
        <v>0</v>
      </c>
      <c r="AB135" s="231">
        <v>0</v>
      </c>
      <c r="AC135" s="231">
        <v>0</v>
      </c>
      <c r="AD135" s="231">
        <v>0</v>
      </c>
      <c r="AE135" s="231">
        <v>0</v>
      </c>
      <c r="AF135" s="231">
        <v>0</v>
      </c>
      <c r="AG135" s="231">
        <v>0</v>
      </c>
      <c r="AH135" s="231">
        <v>0</v>
      </c>
      <c r="AI135" s="231">
        <v>0</v>
      </c>
      <c r="AJ135" s="231">
        <v>0</v>
      </c>
      <c r="AK135" s="231">
        <v>0</v>
      </c>
      <c r="AL135" s="231">
        <v>0</v>
      </c>
      <c r="AM135" s="231">
        <v>0</v>
      </c>
      <c r="AN135" s="231">
        <v>0</v>
      </c>
    </row>
    <row r="136" spans="3:40" x14ac:dyDescent="0.3">
      <c r="C136" s="231">
        <v>28</v>
      </c>
      <c r="D136" s="231">
        <v>12</v>
      </c>
      <c r="E136" s="231">
        <v>11</v>
      </c>
      <c r="F136" s="231">
        <v>5883.25</v>
      </c>
      <c r="G136" s="231">
        <v>0</v>
      </c>
      <c r="H136" s="231">
        <v>1799.9166666666667</v>
      </c>
      <c r="I136" s="231">
        <v>0</v>
      </c>
      <c r="J136" s="231">
        <v>0</v>
      </c>
      <c r="K136" s="231">
        <v>4083.3333333333335</v>
      </c>
      <c r="L136" s="231">
        <v>0</v>
      </c>
      <c r="M136" s="231">
        <v>0</v>
      </c>
      <c r="N136" s="231">
        <v>0</v>
      </c>
      <c r="O136" s="231">
        <v>0</v>
      </c>
      <c r="P136" s="231">
        <v>0</v>
      </c>
      <c r="Q136" s="231">
        <v>0</v>
      </c>
      <c r="R136" s="231">
        <v>0</v>
      </c>
      <c r="S136" s="231">
        <v>0</v>
      </c>
      <c r="T136" s="231">
        <v>0</v>
      </c>
      <c r="U136" s="231">
        <v>0</v>
      </c>
      <c r="V136" s="231">
        <v>0</v>
      </c>
      <c r="W136" s="231">
        <v>0</v>
      </c>
      <c r="X136" s="231">
        <v>0</v>
      </c>
      <c r="Y136" s="231">
        <v>0</v>
      </c>
      <c r="Z136" s="231">
        <v>0</v>
      </c>
      <c r="AA136" s="231">
        <v>0</v>
      </c>
      <c r="AB136" s="231">
        <v>0</v>
      </c>
      <c r="AC136" s="231">
        <v>0</v>
      </c>
      <c r="AD136" s="231">
        <v>0</v>
      </c>
      <c r="AE136" s="231">
        <v>0</v>
      </c>
      <c r="AF136" s="231">
        <v>0</v>
      </c>
      <c r="AG136" s="231">
        <v>0</v>
      </c>
      <c r="AH136" s="231">
        <v>0</v>
      </c>
      <c r="AI136" s="231">
        <v>0</v>
      </c>
      <c r="AJ136" s="231">
        <v>0</v>
      </c>
      <c r="AK136" s="231">
        <v>0</v>
      </c>
      <c r="AL136" s="231">
        <v>0</v>
      </c>
      <c r="AM136" s="231">
        <v>0</v>
      </c>
      <c r="AN136" s="231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2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5.4414062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1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1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1" customWidth="1"/>
    <col min="20" max="16384" width="8.88671875" style="130"/>
  </cols>
  <sheetData>
    <row r="1" spans="1:19" ht="18.600000000000001" customHeight="1" thickBot="1" x14ac:dyDescent="0.4">
      <c r="A1" s="397" t="s">
        <v>1344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</row>
    <row r="2" spans="1:19" ht="14.4" customHeight="1" thickBot="1" x14ac:dyDescent="0.35">
      <c r="A2" s="235" t="s">
        <v>281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14.4" customHeight="1" thickBot="1" x14ac:dyDescent="0.35">
      <c r="A3" s="221" t="s">
        <v>129</v>
      </c>
      <c r="B3" s="222">
        <f>SUBTOTAL(9,B6:B1048576)</f>
        <v>52060140</v>
      </c>
      <c r="C3" s="223">
        <f t="shared" ref="C3:R3" si="0">SUBTOTAL(9,C6:C1048576)</f>
        <v>4</v>
      </c>
      <c r="D3" s="223">
        <f t="shared" si="0"/>
        <v>56256218</v>
      </c>
      <c r="E3" s="223">
        <f t="shared" si="0"/>
        <v>3.7593375305026129</v>
      </c>
      <c r="F3" s="223">
        <f t="shared" si="0"/>
        <v>58789212</v>
      </c>
      <c r="G3" s="224">
        <f>IF(B3&lt;&gt;0,F3/B3,"")</f>
        <v>1.1292557415327735</v>
      </c>
      <c r="H3" s="225">
        <f t="shared" si="0"/>
        <v>39899.389999999992</v>
      </c>
      <c r="I3" s="223">
        <f t="shared" si="0"/>
        <v>2</v>
      </c>
      <c r="J3" s="223">
        <f t="shared" si="0"/>
        <v>45614.989999999991</v>
      </c>
      <c r="K3" s="223">
        <f t="shared" si="0"/>
        <v>3.1974903169741715</v>
      </c>
      <c r="L3" s="223">
        <f t="shared" si="0"/>
        <v>33713.199999999997</v>
      </c>
      <c r="M3" s="226">
        <f>IF(H3&lt;&gt;0,L3/H3,"")</f>
        <v>0.84495527375230561</v>
      </c>
      <c r="N3" s="222">
        <f t="shared" si="0"/>
        <v>0</v>
      </c>
      <c r="O3" s="223">
        <f t="shared" si="0"/>
        <v>0</v>
      </c>
      <c r="P3" s="223">
        <f t="shared" si="0"/>
        <v>0</v>
      </c>
      <c r="Q3" s="223">
        <f t="shared" si="0"/>
        <v>0</v>
      </c>
      <c r="R3" s="223">
        <f t="shared" si="0"/>
        <v>0</v>
      </c>
      <c r="S3" s="224" t="str">
        <f>IF(N3&lt;&gt;0,R3/N3,"")</f>
        <v/>
      </c>
    </row>
    <row r="4" spans="1:19" ht="14.4" customHeight="1" x14ac:dyDescent="0.3">
      <c r="A4" s="398" t="s">
        <v>99</v>
      </c>
      <c r="B4" s="399" t="s">
        <v>100</v>
      </c>
      <c r="C4" s="400"/>
      <c r="D4" s="400"/>
      <c r="E4" s="400"/>
      <c r="F4" s="400"/>
      <c r="G4" s="401"/>
      <c r="H4" s="399" t="s">
        <v>101</v>
      </c>
      <c r="I4" s="400"/>
      <c r="J4" s="400"/>
      <c r="K4" s="400"/>
      <c r="L4" s="400"/>
      <c r="M4" s="401"/>
      <c r="N4" s="399" t="s">
        <v>102</v>
      </c>
      <c r="O4" s="400"/>
      <c r="P4" s="400"/>
      <c r="Q4" s="400"/>
      <c r="R4" s="400"/>
      <c r="S4" s="401"/>
    </row>
    <row r="5" spans="1:19" ht="14.4" customHeight="1" thickBot="1" x14ac:dyDescent="0.35">
      <c r="A5" s="609"/>
      <c r="B5" s="610">
        <v>2012</v>
      </c>
      <c r="C5" s="611"/>
      <c r="D5" s="611">
        <v>2013</v>
      </c>
      <c r="E5" s="611"/>
      <c r="F5" s="611">
        <v>2014</v>
      </c>
      <c r="G5" s="612" t="s">
        <v>2</v>
      </c>
      <c r="H5" s="610">
        <v>2012</v>
      </c>
      <c r="I5" s="611"/>
      <c r="J5" s="611">
        <v>2013</v>
      </c>
      <c r="K5" s="611"/>
      <c r="L5" s="611">
        <v>2014</v>
      </c>
      <c r="M5" s="612" t="s">
        <v>2</v>
      </c>
      <c r="N5" s="610">
        <v>2012</v>
      </c>
      <c r="O5" s="611"/>
      <c r="P5" s="611">
        <v>2013</v>
      </c>
      <c r="Q5" s="611"/>
      <c r="R5" s="611">
        <v>2014</v>
      </c>
      <c r="S5" s="612" t="s">
        <v>2</v>
      </c>
    </row>
    <row r="6" spans="1:19" ht="14.4" customHeight="1" x14ac:dyDescent="0.3">
      <c r="A6" s="570" t="s">
        <v>1337</v>
      </c>
      <c r="B6" s="613">
        <v>9258968</v>
      </c>
      <c r="C6" s="539">
        <v>1</v>
      </c>
      <c r="D6" s="613">
        <v>9038949</v>
      </c>
      <c r="E6" s="539">
        <v>0.9762372005173795</v>
      </c>
      <c r="F6" s="613">
        <v>7557006</v>
      </c>
      <c r="G6" s="544">
        <v>0.8161823218311155</v>
      </c>
      <c r="H6" s="613">
        <v>7729.7999999999993</v>
      </c>
      <c r="I6" s="539">
        <v>1</v>
      </c>
      <c r="J6" s="613">
        <v>18106.03</v>
      </c>
      <c r="K6" s="539">
        <v>2.3423672022562032</v>
      </c>
      <c r="L6" s="613">
        <v>23163.499999999996</v>
      </c>
      <c r="M6" s="544">
        <v>2.9966493311599263</v>
      </c>
      <c r="N6" s="613"/>
      <c r="O6" s="539"/>
      <c r="P6" s="613"/>
      <c r="Q6" s="539"/>
      <c r="R6" s="613"/>
      <c r="S6" s="122"/>
    </row>
    <row r="7" spans="1:19" ht="14.4" customHeight="1" x14ac:dyDescent="0.3">
      <c r="A7" s="572" t="s">
        <v>1338</v>
      </c>
      <c r="B7" s="614">
        <v>14633</v>
      </c>
      <c r="C7" s="546">
        <v>1</v>
      </c>
      <c r="D7" s="614">
        <v>9632</v>
      </c>
      <c r="E7" s="546">
        <v>0.65823822866124515</v>
      </c>
      <c r="F7" s="614">
        <v>9296</v>
      </c>
      <c r="G7" s="551">
        <v>0.63527642998701561</v>
      </c>
      <c r="H7" s="614"/>
      <c r="I7" s="546"/>
      <c r="J7" s="614"/>
      <c r="K7" s="546"/>
      <c r="L7" s="614"/>
      <c r="M7" s="551"/>
      <c r="N7" s="614"/>
      <c r="O7" s="546"/>
      <c r="P7" s="614"/>
      <c r="Q7" s="546"/>
      <c r="R7" s="614"/>
      <c r="S7" s="552"/>
    </row>
    <row r="8" spans="1:19" ht="14.4" customHeight="1" x14ac:dyDescent="0.3">
      <c r="A8" s="572" t="s">
        <v>1339</v>
      </c>
      <c r="B8" s="614">
        <v>6006189</v>
      </c>
      <c r="C8" s="546">
        <v>1</v>
      </c>
      <c r="D8" s="614">
        <v>6039636</v>
      </c>
      <c r="E8" s="546">
        <v>1.005568755828363</v>
      </c>
      <c r="F8" s="614">
        <v>3083389</v>
      </c>
      <c r="G8" s="551">
        <v>0.51336862692799046</v>
      </c>
      <c r="H8" s="614">
        <v>32169.589999999993</v>
      </c>
      <c r="I8" s="546">
        <v>1</v>
      </c>
      <c r="J8" s="614">
        <v>27508.959999999992</v>
      </c>
      <c r="K8" s="546">
        <v>0.85512311471796809</v>
      </c>
      <c r="L8" s="614">
        <v>10549.7</v>
      </c>
      <c r="M8" s="551">
        <v>0.32794014471430949</v>
      </c>
      <c r="N8" s="614"/>
      <c r="O8" s="546"/>
      <c r="P8" s="614"/>
      <c r="Q8" s="546"/>
      <c r="R8" s="614"/>
      <c r="S8" s="552"/>
    </row>
    <row r="9" spans="1:19" ht="14.4" customHeight="1" thickBot="1" x14ac:dyDescent="0.35">
      <c r="A9" s="616" t="s">
        <v>1340</v>
      </c>
      <c r="B9" s="615">
        <v>36780350</v>
      </c>
      <c r="C9" s="554">
        <v>1</v>
      </c>
      <c r="D9" s="615">
        <v>41168001</v>
      </c>
      <c r="E9" s="554">
        <v>1.1192933454956246</v>
      </c>
      <c r="F9" s="615">
        <v>48139521</v>
      </c>
      <c r="G9" s="559">
        <v>1.3088380344395854</v>
      </c>
      <c r="H9" s="615"/>
      <c r="I9" s="554"/>
      <c r="J9" s="615"/>
      <c r="K9" s="554"/>
      <c r="L9" s="615"/>
      <c r="M9" s="559"/>
      <c r="N9" s="615"/>
      <c r="O9" s="554"/>
      <c r="P9" s="615"/>
      <c r="Q9" s="554"/>
      <c r="R9" s="615"/>
      <c r="S9" s="560"/>
    </row>
    <row r="10" spans="1:19" ht="14.4" customHeight="1" x14ac:dyDescent="0.3">
      <c r="A10" s="617" t="s">
        <v>1341</v>
      </c>
    </row>
    <row r="11" spans="1:19" ht="14.4" customHeight="1" x14ac:dyDescent="0.3">
      <c r="A11" s="618" t="s">
        <v>1342</v>
      </c>
    </row>
    <row r="12" spans="1:19" ht="14.4" customHeight="1" x14ac:dyDescent="0.3">
      <c r="A12" s="617" t="s">
        <v>1343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30" bestFit="1" customWidth="1"/>
    <col min="2" max="4" width="7.77734375" style="208" customWidth="1"/>
    <col min="5" max="7" width="7.77734375" style="106" customWidth="1"/>
    <col min="8" max="16384" width="8.88671875" style="130"/>
  </cols>
  <sheetData>
    <row r="1" spans="1:7" ht="18.600000000000001" customHeight="1" thickBot="1" x14ac:dyDescent="0.4">
      <c r="A1" s="397" t="s">
        <v>1354</v>
      </c>
      <c r="B1" s="325"/>
      <c r="C1" s="325"/>
      <c r="D1" s="325"/>
      <c r="E1" s="325"/>
      <c r="F1" s="325"/>
      <c r="G1" s="325"/>
    </row>
    <row r="2" spans="1:7" ht="14.4" customHeight="1" thickBot="1" x14ac:dyDescent="0.35">
      <c r="A2" s="235" t="s">
        <v>281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21" t="s">
        <v>129</v>
      </c>
      <c r="B3" s="315">
        <f t="shared" ref="B3:G3" si="0">SUBTOTAL(9,B6:B1048576)</f>
        <v>48157</v>
      </c>
      <c r="C3" s="316">
        <f t="shared" si="0"/>
        <v>54119</v>
      </c>
      <c r="D3" s="316">
        <f t="shared" si="0"/>
        <v>44235</v>
      </c>
      <c r="E3" s="225">
        <f t="shared" si="0"/>
        <v>52060140</v>
      </c>
      <c r="F3" s="223">
        <f t="shared" si="0"/>
        <v>56256218</v>
      </c>
      <c r="G3" s="317">
        <f t="shared" si="0"/>
        <v>58789212</v>
      </c>
    </row>
    <row r="4" spans="1:7" ht="14.4" customHeight="1" x14ac:dyDescent="0.3">
      <c r="A4" s="398" t="s">
        <v>137</v>
      </c>
      <c r="B4" s="399" t="s">
        <v>279</v>
      </c>
      <c r="C4" s="400"/>
      <c r="D4" s="400"/>
      <c r="E4" s="402" t="s">
        <v>100</v>
      </c>
      <c r="F4" s="403"/>
      <c r="G4" s="404"/>
    </row>
    <row r="5" spans="1:7" ht="14.4" customHeight="1" thickBot="1" x14ac:dyDescent="0.35">
      <c r="A5" s="609"/>
      <c r="B5" s="610">
        <v>2012</v>
      </c>
      <c r="C5" s="611">
        <v>2013</v>
      </c>
      <c r="D5" s="611">
        <v>2014</v>
      </c>
      <c r="E5" s="610">
        <v>2012</v>
      </c>
      <c r="F5" s="611">
        <v>2013</v>
      </c>
      <c r="G5" s="619">
        <v>2014</v>
      </c>
    </row>
    <row r="6" spans="1:7" ht="14.4" customHeight="1" x14ac:dyDescent="0.3">
      <c r="A6" s="570" t="s">
        <v>1345</v>
      </c>
      <c r="B6" s="116">
        <v>1</v>
      </c>
      <c r="C6" s="116"/>
      <c r="D6" s="116"/>
      <c r="E6" s="613">
        <v>323</v>
      </c>
      <c r="F6" s="613"/>
      <c r="G6" s="620"/>
    </row>
    <row r="7" spans="1:7" ht="14.4" customHeight="1" x14ac:dyDescent="0.3">
      <c r="A7" s="572" t="s">
        <v>1346</v>
      </c>
      <c r="B7" s="563"/>
      <c r="C7" s="563">
        <v>1</v>
      </c>
      <c r="D7" s="563"/>
      <c r="E7" s="614"/>
      <c r="F7" s="614">
        <v>323</v>
      </c>
      <c r="G7" s="621"/>
    </row>
    <row r="8" spans="1:7" ht="14.4" customHeight="1" x14ac:dyDescent="0.3">
      <c r="A8" s="572" t="s">
        <v>1347</v>
      </c>
      <c r="B8" s="563">
        <v>48066</v>
      </c>
      <c r="C8" s="563">
        <v>53776</v>
      </c>
      <c r="D8" s="563">
        <v>43431</v>
      </c>
      <c r="E8" s="614">
        <v>51960369</v>
      </c>
      <c r="F8" s="614">
        <v>56147685</v>
      </c>
      <c r="G8" s="621">
        <v>58526370</v>
      </c>
    </row>
    <row r="9" spans="1:7" ht="14.4" customHeight="1" x14ac:dyDescent="0.3">
      <c r="A9" s="572" t="s">
        <v>1348</v>
      </c>
      <c r="B9" s="563"/>
      <c r="C9" s="563">
        <v>311</v>
      </c>
      <c r="D9" s="563">
        <v>766</v>
      </c>
      <c r="E9" s="614"/>
      <c r="F9" s="614">
        <v>100453</v>
      </c>
      <c r="G9" s="621">
        <v>248611</v>
      </c>
    </row>
    <row r="10" spans="1:7" ht="14.4" customHeight="1" x14ac:dyDescent="0.3">
      <c r="A10" s="572" t="s">
        <v>694</v>
      </c>
      <c r="B10" s="563">
        <v>75</v>
      </c>
      <c r="C10" s="563">
        <v>22</v>
      </c>
      <c r="D10" s="563">
        <v>17</v>
      </c>
      <c r="E10" s="614">
        <v>94603</v>
      </c>
      <c r="F10" s="614">
        <v>4858</v>
      </c>
      <c r="G10" s="621">
        <v>7385</v>
      </c>
    </row>
    <row r="11" spans="1:7" ht="14.4" customHeight="1" x14ac:dyDescent="0.3">
      <c r="A11" s="572" t="s">
        <v>695</v>
      </c>
      <c r="B11" s="563"/>
      <c r="C11" s="563">
        <v>4</v>
      </c>
      <c r="D11" s="563"/>
      <c r="E11" s="614"/>
      <c r="F11" s="614">
        <v>1284</v>
      </c>
      <c r="G11" s="621"/>
    </row>
    <row r="12" spans="1:7" ht="14.4" customHeight="1" x14ac:dyDescent="0.3">
      <c r="A12" s="572" t="s">
        <v>1349</v>
      </c>
      <c r="B12" s="563"/>
      <c r="C12" s="563"/>
      <c r="D12" s="563">
        <v>21</v>
      </c>
      <c r="E12" s="614"/>
      <c r="F12" s="614"/>
      <c r="G12" s="621">
        <v>6846</v>
      </c>
    </row>
    <row r="13" spans="1:7" ht="14.4" customHeight="1" x14ac:dyDescent="0.3">
      <c r="A13" s="572" t="s">
        <v>1350</v>
      </c>
      <c r="B13" s="563">
        <v>9</v>
      </c>
      <c r="C13" s="563">
        <v>1</v>
      </c>
      <c r="D13" s="563"/>
      <c r="E13" s="614">
        <v>2907</v>
      </c>
      <c r="F13" s="614">
        <v>323</v>
      </c>
      <c r="G13" s="621"/>
    </row>
    <row r="14" spans="1:7" ht="14.4" customHeight="1" x14ac:dyDescent="0.3">
      <c r="A14" s="572" t="s">
        <v>1351</v>
      </c>
      <c r="B14" s="563">
        <v>2</v>
      </c>
      <c r="C14" s="563">
        <v>4</v>
      </c>
      <c r="D14" s="563"/>
      <c r="E14" s="614">
        <v>646</v>
      </c>
      <c r="F14" s="614">
        <v>1292</v>
      </c>
      <c r="G14" s="621"/>
    </row>
    <row r="15" spans="1:7" ht="14.4" customHeight="1" x14ac:dyDescent="0.3">
      <c r="A15" s="572" t="s">
        <v>1352</v>
      </c>
      <c r="B15" s="563">
        <v>1</v>
      </c>
      <c r="C15" s="563"/>
      <c r="D15" s="563"/>
      <c r="E15" s="614">
        <v>323</v>
      </c>
      <c r="F15" s="614"/>
      <c r="G15" s="621"/>
    </row>
    <row r="16" spans="1:7" ht="14.4" customHeight="1" thickBot="1" x14ac:dyDescent="0.35">
      <c r="A16" s="616" t="s">
        <v>1353</v>
      </c>
      <c r="B16" s="565">
        <v>3</v>
      </c>
      <c r="C16" s="565"/>
      <c r="D16" s="565"/>
      <c r="E16" s="615">
        <v>969</v>
      </c>
      <c r="F16" s="615"/>
      <c r="G16" s="622"/>
    </row>
    <row r="17" spans="1:1" ht="14.4" customHeight="1" x14ac:dyDescent="0.3">
      <c r="A17" s="617" t="s">
        <v>1341</v>
      </c>
    </row>
    <row r="18" spans="1:1" ht="14.4" customHeight="1" x14ac:dyDescent="0.3">
      <c r="A18" s="618" t="s">
        <v>1342</v>
      </c>
    </row>
    <row r="19" spans="1:1" ht="14.4" customHeight="1" x14ac:dyDescent="0.3">
      <c r="A19" s="617" t="s">
        <v>1343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67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130" bestFit="1" customWidth="1"/>
    <col min="2" max="2" width="2.109375" style="130" bestFit="1" customWidth="1"/>
    <col min="3" max="3" width="8" style="130" customWidth="1"/>
    <col min="4" max="4" width="50.88671875" style="130" bestFit="1" customWidth="1"/>
    <col min="5" max="6" width="11.109375" style="208" customWidth="1"/>
    <col min="7" max="8" width="9.33203125" style="130" hidden="1" customWidth="1"/>
    <col min="9" max="10" width="11.109375" style="208" customWidth="1"/>
    <col min="11" max="12" width="9.33203125" style="130" hidden="1" customWidth="1"/>
    <col min="13" max="14" width="11.109375" style="208" customWidth="1"/>
    <col min="15" max="15" width="11.109375" style="211" customWidth="1"/>
    <col min="16" max="16" width="11.109375" style="208" customWidth="1"/>
    <col min="17" max="16384" width="8.88671875" style="130"/>
  </cols>
  <sheetData>
    <row r="1" spans="1:16" ht="18.600000000000001" customHeight="1" thickBot="1" x14ac:dyDescent="0.4">
      <c r="A1" s="325" t="s">
        <v>1465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</row>
    <row r="2" spans="1:16" ht="14.4" customHeight="1" thickBot="1" x14ac:dyDescent="0.35">
      <c r="A2" s="235" t="s">
        <v>281</v>
      </c>
      <c r="B2" s="131"/>
      <c r="C2" s="314"/>
      <c r="D2" s="131"/>
      <c r="E2" s="229"/>
      <c r="F2" s="229"/>
      <c r="G2" s="131"/>
      <c r="H2" s="131"/>
      <c r="I2" s="229"/>
      <c r="J2" s="229"/>
      <c r="K2" s="131"/>
      <c r="L2" s="131"/>
      <c r="M2" s="229"/>
      <c r="N2" s="229"/>
      <c r="O2" s="230"/>
      <c r="P2" s="229"/>
    </row>
    <row r="3" spans="1:16" ht="14.4" customHeight="1" thickBot="1" x14ac:dyDescent="0.35">
      <c r="D3" s="87" t="s">
        <v>129</v>
      </c>
      <c r="E3" s="102">
        <f t="shared" ref="E3:N3" si="0">SUBTOTAL(9,E6:E1048576)</f>
        <v>48194</v>
      </c>
      <c r="F3" s="103">
        <f t="shared" si="0"/>
        <v>52100039.390000001</v>
      </c>
      <c r="G3" s="74"/>
      <c r="H3" s="74"/>
      <c r="I3" s="103">
        <f t="shared" si="0"/>
        <v>54154</v>
      </c>
      <c r="J3" s="103">
        <f t="shared" si="0"/>
        <v>56301832.989999995</v>
      </c>
      <c r="K3" s="74"/>
      <c r="L3" s="74"/>
      <c r="M3" s="103">
        <f t="shared" si="0"/>
        <v>44260</v>
      </c>
      <c r="N3" s="103">
        <f t="shared" si="0"/>
        <v>58822925.200000003</v>
      </c>
      <c r="O3" s="75">
        <f>IF(F3=0,0,N3/F3)</f>
        <v>1.1290380177964008</v>
      </c>
      <c r="P3" s="104">
        <f>IF(M3=0,0,N3/M3)</f>
        <v>1329.0312968820606</v>
      </c>
    </row>
    <row r="4" spans="1:16" ht="14.4" customHeight="1" x14ac:dyDescent="0.3">
      <c r="A4" s="406" t="s">
        <v>95</v>
      </c>
      <c r="B4" s="407" t="s">
        <v>96</v>
      </c>
      <c r="C4" s="412" t="s">
        <v>71</v>
      </c>
      <c r="D4" s="408" t="s">
        <v>70</v>
      </c>
      <c r="E4" s="409">
        <v>2012</v>
      </c>
      <c r="F4" s="410"/>
      <c r="G4" s="101"/>
      <c r="H4" s="101"/>
      <c r="I4" s="409">
        <v>2013</v>
      </c>
      <c r="J4" s="410"/>
      <c r="K4" s="101"/>
      <c r="L4" s="101"/>
      <c r="M4" s="409">
        <v>2014</v>
      </c>
      <c r="N4" s="410"/>
      <c r="O4" s="411" t="s">
        <v>2</v>
      </c>
      <c r="P4" s="405" t="s">
        <v>98</v>
      </c>
    </row>
    <row r="5" spans="1:16" ht="14.4" customHeight="1" thickBot="1" x14ac:dyDescent="0.35">
      <c r="A5" s="623"/>
      <c r="B5" s="624"/>
      <c r="C5" s="625"/>
      <c r="D5" s="626"/>
      <c r="E5" s="627" t="s">
        <v>72</v>
      </c>
      <c r="F5" s="628" t="s">
        <v>14</v>
      </c>
      <c r="G5" s="629"/>
      <c r="H5" s="629"/>
      <c r="I5" s="627" t="s">
        <v>72</v>
      </c>
      <c r="J5" s="628" t="s">
        <v>14</v>
      </c>
      <c r="K5" s="629"/>
      <c r="L5" s="629"/>
      <c r="M5" s="627" t="s">
        <v>72</v>
      </c>
      <c r="N5" s="628" t="s">
        <v>14</v>
      </c>
      <c r="O5" s="630"/>
      <c r="P5" s="631"/>
    </row>
    <row r="6" spans="1:16" ht="14.4" customHeight="1" x14ac:dyDescent="0.3">
      <c r="A6" s="538" t="s">
        <v>1355</v>
      </c>
      <c r="B6" s="539" t="s">
        <v>1356</v>
      </c>
      <c r="C6" s="539" t="s">
        <v>1357</v>
      </c>
      <c r="D6" s="539" t="s">
        <v>1358</v>
      </c>
      <c r="E6" s="116">
        <v>4</v>
      </c>
      <c r="F6" s="116">
        <v>5456.32</v>
      </c>
      <c r="G6" s="539">
        <v>1</v>
      </c>
      <c r="H6" s="539">
        <v>1364.08</v>
      </c>
      <c r="I6" s="116">
        <v>8</v>
      </c>
      <c r="J6" s="116">
        <v>10996.43</v>
      </c>
      <c r="K6" s="539">
        <v>2.01535650401736</v>
      </c>
      <c r="L6" s="539">
        <v>1374.55375</v>
      </c>
      <c r="M6" s="116"/>
      <c r="N6" s="116"/>
      <c r="O6" s="544"/>
      <c r="P6" s="562"/>
    </row>
    <row r="7" spans="1:16" ht="14.4" customHeight="1" x14ac:dyDescent="0.3">
      <c r="A7" s="545" t="s">
        <v>1355</v>
      </c>
      <c r="B7" s="546" t="s">
        <v>1356</v>
      </c>
      <c r="C7" s="546" t="s">
        <v>1359</v>
      </c>
      <c r="D7" s="546" t="s">
        <v>584</v>
      </c>
      <c r="E7" s="563">
        <v>2</v>
      </c>
      <c r="F7" s="563">
        <v>1136.74</v>
      </c>
      <c r="G7" s="546">
        <v>1</v>
      </c>
      <c r="H7" s="546">
        <v>568.37</v>
      </c>
      <c r="I7" s="563"/>
      <c r="J7" s="563"/>
      <c r="K7" s="546"/>
      <c r="L7" s="546"/>
      <c r="M7" s="563"/>
      <c r="N7" s="563"/>
      <c r="O7" s="551"/>
      <c r="P7" s="564"/>
    </row>
    <row r="8" spans="1:16" ht="14.4" customHeight="1" x14ac:dyDescent="0.3">
      <c r="A8" s="545" t="s">
        <v>1355</v>
      </c>
      <c r="B8" s="546" t="s">
        <v>1356</v>
      </c>
      <c r="C8" s="546" t="s">
        <v>1360</v>
      </c>
      <c r="D8" s="546" t="s">
        <v>584</v>
      </c>
      <c r="E8" s="563">
        <v>1</v>
      </c>
      <c r="F8" s="563">
        <v>1136.74</v>
      </c>
      <c r="G8" s="546">
        <v>1</v>
      </c>
      <c r="H8" s="546">
        <v>1136.74</v>
      </c>
      <c r="I8" s="563">
        <v>5</v>
      </c>
      <c r="J8" s="563">
        <v>5733.55</v>
      </c>
      <c r="K8" s="546">
        <v>5.0438534757288389</v>
      </c>
      <c r="L8" s="546">
        <v>1146.71</v>
      </c>
      <c r="M8" s="563">
        <v>1</v>
      </c>
      <c r="N8" s="563">
        <v>1146.7</v>
      </c>
      <c r="O8" s="551">
        <v>1.0087618980593627</v>
      </c>
      <c r="P8" s="564">
        <v>1146.7</v>
      </c>
    </row>
    <row r="9" spans="1:16" ht="14.4" customHeight="1" x14ac:dyDescent="0.3">
      <c r="A9" s="545" t="s">
        <v>1355</v>
      </c>
      <c r="B9" s="546" t="s">
        <v>1356</v>
      </c>
      <c r="C9" s="546" t="s">
        <v>1361</v>
      </c>
      <c r="D9" s="546" t="s">
        <v>1362</v>
      </c>
      <c r="E9" s="563"/>
      <c r="F9" s="563"/>
      <c r="G9" s="546"/>
      <c r="H9" s="546"/>
      <c r="I9" s="563">
        <v>1</v>
      </c>
      <c r="J9" s="563">
        <v>1376.05</v>
      </c>
      <c r="K9" s="546"/>
      <c r="L9" s="546">
        <v>1376.05</v>
      </c>
      <c r="M9" s="563">
        <v>16</v>
      </c>
      <c r="N9" s="563">
        <v>22016.799999999996</v>
      </c>
      <c r="O9" s="551"/>
      <c r="P9" s="564">
        <v>1376.0499999999997</v>
      </c>
    </row>
    <row r="10" spans="1:16" ht="14.4" customHeight="1" x14ac:dyDescent="0.3">
      <c r="A10" s="545" t="s">
        <v>1355</v>
      </c>
      <c r="B10" s="546" t="s">
        <v>1363</v>
      </c>
      <c r="C10" s="546" t="s">
        <v>1364</v>
      </c>
      <c r="D10" s="546" t="s">
        <v>1365</v>
      </c>
      <c r="E10" s="563">
        <v>8</v>
      </c>
      <c r="F10" s="563">
        <v>504</v>
      </c>
      <c r="G10" s="546">
        <v>1</v>
      </c>
      <c r="H10" s="546">
        <v>63</v>
      </c>
      <c r="I10" s="563">
        <v>75</v>
      </c>
      <c r="J10" s="563">
        <v>4725</v>
      </c>
      <c r="K10" s="546">
        <v>9.375</v>
      </c>
      <c r="L10" s="546">
        <v>63</v>
      </c>
      <c r="M10" s="563">
        <v>131</v>
      </c>
      <c r="N10" s="563">
        <v>8359</v>
      </c>
      <c r="O10" s="551">
        <v>16.585317460317459</v>
      </c>
      <c r="P10" s="564">
        <v>63.809160305343511</v>
      </c>
    </row>
    <row r="11" spans="1:16" ht="14.4" customHeight="1" x14ac:dyDescent="0.3">
      <c r="A11" s="545" t="s">
        <v>1355</v>
      </c>
      <c r="B11" s="546" t="s">
        <v>1363</v>
      </c>
      <c r="C11" s="546" t="s">
        <v>1366</v>
      </c>
      <c r="D11" s="546" t="s">
        <v>1367</v>
      </c>
      <c r="E11" s="563"/>
      <c r="F11" s="563"/>
      <c r="G11" s="546"/>
      <c r="H11" s="546"/>
      <c r="I11" s="563">
        <v>4</v>
      </c>
      <c r="J11" s="563">
        <v>824</v>
      </c>
      <c r="K11" s="546"/>
      <c r="L11" s="546">
        <v>206</v>
      </c>
      <c r="M11" s="563">
        <v>1</v>
      </c>
      <c r="N11" s="563">
        <v>206</v>
      </c>
      <c r="O11" s="551"/>
      <c r="P11" s="564">
        <v>206</v>
      </c>
    </row>
    <row r="12" spans="1:16" ht="14.4" customHeight="1" x14ac:dyDescent="0.3">
      <c r="A12" s="545" t="s">
        <v>1355</v>
      </c>
      <c r="B12" s="546" t="s">
        <v>1363</v>
      </c>
      <c r="C12" s="546" t="s">
        <v>1368</v>
      </c>
      <c r="D12" s="546" t="s">
        <v>1369</v>
      </c>
      <c r="E12" s="563">
        <v>11</v>
      </c>
      <c r="F12" s="563">
        <v>374</v>
      </c>
      <c r="G12" s="546">
        <v>1</v>
      </c>
      <c r="H12" s="546">
        <v>34</v>
      </c>
      <c r="I12" s="563">
        <v>10</v>
      </c>
      <c r="J12" s="563">
        <v>340</v>
      </c>
      <c r="K12" s="546">
        <v>0.90909090909090906</v>
      </c>
      <c r="L12" s="546">
        <v>34</v>
      </c>
      <c r="M12" s="563">
        <v>7</v>
      </c>
      <c r="N12" s="563">
        <v>242</v>
      </c>
      <c r="O12" s="551">
        <v>0.6470588235294118</v>
      </c>
      <c r="P12" s="564">
        <v>34.571428571428569</v>
      </c>
    </row>
    <row r="13" spans="1:16" ht="14.4" customHeight="1" x14ac:dyDescent="0.3">
      <c r="A13" s="545" t="s">
        <v>1355</v>
      </c>
      <c r="B13" s="546" t="s">
        <v>1363</v>
      </c>
      <c r="C13" s="546" t="s">
        <v>1370</v>
      </c>
      <c r="D13" s="546" t="s">
        <v>1371</v>
      </c>
      <c r="E13" s="563">
        <v>863</v>
      </c>
      <c r="F13" s="563">
        <v>2144555</v>
      </c>
      <c r="G13" s="546">
        <v>1</v>
      </c>
      <c r="H13" s="546">
        <v>2485</v>
      </c>
      <c r="I13" s="563">
        <v>1049</v>
      </c>
      <c r="J13" s="563">
        <v>2426337</v>
      </c>
      <c r="K13" s="546">
        <v>1.1313941586949274</v>
      </c>
      <c r="L13" s="546">
        <v>2313</v>
      </c>
      <c r="M13" s="563">
        <v>962</v>
      </c>
      <c r="N13" s="563">
        <v>2237218</v>
      </c>
      <c r="O13" s="551">
        <v>1.0432084978002429</v>
      </c>
      <c r="P13" s="564">
        <v>2325.5904365904366</v>
      </c>
    </row>
    <row r="14" spans="1:16" ht="14.4" customHeight="1" x14ac:dyDescent="0.3">
      <c r="A14" s="545" t="s">
        <v>1355</v>
      </c>
      <c r="B14" s="546" t="s">
        <v>1363</v>
      </c>
      <c r="C14" s="546" t="s">
        <v>1372</v>
      </c>
      <c r="D14" s="546" t="s">
        <v>1373</v>
      </c>
      <c r="E14" s="563">
        <v>4</v>
      </c>
      <c r="F14" s="563">
        <v>3468</v>
      </c>
      <c r="G14" s="546">
        <v>1</v>
      </c>
      <c r="H14" s="546">
        <v>867</v>
      </c>
      <c r="I14" s="563"/>
      <c r="J14" s="563"/>
      <c r="K14" s="546"/>
      <c r="L14" s="546"/>
      <c r="M14" s="563">
        <v>1</v>
      </c>
      <c r="N14" s="563">
        <v>876</v>
      </c>
      <c r="O14" s="551">
        <v>0.25259515570934254</v>
      </c>
      <c r="P14" s="564">
        <v>876</v>
      </c>
    </row>
    <row r="15" spans="1:16" ht="14.4" customHeight="1" x14ac:dyDescent="0.3">
      <c r="A15" s="545" t="s">
        <v>1355</v>
      </c>
      <c r="B15" s="546" t="s">
        <v>1363</v>
      </c>
      <c r="C15" s="546" t="s">
        <v>1374</v>
      </c>
      <c r="D15" s="546" t="s">
        <v>1375</v>
      </c>
      <c r="E15" s="563">
        <v>2925</v>
      </c>
      <c r="F15" s="563">
        <v>930150</v>
      </c>
      <c r="G15" s="546">
        <v>1</v>
      </c>
      <c r="H15" s="546">
        <v>318</v>
      </c>
      <c r="I15" s="563">
        <v>3055</v>
      </c>
      <c r="J15" s="563">
        <v>974545</v>
      </c>
      <c r="K15" s="546">
        <v>1.0477288609364082</v>
      </c>
      <c r="L15" s="546">
        <v>319</v>
      </c>
      <c r="M15" s="563">
        <v>1743</v>
      </c>
      <c r="N15" s="563">
        <v>558816</v>
      </c>
      <c r="O15" s="551">
        <v>0.60078051927108533</v>
      </c>
      <c r="P15" s="564">
        <v>320.60585197934597</v>
      </c>
    </row>
    <row r="16" spans="1:16" ht="14.4" customHeight="1" x14ac:dyDescent="0.3">
      <c r="A16" s="545" t="s">
        <v>1355</v>
      </c>
      <c r="B16" s="546" t="s">
        <v>1363</v>
      </c>
      <c r="C16" s="546" t="s">
        <v>1376</v>
      </c>
      <c r="D16" s="546" t="s">
        <v>1377</v>
      </c>
      <c r="E16" s="563">
        <v>91</v>
      </c>
      <c r="F16" s="563">
        <v>0</v>
      </c>
      <c r="G16" s="546"/>
      <c r="H16" s="546">
        <v>0</v>
      </c>
      <c r="I16" s="563">
        <v>122</v>
      </c>
      <c r="J16" s="563">
        <v>0</v>
      </c>
      <c r="K16" s="546"/>
      <c r="L16" s="546">
        <v>0</v>
      </c>
      <c r="M16" s="563">
        <v>50</v>
      </c>
      <c r="N16" s="563">
        <v>0</v>
      </c>
      <c r="O16" s="551"/>
      <c r="P16" s="564">
        <v>0</v>
      </c>
    </row>
    <row r="17" spans="1:16" ht="14.4" customHeight="1" x14ac:dyDescent="0.3">
      <c r="A17" s="545" t="s">
        <v>1355</v>
      </c>
      <c r="B17" s="546" t="s">
        <v>1363</v>
      </c>
      <c r="C17" s="546" t="s">
        <v>1378</v>
      </c>
      <c r="D17" s="546" t="s">
        <v>1379</v>
      </c>
      <c r="E17" s="563">
        <v>6660</v>
      </c>
      <c r="F17" s="563">
        <v>2151180</v>
      </c>
      <c r="G17" s="546">
        <v>1</v>
      </c>
      <c r="H17" s="546">
        <v>323</v>
      </c>
      <c r="I17" s="563">
        <v>6803</v>
      </c>
      <c r="J17" s="563">
        <v>2197369</v>
      </c>
      <c r="K17" s="546">
        <v>1.0214714714714714</v>
      </c>
      <c r="L17" s="546">
        <v>323</v>
      </c>
      <c r="M17" s="563">
        <v>4568</v>
      </c>
      <c r="N17" s="563">
        <v>1483666</v>
      </c>
      <c r="O17" s="551">
        <v>0.68969867700517851</v>
      </c>
      <c r="P17" s="564">
        <v>324.79553415061298</v>
      </c>
    </row>
    <row r="18" spans="1:16" ht="14.4" customHeight="1" x14ac:dyDescent="0.3">
      <c r="A18" s="545" t="s">
        <v>1355</v>
      </c>
      <c r="B18" s="546" t="s">
        <v>1363</v>
      </c>
      <c r="C18" s="546" t="s">
        <v>1380</v>
      </c>
      <c r="D18" s="546" t="s">
        <v>1381</v>
      </c>
      <c r="E18" s="563">
        <v>7128</v>
      </c>
      <c r="F18" s="563">
        <v>0</v>
      </c>
      <c r="G18" s="546"/>
      <c r="H18" s="546">
        <v>0</v>
      </c>
      <c r="I18" s="563">
        <v>7321</v>
      </c>
      <c r="J18" s="563">
        <v>0</v>
      </c>
      <c r="K18" s="546"/>
      <c r="L18" s="546">
        <v>0</v>
      </c>
      <c r="M18" s="563">
        <v>4725</v>
      </c>
      <c r="N18" s="563">
        <v>0</v>
      </c>
      <c r="O18" s="551"/>
      <c r="P18" s="564">
        <v>0</v>
      </c>
    </row>
    <row r="19" spans="1:16" ht="14.4" customHeight="1" x14ac:dyDescent="0.3">
      <c r="A19" s="545" t="s">
        <v>1355</v>
      </c>
      <c r="B19" s="546" t="s">
        <v>1363</v>
      </c>
      <c r="C19" s="546" t="s">
        <v>1382</v>
      </c>
      <c r="D19" s="546" t="s">
        <v>1383</v>
      </c>
      <c r="E19" s="563">
        <v>2503</v>
      </c>
      <c r="F19" s="563">
        <v>4019818</v>
      </c>
      <c r="G19" s="546">
        <v>1</v>
      </c>
      <c r="H19" s="546">
        <v>1606</v>
      </c>
      <c r="I19" s="563">
        <v>2294</v>
      </c>
      <c r="J19" s="563">
        <v>3294184</v>
      </c>
      <c r="K19" s="546">
        <v>0.81948585731990853</v>
      </c>
      <c r="L19" s="546">
        <v>1436</v>
      </c>
      <c r="M19" s="563">
        <v>2170</v>
      </c>
      <c r="N19" s="563">
        <v>3128944</v>
      </c>
      <c r="O19" s="551">
        <v>0.7783795186747261</v>
      </c>
      <c r="P19" s="564">
        <v>1441.9096774193549</v>
      </c>
    </row>
    <row r="20" spans="1:16" ht="14.4" customHeight="1" x14ac:dyDescent="0.3">
      <c r="A20" s="545" t="s">
        <v>1355</v>
      </c>
      <c r="B20" s="546" t="s">
        <v>1363</v>
      </c>
      <c r="C20" s="546" t="s">
        <v>1384</v>
      </c>
      <c r="D20" s="546" t="s">
        <v>1385</v>
      </c>
      <c r="E20" s="563"/>
      <c r="F20" s="563"/>
      <c r="G20" s="546"/>
      <c r="H20" s="546"/>
      <c r="I20" s="563">
        <v>532</v>
      </c>
      <c r="J20" s="563">
        <v>14204</v>
      </c>
      <c r="K20" s="546"/>
      <c r="L20" s="546">
        <v>26.699248120300751</v>
      </c>
      <c r="M20" s="563">
        <v>330</v>
      </c>
      <c r="N20" s="563">
        <v>35524</v>
      </c>
      <c r="O20" s="551"/>
      <c r="P20" s="564">
        <v>107.64848484848486</v>
      </c>
    </row>
    <row r="21" spans="1:16" ht="14.4" customHeight="1" x14ac:dyDescent="0.3">
      <c r="A21" s="545" t="s">
        <v>1355</v>
      </c>
      <c r="B21" s="546" t="s">
        <v>1363</v>
      </c>
      <c r="C21" s="546" t="s">
        <v>1386</v>
      </c>
      <c r="D21" s="546" t="s">
        <v>1387</v>
      </c>
      <c r="E21" s="563">
        <v>126</v>
      </c>
      <c r="F21" s="563">
        <v>3150</v>
      </c>
      <c r="G21" s="546">
        <v>1</v>
      </c>
      <c r="H21" s="546">
        <v>25</v>
      </c>
      <c r="I21" s="563">
        <v>3477</v>
      </c>
      <c r="J21" s="563">
        <v>121695</v>
      </c>
      <c r="K21" s="546">
        <v>38.633333333333333</v>
      </c>
      <c r="L21" s="546">
        <v>35</v>
      </c>
      <c r="M21" s="563">
        <v>2686</v>
      </c>
      <c r="N21" s="563">
        <v>95575</v>
      </c>
      <c r="O21" s="551">
        <v>30.341269841269842</v>
      </c>
      <c r="P21" s="564">
        <v>35.582650781831717</v>
      </c>
    </row>
    <row r="22" spans="1:16" ht="14.4" customHeight="1" x14ac:dyDescent="0.3">
      <c r="A22" s="545" t="s">
        <v>1355</v>
      </c>
      <c r="B22" s="546" t="s">
        <v>1363</v>
      </c>
      <c r="C22" s="546" t="s">
        <v>1388</v>
      </c>
      <c r="D22" s="546" t="s">
        <v>1389</v>
      </c>
      <c r="E22" s="563"/>
      <c r="F22" s="563"/>
      <c r="G22" s="546"/>
      <c r="H22" s="546"/>
      <c r="I22" s="563">
        <v>14</v>
      </c>
      <c r="J22" s="563">
        <v>1134</v>
      </c>
      <c r="K22" s="546"/>
      <c r="L22" s="546">
        <v>81</v>
      </c>
      <c r="M22" s="563">
        <v>49</v>
      </c>
      <c r="N22" s="563">
        <v>3995</v>
      </c>
      <c r="O22" s="551"/>
      <c r="P22" s="564">
        <v>81.530612244897952</v>
      </c>
    </row>
    <row r="23" spans="1:16" ht="14.4" customHeight="1" x14ac:dyDescent="0.3">
      <c r="A23" s="545" t="s">
        <v>1355</v>
      </c>
      <c r="B23" s="546" t="s">
        <v>1363</v>
      </c>
      <c r="C23" s="546" t="s">
        <v>1390</v>
      </c>
      <c r="D23" s="546" t="s">
        <v>1391</v>
      </c>
      <c r="E23" s="563">
        <v>3</v>
      </c>
      <c r="F23" s="563">
        <v>57</v>
      </c>
      <c r="G23" s="546">
        <v>1</v>
      </c>
      <c r="H23" s="546">
        <v>19</v>
      </c>
      <c r="I23" s="563">
        <v>15</v>
      </c>
      <c r="J23" s="563">
        <v>450</v>
      </c>
      <c r="K23" s="546">
        <v>7.8947368421052628</v>
      </c>
      <c r="L23" s="546">
        <v>30</v>
      </c>
      <c r="M23" s="563">
        <v>20</v>
      </c>
      <c r="N23" s="563">
        <v>611</v>
      </c>
      <c r="O23" s="551">
        <v>10.719298245614034</v>
      </c>
      <c r="P23" s="564">
        <v>30.55</v>
      </c>
    </row>
    <row r="24" spans="1:16" ht="14.4" customHeight="1" x14ac:dyDescent="0.3">
      <c r="A24" s="545" t="s">
        <v>1355</v>
      </c>
      <c r="B24" s="546" t="s">
        <v>1363</v>
      </c>
      <c r="C24" s="546" t="s">
        <v>1392</v>
      </c>
      <c r="D24" s="546" t="s">
        <v>1393</v>
      </c>
      <c r="E24" s="563"/>
      <c r="F24" s="563"/>
      <c r="G24" s="546"/>
      <c r="H24" s="546"/>
      <c r="I24" s="563">
        <v>17</v>
      </c>
      <c r="J24" s="563">
        <v>1173</v>
      </c>
      <c r="K24" s="546"/>
      <c r="L24" s="546">
        <v>69</v>
      </c>
      <c r="M24" s="563">
        <v>15</v>
      </c>
      <c r="N24" s="563">
        <v>1045</v>
      </c>
      <c r="O24" s="551"/>
      <c r="P24" s="564">
        <v>69.666666666666671</v>
      </c>
    </row>
    <row r="25" spans="1:16" ht="14.4" customHeight="1" x14ac:dyDescent="0.3">
      <c r="A25" s="545" t="s">
        <v>1355</v>
      </c>
      <c r="B25" s="546" t="s">
        <v>1363</v>
      </c>
      <c r="C25" s="546" t="s">
        <v>1394</v>
      </c>
      <c r="D25" s="546" t="s">
        <v>1395</v>
      </c>
      <c r="E25" s="563"/>
      <c r="F25" s="563"/>
      <c r="G25" s="546"/>
      <c r="H25" s="546"/>
      <c r="I25" s="563">
        <v>1</v>
      </c>
      <c r="J25" s="563">
        <v>56</v>
      </c>
      <c r="K25" s="546"/>
      <c r="L25" s="546">
        <v>56</v>
      </c>
      <c r="M25" s="563"/>
      <c r="N25" s="563"/>
      <c r="O25" s="551"/>
      <c r="P25" s="564"/>
    </row>
    <row r="26" spans="1:16" ht="14.4" customHeight="1" x14ac:dyDescent="0.3">
      <c r="A26" s="545" t="s">
        <v>1355</v>
      </c>
      <c r="B26" s="546" t="s">
        <v>1363</v>
      </c>
      <c r="C26" s="546" t="s">
        <v>1396</v>
      </c>
      <c r="D26" s="546" t="s">
        <v>1397</v>
      </c>
      <c r="E26" s="563">
        <v>3</v>
      </c>
      <c r="F26" s="563">
        <v>5712</v>
      </c>
      <c r="G26" s="546">
        <v>1</v>
      </c>
      <c r="H26" s="546">
        <v>1904</v>
      </c>
      <c r="I26" s="563">
        <v>1</v>
      </c>
      <c r="J26" s="563">
        <v>1913</v>
      </c>
      <c r="K26" s="546">
        <v>0.33490896358543415</v>
      </c>
      <c r="L26" s="546">
        <v>1913</v>
      </c>
      <c r="M26" s="563">
        <v>1</v>
      </c>
      <c r="N26" s="563">
        <v>1929</v>
      </c>
      <c r="O26" s="551">
        <v>0.33771008403361347</v>
      </c>
      <c r="P26" s="564">
        <v>1929</v>
      </c>
    </row>
    <row r="27" spans="1:16" ht="14.4" customHeight="1" x14ac:dyDescent="0.3">
      <c r="A27" s="545" t="s">
        <v>1398</v>
      </c>
      <c r="B27" s="546" t="s">
        <v>1363</v>
      </c>
      <c r="C27" s="546" t="s">
        <v>1364</v>
      </c>
      <c r="D27" s="546" t="s">
        <v>1365</v>
      </c>
      <c r="E27" s="563"/>
      <c r="F27" s="563"/>
      <c r="G27" s="546"/>
      <c r="H27" s="546"/>
      <c r="I27" s="563">
        <v>2</v>
      </c>
      <c r="J27" s="563">
        <v>126</v>
      </c>
      <c r="K27" s="546"/>
      <c r="L27" s="546">
        <v>63</v>
      </c>
      <c r="M27" s="563">
        <v>1</v>
      </c>
      <c r="N27" s="563">
        <v>64</v>
      </c>
      <c r="O27" s="551"/>
      <c r="P27" s="564">
        <v>64</v>
      </c>
    </row>
    <row r="28" spans="1:16" ht="14.4" customHeight="1" x14ac:dyDescent="0.3">
      <c r="A28" s="545" t="s">
        <v>1398</v>
      </c>
      <c r="B28" s="546" t="s">
        <v>1363</v>
      </c>
      <c r="C28" s="546" t="s">
        <v>1399</v>
      </c>
      <c r="D28" s="546" t="s">
        <v>1341</v>
      </c>
      <c r="E28" s="563">
        <v>1</v>
      </c>
      <c r="F28" s="563">
        <v>107</v>
      </c>
      <c r="G28" s="546">
        <v>1</v>
      </c>
      <c r="H28" s="546">
        <v>107</v>
      </c>
      <c r="I28" s="563"/>
      <c r="J28" s="563"/>
      <c r="K28" s="546"/>
      <c r="L28" s="546"/>
      <c r="M28" s="563"/>
      <c r="N28" s="563"/>
      <c r="O28" s="551"/>
      <c r="P28" s="564"/>
    </row>
    <row r="29" spans="1:16" ht="14.4" customHeight="1" x14ac:dyDescent="0.3">
      <c r="A29" s="545" t="s">
        <v>1398</v>
      </c>
      <c r="B29" s="546" t="s">
        <v>1363</v>
      </c>
      <c r="C29" s="546" t="s">
        <v>1400</v>
      </c>
      <c r="D29" s="546" t="s">
        <v>1401</v>
      </c>
      <c r="E29" s="563">
        <v>8</v>
      </c>
      <c r="F29" s="563">
        <v>1304</v>
      </c>
      <c r="G29" s="546">
        <v>1</v>
      </c>
      <c r="H29" s="546">
        <v>163</v>
      </c>
      <c r="I29" s="563">
        <v>6</v>
      </c>
      <c r="J29" s="563">
        <v>978</v>
      </c>
      <c r="K29" s="546">
        <v>0.75</v>
      </c>
      <c r="L29" s="546">
        <v>163</v>
      </c>
      <c r="M29" s="563">
        <v>3</v>
      </c>
      <c r="N29" s="563">
        <v>491</v>
      </c>
      <c r="O29" s="551">
        <v>0.37653374233128833</v>
      </c>
      <c r="P29" s="564">
        <v>163.66666666666666</v>
      </c>
    </row>
    <row r="30" spans="1:16" ht="14.4" customHeight="1" x14ac:dyDescent="0.3">
      <c r="A30" s="545" t="s">
        <v>1398</v>
      </c>
      <c r="B30" s="546" t="s">
        <v>1363</v>
      </c>
      <c r="C30" s="546" t="s">
        <v>1384</v>
      </c>
      <c r="D30" s="546" t="s">
        <v>1385</v>
      </c>
      <c r="E30" s="563"/>
      <c r="F30" s="563"/>
      <c r="G30" s="546"/>
      <c r="H30" s="546"/>
      <c r="I30" s="563">
        <v>3</v>
      </c>
      <c r="J30" s="563">
        <v>318</v>
      </c>
      <c r="K30" s="546"/>
      <c r="L30" s="546">
        <v>106</v>
      </c>
      <c r="M30" s="563">
        <v>1</v>
      </c>
      <c r="N30" s="563">
        <v>108</v>
      </c>
      <c r="O30" s="551"/>
      <c r="P30" s="564">
        <v>108</v>
      </c>
    </row>
    <row r="31" spans="1:16" ht="14.4" customHeight="1" x14ac:dyDescent="0.3">
      <c r="A31" s="545" t="s">
        <v>1398</v>
      </c>
      <c r="B31" s="546" t="s">
        <v>1363</v>
      </c>
      <c r="C31" s="546" t="s">
        <v>1386</v>
      </c>
      <c r="D31" s="546" t="s">
        <v>1387</v>
      </c>
      <c r="E31" s="563"/>
      <c r="F31" s="563"/>
      <c r="G31" s="546"/>
      <c r="H31" s="546"/>
      <c r="I31" s="563">
        <v>1</v>
      </c>
      <c r="J31" s="563">
        <v>35</v>
      </c>
      <c r="K31" s="546"/>
      <c r="L31" s="546">
        <v>35</v>
      </c>
      <c r="M31" s="563">
        <v>2</v>
      </c>
      <c r="N31" s="563">
        <v>71</v>
      </c>
      <c r="O31" s="551"/>
      <c r="P31" s="564">
        <v>35.5</v>
      </c>
    </row>
    <row r="32" spans="1:16" ht="14.4" customHeight="1" x14ac:dyDescent="0.3">
      <c r="A32" s="545" t="s">
        <v>1398</v>
      </c>
      <c r="B32" s="546" t="s">
        <v>1363</v>
      </c>
      <c r="C32" s="546" t="s">
        <v>1402</v>
      </c>
      <c r="D32" s="546" t="s">
        <v>1403</v>
      </c>
      <c r="E32" s="563">
        <v>39</v>
      </c>
      <c r="F32" s="563">
        <v>12792</v>
      </c>
      <c r="G32" s="546">
        <v>1</v>
      </c>
      <c r="H32" s="546">
        <v>328</v>
      </c>
      <c r="I32" s="563">
        <v>25</v>
      </c>
      <c r="J32" s="563">
        <v>8175</v>
      </c>
      <c r="K32" s="546">
        <v>0.63907129455909939</v>
      </c>
      <c r="L32" s="546">
        <v>327</v>
      </c>
      <c r="M32" s="563">
        <v>26</v>
      </c>
      <c r="N32" s="563">
        <v>8562</v>
      </c>
      <c r="O32" s="551">
        <v>0.66932457786116317</v>
      </c>
      <c r="P32" s="564">
        <v>329.30769230769232</v>
      </c>
    </row>
    <row r="33" spans="1:16" ht="14.4" customHeight="1" x14ac:dyDescent="0.3">
      <c r="A33" s="545" t="s">
        <v>1398</v>
      </c>
      <c r="B33" s="546" t="s">
        <v>1363</v>
      </c>
      <c r="C33" s="546" t="s">
        <v>1404</v>
      </c>
      <c r="D33" s="546" t="s">
        <v>1341</v>
      </c>
      <c r="E33" s="563">
        <v>2</v>
      </c>
      <c r="F33" s="563">
        <v>430</v>
      </c>
      <c r="G33" s="546">
        <v>1</v>
      </c>
      <c r="H33" s="546">
        <v>215</v>
      </c>
      <c r="I33" s="563"/>
      <c r="J33" s="563"/>
      <c r="K33" s="546"/>
      <c r="L33" s="546"/>
      <c r="M33" s="563"/>
      <c r="N33" s="563"/>
      <c r="O33" s="551"/>
      <c r="P33" s="564"/>
    </row>
    <row r="34" spans="1:16" ht="14.4" customHeight="1" x14ac:dyDescent="0.3">
      <c r="A34" s="545" t="s">
        <v>1405</v>
      </c>
      <c r="B34" s="546" t="s">
        <v>1356</v>
      </c>
      <c r="C34" s="546" t="s">
        <v>1357</v>
      </c>
      <c r="D34" s="546" t="s">
        <v>1358</v>
      </c>
      <c r="E34" s="563">
        <v>19</v>
      </c>
      <c r="F34" s="563">
        <v>25917.52</v>
      </c>
      <c r="G34" s="546">
        <v>1</v>
      </c>
      <c r="H34" s="546">
        <v>1364.08</v>
      </c>
      <c r="I34" s="563">
        <v>15</v>
      </c>
      <c r="J34" s="563">
        <v>20628.699999999993</v>
      </c>
      <c r="K34" s="546">
        <v>0.79593649392380106</v>
      </c>
      <c r="L34" s="546">
        <v>1375.2466666666662</v>
      </c>
      <c r="M34" s="563"/>
      <c r="N34" s="563"/>
      <c r="O34" s="551"/>
      <c r="P34" s="564"/>
    </row>
    <row r="35" spans="1:16" ht="14.4" customHeight="1" x14ac:dyDescent="0.3">
      <c r="A35" s="545" t="s">
        <v>1405</v>
      </c>
      <c r="B35" s="546" t="s">
        <v>1356</v>
      </c>
      <c r="C35" s="546" t="s">
        <v>1359</v>
      </c>
      <c r="D35" s="546" t="s">
        <v>584</v>
      </c>
      <c r="E35" s="563">
        <v>11</v>
      </c>
      <c r="F35" s="563">
        <v>6252.07</v>
      </c>
      <c r="G35" s="546">
        <v>1</v>
      </c>
      <c r="H35" s="546">
        <v>568.37</v>
      </c>
      <c r="I35" s="563"/>
      <c r="J35" s="563"/>
      <c r="K35" s="546"/>
      <c r="L35" s="546"/>
      <c r="M35" s="563"/>
      <c r="N35" s="563"/>
      <c r="O35" s="551"/>
      <c r="P35" s="564"/>
    </row>
    <row r="36" spans="1:16" ht="14.4" customHeight="1" x14ac:dyDescent="0.3">
      <c r="A36" s="545" t="s">
        <v>1405</v>
      </c>
      <c r="B36" s="546" t="s">
        <v>1356</v>
      </c>
      <c r="C36" s="546" t="s">
        <v>1360</v>
      </c>
      <c r="D36" s="546" t="s">
        <v>584</v>
      </c>
      <c r="E36" s="563"/>
      <c r="F36" s="563"/>
      <c r="G36" s="546"/>
      <c r="H36" s="546"/>
      <c r="I36" s="563">
        <v>6</v>
      </c>
      <c r="J36" s="563">
        <v>6880.26</v>
      </c>
      <c r="K36" s="546"/>
      <c r="L36" s="546">
        <v>1146.71</v>
      </c>
      <c r="M36" s="563">
        <v>2</v>
      </c>
      <c r="N36" s="563">
        <v>2293.4</v>
      </c>
      <c r="O36" s="551"/>
      <c r="P36" s="564">
        <v>1146.7</v>
      </c>
    </row>
    <row r="37" spans="1:16" ht="14.4" customHeight="1" x14ac:dyDescent="0.3">
      <c r="A37" s="545" t="s">
        <v>1405</v>
      </c>
      <c r="B37" s="546" t="s">
        <v>1356</v>
      </c>
      <c r="C37" s="546" t="s">
        <v>1361</v>
      </c>
      <c r="D37" s="546" t="s">
        <v>1362</v>
      </c>
      <c r="E37" s="563"/>
      <c r="F37" s="563"/>
      <c r="G37" s="546"/>
      <c r="H37" s="546"/>
      <c r="I37" s="563"/>
      <c r="J37" s="563"/>
      <c r="K37" s="546"/>
      <c r="L37" s="546"/>
      <c r="M37" s="563">
        <v>6</v>
      </c>
      <c r="N37" s="563">
        <v>8256.2999999999993</v>
      </c>
      <c r="O37" s="551"/>
      <c r="P37" s="564">
        <v>1376.05</v>
      </c>
    </row>
    <row r="38" spans="1:16" ht="14.4" customHeight="1" x14ac:dyDescent="0.3">
      <c r="A38" s="545" t="s">
        <v>1405</v>
      </c>
      <c r="B38" s="546" t="s">
        <v>1363</v>
      </c>
      <c r="C38" s="546" t="s">
        <v>1406</v>
      </c>
      <c r="D38" s="546" t="s">
        <v>1407</v>
      </c>
      <c r="E38" s="563">
        <v>2287</v>
      </c>
      <c r="F38" s="563">
        <v>999419</v>
      </c>
      <c r="G38" s="546">
        <v>1</v>
      </c>
      <c r="H38" s="546">
        <v>437</v>
      </c>
      <c r="I38" s="563">
        <v>2374</v>
      </c>
      <c r="J38" s="563">
        <v>1039812</v>
      </c>
      <c r="K38" s="546">
        <v>1.040416481976028</v>
      </c>
      <c r="L38" s="546">
        <v>438</v>
      </c>
      <c r="M38" s="563">
        <v>1305</v>
      </c>
      <c r="N38" s="563">
        <v>572910</v>
      </c>
      <c r="O38" s="551">
        <v>0.57324305421449862</v>
      </c>
      <c r="P38" s="564">
        <v>439.01149425287355</v>
      </c>
    </row>
    <row r="39" spans="1:16" ht="14.4" customHeight="1" x14ac:dyDescent="0.3">
      <c r="A39" s="545" t="s">
        <v>1405</v>
      </c>
      <c r="B39" s="546" t="s">
        <v>1363</v>
      </c>
      <c r="C39" s="546" t="s">
        <v>1408</v>
      </c>
      <c r="D39" s="546" t="s">
        <v>1409</v>
      </c>
      <c r="E39" s="563">
        <v>117</v>
      </c>
      <c r="F39" s="563">
        <v>118638</v>
      </c>
      <c r="G39" s="546">
        <v>1</v>
      </c>
      <c r="H39" s="546">
        <v>1014</v>
      </c>
      <c r="I39" s="563">
        <v>98</v>
      </c>
      <c r="J39" s="563">
        <v>99764</v>
      </c>
      <c r="K39" s="546">
        <v>0.84091100659147999</v>
      </c>
      <c r="L39" s="546">
        <v>1018</v>
      </c>
      <c r="M39" s="563">
        <v>50</v>
      </c>
      <c r="N39" s="563">
        <v>51108</v>
      </c>
      <c r="O39" s="551">
        <v>0.43078946037525917</v>
      </c>
      <c r="P39" s="564">
        <v>1022.16</v>
      </c>
    </row>
    <row r="40" spans="1:16" ht="14.4" customHeight="1" x14ac:dyDescent="0.3">
      <c r="A40" s="545" t="s">
        <v>1405</v>
      </c>
      <c r="B40" s="546" t="s">
        <v>1363</v>
      </c>
      <c r="C40" s="546" t="s">
        <v>1410</v>
      </c>
      <c r="D40" s="546" t="s">
        <v>1411</v>
      </c>
      <c r="E40" s="563">
        <v>5</v>
      </c>
      <c r="F40" s="563">
        <v>3175</v>
      </c>
      <c r="G40" s="546">
        <v>1</v>
      </c>
      <c r="H40" s="546">
        <v>635</v>
      </c>
      <c r="I40" s="563">
        <v>8</v>
      </c>
      <c r="J40" s="563">
        <v>5104</v>
      </c>
      <c r="K40" s="546">
        <v>1.6075590551181103</v>
      </c>
      <c r="L40" s="546">
        <v>638</v>
      </c>
      <c r="M40" s="563">
        <v>3</v>
      </c>
      <c r="N40" s="563">
        <v>1919</v>
      </c>
      <c r="O40" s="551">
        <v>0.60440944881889769</v>
      </c>
      <c r="P40" s="564">
        <v>639.66666666666663</v>
      </c>
    </row>
    <row r="41" spans="1:16" ht="14.4" customHeight="1" x14ac:dyDescent="0.3">
      <c r="A41" s="545" t="s">
        <v>1405</v>
      </c>
      <c r="B41" s="546" t="s">
        <v>1363</v>
      </c>
      <c r="C41" s="546" t="s">
        <v>1412</v>
      </c>
      <c r="D41" s="546" t="s">
        <v>1413</v>
      </c>
      <c r="E41" s="563">
        <v>65</v>
      </c>
      <c r="F41" s="563">
        <v>19760</v>
      </c>
      <c r="G41" s="546">
        <v>1</v>
      </c>
      <c r="H41" s="546">
        <v>304</v>
      </c>
      <c r="I41" s="563">
        <v>65</v>
      </c>
      <c r="J41" s="563">
        <v>19825</v>
      </c>
      <c r="K41" s="546">
        <v>1.0032894736842106</v>
      </c>
      <c r="L41" s="546">
        <v>305</v>
      </c>
      <c r="M41" s="563">
        <v>27</v>
      </c>
      <c r="N41" s="563">
        <v>8257</v>
      </c>
      <c r="O41" s="551">
        <v>0.41786437246963565</v>
      </c>
      <c r="P41" s="564">
        <v>305.81481481481484</v>
      </c>
    </row>
    <row r="42" spans="1:16" ht="14.4" customHeight="1" x14ac:dyDescent="0.3">
      <c r="A42" s="545" t="s">
        <v>1405</v>
      </c>
      <c r="B42" s="546" t="s">
        <v>1363</v>
      </c>
      <c r="C42" s="546" t="s">
        <v>1414</v>
      </c>
      <c r="D42" s="546" t="s">
        <v>1415</v>
      </c>
      <c r="E42" s="563">
        <v>23</v>
      </c>
      <c r="F42" s="563">
        <v>19067</v>
      </c>
      <c r="G42" s="546">
        <v>1</v>
      </c>
      <c r="H42" s="546">
        <v>829</v>
      </c>
      <c r="I42" s="563">
        <v>6</v>
      </c>
      <c r="J42" s="563">
        <v>4986</v>
      </c>
      <c r="K42" s="546">
        <v>0.26149892484397125</v>
      </c>
      <c r="L42" s="546">
        <v>831</v>
      </c>
      <c r="M42" s="563">
        <v>1</v>
      </c>
      <c r="N42" s="563">
        <v>831</v>
      </c>
      <c r="O42" s="551">
        <v>4.3583154140661877E-2</v>
      </c>
      <c r="P42" s="564">
        <v>831</v>
      </c>
    </row>
    <row r="43" spans="1:16" ht="14.4" customHeight="1" x14ac:dyDescent="0.3">
      <c r="A43" s="545" t="s">
        <v>1405</v>
      </c>
      <c r="B43" s="546" t="s">
        <v>1363</v>
      </c>
      <c r="C43" s="546" t="s">
        <v>1416</v>
      </c>
      <c r="D43" s="546" t="s">
        <v>1417</v>
      </c>
      <c r="E43" s="563">
        <v>0</v>
      </c>
      <c r="F43" s="563">
        <v>0</v>
      </c>
      <c r="G43" s="546"/>
      <c r="H43" s="546"/>
      <c r="I43" s="563"/>
      <c r="J43" s="563"/>
      <c r="K43" s="546"/>
      <c r="L43" s="546"/>
      <c r="M43" s="563"/>
      <c r="N43" s="563"/>
      <c r="O43" s="551"/>
      <c r="P43" s="564"/>
    </row>
    <row r="44" spans="1:16" ht="14.4" customHeight="1" x14ac:dyDescent="0.3">
      <c r="A44" s="545" t="s">
        <v>1405</v>
      </c>
      <c r="B44" s="546" t="s">
        <v>1363</v>
      </c>
      <c r="C44" s="546" t="s">
        <v>1390</v>
      </c>
      <c r="D44" s="546" t="s">
        <v>1391</v>
      </c>
      <c r="E44" s="563">
        <v>2</v>
      </c>
      <c r="F44" s="563">
        <v>38</v>
      </c>
      <c r="G44" s="546">
        <v>1</v>
      </c>
      <c r="H44" s="546">
        <v>19</v>
      </c>
      <c r="I44" s="563">
        <v>0</v>
      </c>
      <c r="J44" s="563">
        <v>0</v>
      </c>
      <c r="K44" s="546">
        <v>0</v>
      </c>
      <c r="L44" s="546"/>
      <c r="M44" s="563"/>
      <c r="N44" s="563"/>
      <c r="O44" s="551"/>
      <c r="P44" s="564"/>
    </row>
    <row r="45" spans="1:16" ht="14.4" customHeight="1" x14ac:dyDescent="0.3">
      <c r="A45" s="545" t="s">
        <v>1405</v>
      </c>
      <c r="B45" s="546" t="s">
        <v>1363</v>
      </c>
      <c r="C45" s="546" t="s">
        <v>1418</v>
      </c>
      <c r="D45" s="546" t="s">
        <v>1419</v>
      </c>
      <c r="E45" s="563">
        <v>6234</v>
      </c>
      <c r="F45" s="563">
        <v>3989760</v>
      </c>
      <c r="G45" s="546">
        <v>1</v>
      </c>
      <c r="H45" s="546">
        <v>640</v>
      </c>
      <c r="I45" s="563">
        <v>6446</v>
      </c>
      <c r="J45" s="563">
        <v>4138332</v>
      </c>
      <c r="K45" s="546">
        <v>1.0372383301251202</v>
      </c>
      <c r="L45" s="546">
        <v>642</v>
      </c>
      <c r="M45" s="563">
        <v>3416</v>
      </c>
      <c r="N45" s="563">
        <v>2201622</v>
      </c>
      <c r="O45" s="551">
        <v>0.55181815447545712</v>
      </c>
      <c r="P45" s="564">
        <v>644.50292740046837</v>
      </c>
    </row>
    <row r="46" spans="1:16" ht="14.4" customHeight="1" x14ac:dyDescent="0.3">
      <c r="A46" s="545" t="s">
        <v>1405</v>
      </c>
      <c r="B46" s="546" t="s">
        <v>1363</v>
      </c>
      <c r="C46" s="546" t="s">
        <v>1420</v>
      </c>
      <c r="D46" s="546" t="s">
        <v>1421</v>
      </c>
      <c r="E46" s="563">
        <v>1669</v>
      </c>
      <c r="F46" s="563">
        <v>487348</v>
      </c>
      <c r="G46" s="546">
        <v>1</v>
      </c>
      <c r="H46" s="546">
        <v>292</v>
      </c>
      <c r="I46" s="563">
        <v>1227</v>
      </c>
      <c r="J46" s="563">
        <v>359511</v>
      </c>
      <c r="K46" s="546">
        <v>0.73768846902008423</v>
      </c>
      <c r="L46" s="546">
        <v>293</v>
      </c>
      <c r="M46" s="563">
        <v>117</v>
      </c>
      <c r="N46" s="563">
        <v>34281</v>
      </c>
      <c r="O46" s="551">
        <v>7.0341932253748865E-2</v>
      </c>
      <c r="P46" s="564">
        <v>293</v>
      </c>
    </row>
    <row r="47" spans="1:16" ht="14.4" customHeight="1" x14ac:dyDescent="0.3">
      <c r="A47" s="545" t="s">
        <v>1405</v>
      </c>
      <c r="B47" s="546" t="s">
        <v>1363</v>
      </c>
      <c r="C47" s="546" t="s">
        <v>1422</v>
      </c>
      <c r="D47" s="546" t="s">
        <v>1423</v>
      </c>
      <c r="E47" s="563">
        <v>129</v>
      </c>
      <c r="F47" s="563">
        <v>75207</v>
      </c>
      <c r="G47" s="546">
        <v>1</v>
      </c>
      <c r="H47" s="546">
        <v>583</v>
      </c>
      <c r="I47" s="563">
        <v>120</v>
      </c>
      <c r="J47" s="563">
        <v>70320</v>
      </c>
      <c r="K47" s="546">
        <v>0.93501934660337471</v>
      </c>
      <c r="L47" s="546">
        <v>586</v>
      </c>
      <c r="M47" s="563">
        <v>50</v>
      </c>
      <c r="N47" s="563">
        <v>29410</v>
      </c>
      <c r="O47" s="551">
        <v>0.39105402422646829</v>
      </c>
      <c r="P47" s="564">
        <v>588.20000000000005</v>
      </c>
    </row>
    <row r="48" spans="1:16" ht="14.4" customHeight="1" x14ac:dyDescent="0.3">
      <c r="A48" s="545" t="s">
        <v>1405</v>
      </c>
      <c r="B48" s="546" t="s">
        <v>1363</v>
      </c>
      <c r="C48" s="546" t="s">
        <v>1424</v>
      </c>
      <c r="D48" s="546" t="s">
        <v>1425</v>
      </c>
      <c r="E48" s="563">
        <v>355</v>
      </c>
      <c r="F48" s="563">
        <v>289325</v>
      </c>
      <c r="G48" s="546">
        <v>1</v>
      </c>
      <c r="H48" s="546">
        <v>815</v>
      </c>
      <c r="I48" s="563">
        <v>365</v>
      </c>
      <c r="J48" s="563">
        <v>297840</v>
      </c>
      <c r="K48" s="546">
        <v>1.0294305711570033</v>
      </c>
      <c r="L48" s="546">
        <v>816</v>
      </c>
      <c r="M48" s="563">
        <v>224</v>
      </c>
      <c r="N48" s="563">
        <v>183051</v>
      </c>
      <c r="O48" s="551">
        <v>0.63268296897952125</v>
      </c>
      <c r="P48" s="564">
        <v>817.19196428571433</v>
      </c>
    </row>
    <row r="49" spans="1:16" ht="14.4" customHeight="1" x14ac:dyDescent="0.3">
      <c r="A49" s="545" t="s">
        <v>1405</v>
      </c>
      <c r="B49" s="546" t="s">
        <v>1363</v>
      </c>
      <c r="C49" s="546" t="s">
        <v>1426</v>
      </c>
      <c r="D49" s="546" t="s">
        <v>1427</v>
      </c>
      <c r="E49" s="563"/>
      <c r="F49" s="563"/>
      <c r="G49" s="546"/>
      <c r="H49" s="546"/>
      <c r="I49" s="563">
        <v>1</v>
      </c>
      <c r="J49" s="563">
        <v>285</v>
      </c>
      <c r="K49" s="546"/>
      <c r="L49" s="546">
        <v>285</v>
      </c>
      <c r="M49" s="563"/>
      <c r="N49" s="563"/>
      <c r="O49" s="551"/>
      <c r="P49" s="564"/>
    </row>
    <row r="50" spans="1:16" ht="14.4" customHeight="1" x14ac:dyDescent="0.3">
      <c r="A50" s="545" t="s">
        <v>1405</v>
      </c>
      <c r="B50" s="546" t="s">
        <v>1363</v>
      </c>
      <c r="C50" s="546" t="s">
        <v>1428</v>
      </c>
      <c r="D50" s="546" t="s">
        <v>1429</v>
      </c>
      <c r="E50" s="563">
        <v>4</v>
      </c>
      <c r="F50" s="563">
        <v>4452</v>
      </c>
      <c r="G50" s="546">
        <v>1</v>
      </c>
      <c r="H50" s="546">
        <v>1113</v>
      </c>
      <c r="I50" s="563">
        <v>1</v>
      </c>
      <c r="J50" s="563">
        <v>1118</v>
      </c>
      <c r="K50" s="546">
        <v>0.25112309074573225</v>
      </c>
      <c r="L50" s="546">
        <v>1118</v>
      </c>
      <c r="M50" s="563"/>
      <c r="N50" s="563"/>
      <c r="O50" s="551"/>
      <c r="P50" s="564"/>
    </row>
    <row r="51" spans="1:16" ht="14.4" customHeight="1" x14ac:dyDescent="0.3">
      <c r="A51" s="545" t="s">
        <v>1405</v>
      </c>
      <c r="B51" s="546" t="s">
        <v>1363</v>
      </c>
      <c r="C51" s="546" t="s">
        <v>1430</v>
      </c>
      <c r="D51" s="546" t="s">
        <v>1431</v>
      </c>
      <c r="E51" s="563"/>
      <c r="F51" s="563"/>
      <c r="G51" s="546"/>
      <c r="H51" s="546"/>
      <c r="I51" s="563">
        <v>1</v>
      </c>
      <c r="J51" s="563">
        <v>2739</v>
      </c>
      <c r="K51" s="546"/>
      <c r="L51" s="546">
        <v>2739</v>
      </c>
      <c r="M51" s="563"/>
      <c r="N51" s="563"/>
      <c r="O51" s="551"/>
      <c r="P51" s="564"/>
    </row>
    <row r="52" spans="1:16" ht="14.4" customHeight="1" x14ac:dyDescent="0.3">
      <c r="A52" s="545" t="s">
        <v>1432</v>
      </c>
      <c r="B52" s="546" t="s">
        <v>1363</v>
      </c>
      <c r="C52" s="546" t="s">
        <v>1433</v>
      </c>
      <c r="D52" s="546" t="s">
        <v>1434</v>
      </c>
      <c r="E52" s="563">
        <v>106</v>
      </c>
      <c r="F52" s="563">
        <v>1120526</v>
      </c>
      <c r="G52" s="546">
        <v>1</v>
      </c>
      <c r="H52" s="546">
        <v>10571</v>
      </c>
      <c r="I52" s="563">
        <v>103</v>
      </c>
      <c r="J52" s="563">
        <v>1092933</v>
      </c>
      <c r="K52" s="546">
        <v>0.97537495783230377</v>
      </c>
      <c r="L52" s="546">
        <v>10611</v>
      </c>
      <c r="M52" s="563">
        <v>70</v>
      </c>
      <c r="N52" s="563">
        <v>747018</v>
      </c>
      <c r="O52" s="551">
        <v>0.66666726162534384</v>
      </c>
      <c r="P52" s="564">
        <v>10671.685714285713</v>
      </c>
    </row>
    <row r="53" spans="1:16" ht="14.4" customHeight="1" x14ac:dyDescent="0.3">
      <c r="A53" s="545" t="s">
        <v>1432</v>
      </c>
      <c r="B53" s="546" t="s">
        <v>1363</v>
      </c>
      <c r="C53" s="546" t="s">
        <v>1435</v>
      </c>
      <c r="D53" s="546" t="s">
        <v>1436</v>
      </c>
      <c r="E53" s="563">
        <v>694</v>
      </c>
      <c r="F53" s="563">
        <v>204730</v>
      </c>
      <c r="G53" s="546">
        <v>1</v>
      </c>
      <c r="H53" s="546">
        <v>295</v>
      </c>
      <c r="I53" s="563">
        <v>750</v>
      </c>
      <c r="J53" s="563">
        <v>222750</v>
      </c>
      <c r="K53" s="546">
        <v>1.0880183656523226</v>
      </c>
      <c r="L53" s="546">
        <v>297</v>
      </c>
      <c r="M53" s="563">
        <v>723</v>
      </c>
      <c r="N53" s="563">
        <v>216911</v>
      </c>
      <c r="O53" s="551">
        <v>1.0594978752503297</v>
      </c>
      <c r="P53" s="564">
        <v>300.01521438450897</v>
      </c>
    </row>
    <row r="54" spans="1:16" ht="14.4" customHeight="1" x14ac:dyDescent="0.3">
      <c r="A54" s="545" t="s">
        <v>1432</v>
      </c>
      <c r="B54" s="546" t="s">
        <v>1363</v>
      </c>
      <c r="C54" s="546" t="s">
        <v>1437</v>
      </c>
      <c r="D54" s="546" t="s">
        <v>1438</v>
      </c>
      <c r="E54" s="563">
        <v>1759</v>
      </c>
      <c r="F54" s="563">
        <v>2174124</v>
      </c>
      <c r="G54" s="546">
        <v>1</v>
      </c>
      <c r="H54" s="546">
        <v>1236</v>
      </c>
      <c r="I54" s="563">
        <v>1745</v>
      </c>
      <c r="J54" s="563">
        <v>2172525</v>
      </c>
      <c r="K54" s="546">
        <v>0.99926453136987592</v>
      </c>
      <c r="L54" s="546">
        <v>1245</v>
      </c>
      <c r="M54" s="563">
        <v>1797</v>
      </c>
      <c r="N54" s="563">
        <v>2259489</v>
      </c>
      <c r="O54" s="551">
        <v>1.0392640898127246</v>
      </c>
      <c r="P54" s="564">
        <v>1257.3672787979967</v>
      </c>
    </row>
    <row r="55" spans="1:16" ht="14.4" customHeight="1" x14ac:dyDescent="0.3">
      <c r="A55" s="545" t="s">
        <v>1432</v>
      </c>
      <c r="B55" s="546" t="s">
        <v>1363</v>
      </c>
      <c r="C55" s="546" t="s">
        <v>1439</v>
      </c>
      <c r="D55" s="546" t="s">
        <v>1440</v>
      </c>
      <c r="E55" s="563">
        <v>58</v>
      </c>
      <c r="F55" s="563">
        <v>539110</v>
      </c>
      <c r="G55" s="546">
        <v>1</v>
      </c>
      <c r="H55" s="546">
        <v>9295</v>
      </c>
      <c r="I55" s="563">
        <v>40</v>
      </c>
      <c r="J55" s="563">
        <v>373480</v>
      </c>
      <c r="K55" s="546">
        <v>0.69277141956187049</v>
      </c>
      <c r="L55" s="546">
        <v>9337</v>
      </c>
      <c r="M55" s="563">
        <v>68</v>
      </c>
      <c r="N55" s="563">
        <v>638516</v>
      </c>
      <c r="O55" s="551">
        <v>1.1843890857153456</v>
      </c>
      <c r="P55" s="564">
        <v>9389.9411764705874</v>
      </c>
    </row>
    <row r="56" spans="1:16" ht="14.4" customHeight="1" x14ac:dyDescent="0.3">
      <c r="A56" s="545" t="s">
        <v>1432</v>
      </c>
      <c r="B56" s="546" t="s">
        <v>1363</v>
      </c>
      <c r="C56" s="546" t="s">
        <v>1441</v>
      </c>
      <c r="D56" s="546" t="s">
        <v>1442</v>
      </c>
      <c r="E56" s="563">
        <v>67</v>
      </c>
      <c r="F56" s="563">
        <v>28274</v>
      </c>
      <c r="G56" s="546">
        <v>1</v>
      </c>
      <c r="H56" s="546">
        <v>422</v>
      </c>
      <c r="I56" s="563">
        <v>34</v>
      </c>
      <c r="J56" s="563">
        <v>14416</v>
      </c>
      <c r="K56" s="546">
        <v>0.50986772299639249</v>
      </c>
      <c r="L56" s="546">
        <v>424</v>
      </c>
      <c r="M56" s="563">
        <v>51</v>
      </c>
      <c r="N56" s="563">
        <v>21930</v>
      </c>
      <c r="O56" s="551">
        <v>0.77562424842611588</v>
      </c>
      <c r="P56" s="564">
        <v>430</v>
      </c>
    </row>
    <row r="57" spans="1:16" ht="14.4" customHeight="1" x14ac:dyDescent="0.3">
      <c r="A57" s="545" t="s">
        <v>1432</v>
      </c>
      <c r="B57" s="546" t="s">
        <v>1363</v>
      </c>
      <c r="C57" s="546" t="s">
        <v>1443</v>
      </c>
      <c r="D57" s="546" t="s">
        <v>1444</v>
      </c>
      <c r="E57" s="563">
        <v>970</v>
      </c>
      <c r="F57" s="563">
        <v>970000</v>
      </c>
      <c r="G57" s="546">
        <v>1</v>
      </c>
      <c r="H57" s="546">
        <v>1000</v>
      </c>
      <c r="I57" s="563">
        <v>699</v>
      </c>
      <c r="J57" s="563">
        <v>700398</v>
      </c>
      <c r="K57" s="546">
        <v>0.72205979381443297</v>
      </c>
      <c r="L57" s="546">
        <v>1002</v>
      </c>
      <c r="M57" s="563">
        <v>673</v>
      </c>
      <c r="N57" s="563">
        <v>677038</v>
      </c>
      <c r="O57" s="551">
        <v>0.69797731958762887</v>
      </c>
      <c r="P57" s="564">
        <v>1006</v>
      </c>
    </row>
    <row r="58" spans="1:16" ht="14.4" customHeight="1" x14ac:dyDescent="0.3">
      <c r="A58" s="545" t="s">
        <v>1432</v>
      </c>
      <c r="B58" s="546" t="s">
        <v>1363</v>
      </c>
      <c r="C58" s="546" t="s">
        <v>1445</v>
      </c>
      <c r="D58" s="546" t="s">
        <v>1446</v>
      </c>
      <c r="E58" s="563">
        <v>12216</v>
      </c>
      <c r="F58" s="563">
        <v>27131736</v>
      </c>
      <c r="G58" s="546">
        <v>1</v>
      </c>
      <c r="H58" s="546">
        <v>2221</v>
      </c>
      <c r="I58" s="563">
        <v>14176</v>
      </c>
      <c r="J58" s="563">
        <v>31655008</v>
      </c>
      <c r="K58" s="546">
        <v>1.1667151707505925</v>
      </c>
      <c r="L58" s="546">
        <v>2233</v>
      </c>
      <c r="M58" s="563">
        <v>17230</v>
      </c>
      <c r="N58" s="563">
        <v>38761660</v>
      </c>
      <c r="O58" s="551">
        <v>1.4286465119666505</v>
      </c>
      <c r="P58" s="564">
        <v>2249.6610562971559</v>
      </c>
    </row>
    <row r="59" spans="1:16" ht="14.4" customHeight="1" x14ac:dyDescent="0.3">
      <c r="A59" s="545" t="s">
        <v>1432</v>
      </c>
      <c r="B59" s="546" t="s">
        <v>1363</v>
      </c>
      <c r="C59" s="546" t="s">
        <v>1447</v>
      </c>
      <c r="D59" s="546" t="s">
        <v>1448</v>
      </c>
      <c r="E59" s="563">
        <v>102</v>
      </c>
      <c r="F59" s="563">
        <v>50184</v>
      </c>
      <c r="G59" s="546">
        <v>1</v>
      </c>
      <c r="H59" s="546">
        <v>492</v>
      </c>
      <c r="I59" s="563">
        <v>101</v>
      </c>
      <c r="J59" s="563">
        <v>49995</v>
      </c>
      <c r="K59" s="546">
        <v>0.99623385939741749</v>
      </c>
      <c r="L59" s="546">
        <v>495</v>
      </c>
      <c r="M59" s="563">
        <v>67</v>
      </c>
      <c r="N59" s="563">
        <v>33501</v>
      </c>
      <c r="O59" s="551">
        <v>0.66756336681013873</v>
      </c>
      <c r="P59" s="564">
        <v>500.0149253731343</v>
      </c>
    </row>
    <row r="60" spans="1:16" ht="14.4" customHeight="1" x14ac:dyDescent="0.3">
      <c r="A60" s="545" t="s">
        <v>1432</v>
      </c>
      <c r="B60" s="546" t="s">
        <v>1363</v>
      </c>
      <c r="C60" s="546" t="s">
        <v>1449</v>
      </c>
      <c r="D60" s="546" t="s">
        <v>1450</v>
      </c>
      <c r="E60" s="563">
        <v>240</v>
      </c>
      <c r="F60" s="563">
        <v>208560</v>
      </c>
      <c r="G60" s="546">
        <v>1</v>
      </c>
      <c r="H60" s="546">
        <v>869</v>
      </c>
      <c r="I60" s="563">
        <v>224</v>
      </c>
      <c r="J60" s="563">
        <v>195552</v>
      </c>
      <c r="K60" s="546">
        <v>0.93762945914844653</v>
      </c>
      <c r="L60" s="546">
        <v>873</v>
      </c>
      <c r="M60" s="563">
        <v>165</v>
      </c>
      <c r="N60" s="563">
        <v>145069</v>
      </c>
      <c r="O60" s="551">
        <v>0.69557441503644035</v>
      </c>
      <c r="P60" s="564">
        <v>879.20606060606065</v>
      </c>
    </row>
    <row r="61" spans="1:16" ht="14.4" customHeight="1" x14ac:dyDescent="0.3">
      <c r="A61" s="545" t="s">
        <v>1432</v>
      </c>
      <c r="B61" s="546" t="s">
        <v>1363</v>
      </c>
      <c r="C61" s="546" t="s">
        <v>1451</v>
      </c>
      <c r="D61" s="546" t="s">
        <v>1452</v>
      </c>
      <c r="E61" s="563">
        <v>454</v>
      </c>
      <c r="F61" s="563">
        <v>2943736</v>
      </c>
      <c r="G61" s="546">
        <v>1</v>
      </c>
      <c r="H61" s="546">
        <v>6484</v>
      </c>
      <c r="I61" s="563">
        <v>528</v>
      </c>
      <c r="J61" s="563">
        <v>3439392</v>
      </c>
      <c r="K61" s="546">
        <v>1.168376512024176</v>
      </c>
      <c r="L61" s="546">
        <v>6514</v>
      </c>
      <c r="M61" s="563">
        <v>565</v>
      </c>
      <c r="N61" s="563">
        <v>3703306</v>
      </c>
      <c r="O61" s="551">
        <v>1.2580292526231971</v>
      </c>
      <c r="P61" s="564">
        <v>6554.5238938053099</v>
      </c>
    </row>
    <row r="62" spans="1:16" ht="14.4" customHeight="1" x14ac:dyDescent="0.3">
      <c r="A62" s="545" t="s">
        <v>1432</v>
      </c>
      <c r="B62" s="546" t="s">
        <v>1363</v>
      </c>
      <c r="C62" s="546" t="s">
        <v>1453</v>
      </c>
      <c r="D62" s="546" t="s">
        <v>1454</v>
      </c>
      <c r="E62" s="563">
        <v>52</v>
      </c>
      <c r="F62" s="563">
        <v>171496</v>
      </c>
      <c r="G62" s="546">
        <v>1</v>
      </c>
      <c r="H62" s="546">
        <v>3298</v>
      </c>
      <c r="I62" s="563">
        <v>20</v>
      </c>
      <c r="J62" s="563">
        <v>66320</v>
      </c>
      <c r="K62" s="546">
        <v>0.38671455894015022</v>
      </c>
      <c r="L62" s="546">
        <v>3316</v>
      </c>
      <c r="M62" s="563">
        <v>19</v>
      </c>
      <c r="N62" s="563">
        <v>63407</v>
      </c>
      <c r="O62" s="551">
        <v>0.36972874002892198</v>
      </c>
      <c r="P62" s="564">
        <v>3337.2105263157896</v>
      </c>
    </row>
    <row r="63" spans="1:16" ht="14.4" customHeight="1" x14ac:dyDescent="0.3">
      <c r="A63" s="545" t="s">
        <v>1432</v>
      </c>
      <c r="B63" s="546" t="s">
        <v>1363</v>
      </c>
      <c r="C63" s="546" t="s">
        <v>1455</v>
      </c>
      <c r="D63" s="546" t="s">
        <v>1456</v>
      </c>
      <c r="E63" s="563">
        <v>130</v>
      </c>
      <c r="F63" s="563">
        <v>1100970</v>
      </c>
      <c r="G63" s="546">
        <v>1</v>
      </c>
      <c r="H63" s="546">
        <v>8469</v>
      </c>
      <c r="I63" s="563">
        <v>118</v>
      </c>
      <c r="J63" s="563">
        <v>1003000</v>
      </c>
      <c r="K63" s="546">
        <v>0.9110148323750874</v>
      </c>
      <c r="L63" s="546">
        <v>8500</v>
      </c>
      <c r="M63" s="563">
        <v>83</v>
      </c>
      <c r="N63" s="563">
        <v>708806</v>
      </c>
      <c r="O63" s="551">
        <v>0.64380137515100322</v>
      </c>
      <c r="P63" s="564">
        <v>8539.8313253012057</v>
      </c>
    </row>
    <row r="64" spans="1:16" ht="14.4" customHeight="1" x14ac:dyDescent="0.3">
      <c r="A64" s="545" t="s">
        <v>1432</v>
      </c>
      <c r="B64" s="546" t="s">
        <v>1363</v>
      </c>
      <c r="C64" s="546" t="s">
        <v>1457</v>
      </c>
      <c r="D64" s="546" t="s">
        <v>1458</v>
      </c>
      <c r="E64" s="563">
        <v>10</v>
      </c>
      <c r="F64" s="563">
        <v>103340</v>
      </c>
      <c r="G64" s="546">
        <v>1</v>
      </c>
      <c r="H64" s="546">
        <v>10334</v>
      </c>
      <c r="I64" s="563">
        <v>15</v>
      </c>
      <c r="J64" s="563">
        <v>155610</v>
      </c>
      <c r="K64" s="546">
        <v>1.5058060770272885</v>
      </c>
      <c r="L64" s="546">
        <v>10374</v>
      </c>
      <c r="M64" s="563">
        <v>13</v>
      </c>
      <c r="N64" s="563">
        <v>135726</v>
      </c>
      <c r="O64" s="551">
        <v>1.3133926843429455</v>
      </c>
      <c r="P64" s="564">
        <v>10440.461538461539</v>
      </c>
    </row>
    <row r="65" spans="1:16" ht="14.4" customHeight="1" x14ac:dyDescent="0.3">
      <c r="A65" s="545" t="s">
        <v>1432</v>
      </c>
      <c r="B65" s="546" t="s">
        <v>1363</v>
      </c>
      <c r="C65" s="546" t="s">
        <v>1459</v>
      </c>
      <c r="D65" s="546" t="s">
        <v>1460</v>
      </c>
      <c r="E65" s="563">
        <v>32</v>
      </c>
      <c r="F65" s="563">
        <v>32448</v>
      </c>
      <c r="G65" s="546">
        <v>1</v>
      </c>
      <c r="H65" s="546">
        <v>1014</v>
      </c>
      <c r="I65" s="563">
        <v>25</v>
      </c>
      <c r="J65" s="563">
        <v>25500</v>
      </c>
      <c r="K65" s="546">
        <v>0.78587278106508873</v>
      </c>
      <c r="L65" s="546">
        <v>1020</v>
      </c>
      <c r="M65" s="563">
        <v>19</v>
      </c>
      <c r="N65" s="563">
        <v>19501</v>
      </c>
      <c r="O65" s="551">
        <v>0.6009923570019724</v>
      </c>
      <c r="P65" s="564">
        <v>1026.3684210526317</v>
      </c>
    </row>
    <row r="66" spans="1:16" ht="14.4" customHeight="1" x14ac:dyDescent="0.3">
      <c r="A66" s="545" t="s">
        <v>1432</v>
      </c>
      <c r="B66" s="546" t="s">
        <v>1363</v>
      </c>
      <c r="C66" s="546" t="s">
        <v>1461</v>
      </c>
      <c r="D66" s="546" t="s">
        <v>1462</v>
      </c>
      <c r="E66" s="563">
        <v>2</v>
      </c>
      <c r="F66" s="563">
        <v>1116</v>
      </c>
      <c r="G66" s="546">
        <v>1</v>
      </c>
      <c r="H66" s="546">
        <v>558</v>
      </c>
      <c r="I66" s="563">
        <v>2</v>
      </c>
      <c r="J66" s="563">
        <v>1122</v>
      </c>
      <c r="K66" s="546">
        <v>1.0053763440860215</v>
      </c>
      <c r="L66" s="546">
        <v>561</v>
      </c>
      <c r="M66" s="563">
        <v>5</v>
      </c>
      <c r="N66" s="563">
        <v>2823</v>
      </c>
      <c r="O66" s="551">
        <v>2.5295698924731185</v>
      </c>
      <c r="P66" s="564">
        <v>564.6</v>
      </c>
    </row>
    <row r="67" spans="1:16" ht="14.4" customHeight="1" thickBot="1" x14ac:dyDescent="0.35">
      <c r="A67" s="553" t="s">
        <v>1432</v>
      </c>
      <c r="B67" s="554" t="s">
        <v>1363</v>
      </c>
      <c r="C67" s="554" t="s">
        <v>1463</v>
      </c>
      <c r="D67" s="554" t="s">
        <v>1464</v>
      </c>
      <c r="E67" s="565"/>
      <c r="F67" s="565"/>
      <c r="G67" s="554"/>
      <c r="H67" s="554"/>
      <c r="I67" s="565"/>
      <c r="J67" s="565"/>
      <c r="K67" s="554"/>
      <c r="L67" s="554"/>
      <c r="M67" s="565">
        <v>2</v>
      </c>
      <c r="N67" s="565">
        <v>4820</v>
      </c>
      <c r="O67" s="559"/>
      <c r="P67" s="566">
        <v>2410</v>
      </c>
    </row>
  </sheetData>
  <autoFilter ref="A5:P5"/>
  <mergeCells count="10">
    <mergeCell ref="P4:P5"/>
    <mergeCell ref="A1:P1"/>
    <mergeCell ref="A4:A5"/>
    <mergeCell ref="B4:B5"/>
    <mergeCell ref="D4:D5"/>
    <mergeCell ref="E4:F4"/>
    <mergeCell ref="I4:J4"/>
    <mergeCell ref="M4:N4"/>
    <mergeCell ref="O4:O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0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0.10937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1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1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1" customWidth="1"/>
    <col min="20" max="16384" width="8.88671875" style="130"/>
  </cols>
  <sheetData>
    <row r="1" spans="1:19" ht="18.600000000000001" customHeight="1" thickBot="1" x14ac:dyDescent="0.4">
      <c r="A1" s="334" t="s">
        <v>128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</row>
    <row r="2" spans="1:19" ht="14.4" customHeight="1" thickBot="1" x14ac:dyDescent="0.35">
      <c r="A2" s="235" t="s">
        <v>281</v>
      </c>
      <c r="B2" s="227"/>
      <c r="C2" s="111"/>
      <c r="D2" s="227"/>
      <c r="E2" s="111"/>
      <c r="F2" s="227"/>
      <c r="G2" s="228"/>
      <c r="H2" s="227"/>
      <c r="I2" s="111"/>
      <c r="J2" s="227"/>
      <c r="K2" s="111"/>
      <c r="L2" s="227"/>
      <c r="M2" s="228"/>
      <c r="N2" s="227"/>
      <c r="O2" s="111"/>
      <c r="P2" s="227"/>
      <c r="Q2" s="111"/>
      <c r="R2" s="227"/>
      <c r="S2" s="228"/>
    </row>
    <row r="3" spans="1:19" ht="14.4" customHeight="1" thickBot="1" x14ac:dyDescent="0.35">
      <c r="A3" s="221" t="s">
        <v>129</v>
      </c>
      <c r="B3" s="222">
        <f>SUBTOTAL(9,B6:B1048576)</f>
        <v>1287376</v>
      </c>
      <c r="C3" s="223">
        <f t="shared" ref="C3:R3" si="0">SUBTOTAL(9,C6:C1048576)</f>
        <v>10</v>
      </c>
      <c r="D3" s="223">
        <f t="shared" si="0"/>
        <v>869129</v>
      </c>
      <c r="E3" s="223">
        <f t="shared" si="0"/>
        <v>16.659480548986156</v>
      </c>
      <c r="F3" s="223">
        <f t="shared" si="0"/>
        <v>1186660</v>
      </c>
      <c r="G3" s="226">
        <f>IF(B3&lt;&gt;0,F3/B3,"")</f>
        <v>0.92176644585575618</v>
      </c>
      <c r="H3" s="222">
        <f t="shared" si="0"/>
        <v>-568.37</v>
      </c>
      <c r="I3" s="223">
        <f t="shared" si="0"/>
        <v>1</v>
      </c>
      <c r="J3" s="223">
        <f t="shared" si="0"/>
        <v>0</v>
      </c>
      <c r="K3" s="223">
        <f t="shared" si="0"/>
        <v>0</v>
      </c>
      <c r="L3" s="223">
        <f t="shared" si="0"/>
        <v>0</v>
      </c>
      <c r="M3" s="224">
        <f>IF(H3&lt;&gt;0,L3/H3,"")</f>
        <v>0</v>
      </c>
      <c r="N3" s="225">
        <f t="shared" si="0"/>
        <v>0</v>
      </c>
      <c r="O3" s="223">
        <f t="shared" si="0"/>
        <v>0</v>
      </c>
      <c r="P3" s="223">
        <f t="shared" si="0"/>
        <v>0</v>
      </c>
      <c r="Q3" s="223">
        <f t="shared" si="0"/>
        <v>0</v>
      </c>
      <c r="R3" s="223">
        <f t="shared" si="0"/>
        <v>0</v>
      </c>
      <c r="S3" s="224" t="str">
        <f>IF(N3&lt;&gt;0,R3/N3,"")</f>
        <v/>
      </c>
    </row>
    <row r="4" spans="1:19" ht="14.4" customHeight="1" x14ac:dyDescent="0.3">
      <c r="A4" s="398" t="s">
        <v>106</v>
      </c>
      <c r="B4" s="399" t="s">
        <v>100</v>
      </c>
      <c r="C4" s="400"/>
      <c r="D4" s="400"/>
      <c r="E4" s="400"/>
      <c r="F4" s="400"/>
      <c r="G4" s="401"/>
      <c r="H4" s="399" t="s">
        <v>101</v>
      </c>
      <c r="I4" s="400"/>
      <c r="J4" s="400"/>
      <c r="K4" s="400"/>
      <c r="L4" s="400"/>
      <c r="M4" s="401"/>
      <c r="N4" s="399" t="s">
        <v>102</v>
      </c>
      <c r="O4" s="400"/>
      <c r="P4" s="400"/>
      <c r="Q4" s="400"/>
      <c r="R4" s="400"/>
      <c r="S4" s="401"/>
    </row>
    <row r="5" spans="1:19" ht="14.4" customHeight="1" thickBot="1" x14ac:dyDescent="0.35">
      <c r="A5" s="609"/>
      <c r="B5" s="610">
        <v>2012</v>
      </c>
      <c r="C5" s="611"/>
      <c r="D5" s="611">
        <v>2013</v>
      </c>
      <c r="E5" s="611"/>
      <c r="F5" s="611">
        <v>2014</v>
      </c>
      <c r="G5" s="612" t="s">
        <v>2</v>
      </c>
      <c r="H5" s="610">
        <v>2012</v>
      </c>
      <c r="I5" s="611"/>
      <c r="J5" s="611">
        <v>2013</v>
      </c>
      <c r="K5" s="611"/>
      <c r="L5" s="611">
        <v>2014</v>
      </c>
      <c r="M5" s="612" t="s">
        <v>2</v>
      </c>
      <c r="N5" s="610">
        <v>2012</v>
      </c>
      <c r="O5" s="611"/>
      <c r="P5" s="611">
        <v>2013</v>
      </c>
      <c r="Q5" s="611"/>
      <c r="R5" s="611">
        <v>2014</v>
      </c>
      <c r="S5" s="612" t="s">
        <v>2</v>
      </c>
    </row>
    <row r="6" spans="1:19" ht="14.4" customHeight="1" x14ac:dyDescent="0.3">
      <c r="A6" s="570" t="s">
        <v>1466</v>
      </c>
      <c r="B6" s="613"/>
      <c r="C6" s="539"/>
      <c r="D6" s="613"/>
      <c r="E6" s="539"/>
      <c r="F6" s="613">
        <v>2705</v>
      </c>
      <c r="G6" s="544"/>
      <c r="H6" s="613"/>
      <c r="I6" s="539"/>
      <c r="J6" s="613"/>
      <c r="K6" s="539"/>
      <c r="L6" s="613"/>
      <c r="M6" s="544"/>
      <c r="N6" s="613"/>
      <c r="O6" s="539"/>
      <c r="P6" s="613"/>
      <c r="Q6" s="539"/>
      <c r="R6" s="613"/>
      <c r="S6" s="122"/>
    </row>
    <row r="7" spans="1:19" ht="14.4" customHeight="1" x14ac:dyDescent="0.3">
      <c r="A7" s="572" t="s">
        <v>1467</v>
      </c>
      <c r="B7" s="614">
        <v>8618</v>
      </c>
      <c r="C7" s="546">
        <v>1</v>
      </c>
      <c r="D7" s="614">
        <v>6798</v>
      </c>
      <c r="E7" s="546">
        <v>0.78881411000232071</v>
      </c>
      <c r="F7" s="614">
        <v>5577</v>
      </c>
      <c r="G7" s="551">
        <v>0.64713390577860297</v>
      </c>
      <c r="H7" s="614"/>
      <c r="I7" s="546"/>
      <c r="J7" s="614"/>
      <c r="K7" s="546"/>
      <c r="L7" s="614"/>
      <c r="M7" s="551"/>
      <c r="N7" s="614"/>
      <c r="O7" s="546"/>
      <c r="P7" s="614"/>
      <c r="Q7" s="546"/>
      <c r="R7" s="614"/>
      <c r="S7" s="552"/>
    </row>
    <row r="8" spans="1:19" ht="14.4" customHeight="1" x14ac:dyDescent="0.3">
      <c r="A8" s="572" t="s">
        <v>1468</v>
      </c>
      <c r="B8" s="614"/>
      <c r="C8" s="546"/>
      <c r="D8" s="614">
        <v>2681</v>
      </c>
      <c r="E8" s="546"/>
      <c r="F8" s="614">
        <v>3031</v>
      </c>
      <c r="G8" s="551"/>
      <c r="H8" s="614"/>
      <c r="I8" s="546"/>
      <c r="J8" s="614"/>
      <c r="K8" s="546"/>
      <c r="L8" s="614"/>
      <c r="M8" s="551"/>
      <c r="N8" s="614"/>
      <c r="O8" s="546"/>
      <c r="P8" s="614"/>
      <c r="Q8" s="546"/>
      <c r="R8" s="614"/>
      <c r="S8" s="552"/>
    </row>
    <row r="9" spans="1:19" ht="14.4" customHeight="1" x14ac:dyDescent="0.3">
      <c r="A9" s="572" t="s">
        <v>1469</v>
      </c>
      <c r="B9" s="614">
        <v>2485</v>
      </c>
      <c r="C9" s="546">
        <v>1</v>
      </c>
      <c r="D9" s="614"/>
      <c r="E9" s="546"/>
      <c r="F9" s="614"/>
      <c r="G9" s="551"/>
      <c r="H9" s="614"/>
      <c r="I9" s="546"/>
      <c r="J9" s="614"/>
      <c r="K9" s="546"/>
      <c r="L9" s="614"/>
      <c r="M9" s="551"/>
      <c r="N9" s="614"/>
      <c r="O9" s="546"/>
      <c r="P9" s="614"/>
      <c r="Q9" s="546"/>
      <c r="R9" s="614"/>
      <c r="S9" s="552"/>
    </row>
    <row r="10" spans="1:19" ht="14.4" customHeight="1" x14ac:dyDescent="0.3">
      <c r="A10" s="572" t="s">
        <v>1470</v>
      </c>
      <c r="B10" s="614"/>
      <c r="C10" s="546"/>
      <c r="D10" s="614">
        <v>2516</v>
      </c>
      <c r="E10" s="546"/>
      <c r="F10" s="614"/>
      <c r="G10" s="551"/>
      <c r="H10" s="614"/>
      <c r="I10" s="546"/>
      <c r="J10" s="614"/>
      <c r="K10" s="546"/>
      <c r="L10" s="614"/>
      <c r="M10" s="551"/>
      <c r="N10" s="614"/>
      <c r="O10" s="546"/>
      <c r="P10" s="614"/>
      <c r="Q10" s="546"/>
      <c r="R10" s="614"/>
      <c r="S10" s="552"/>
    </row>
    <row r="11" spans="1:19" ht="14.4" customHeight="1" x14ac:dyDescent="0.3">
      <c r="A11" s="572" t="s">
        <v>1471</v>
      </c>
      <c r="B11" s="614">
        <v>420600</v>
      </c>
      <c r="C11" s="546">
        <v>1</v>
      </c>
      <c r="D11" s="614">
        <v>191828</v>
      </c>
      <c r="E11" s="546">
        <v>0.45608178792201615</v>
      </c>
      <c r="F11" s="614">
        <v>219722</v>
      </c>
      <c r="G11" s="551">
        <v>0.52240133143128864</v>
      </c>
      <c r="H11" s="614"/>
      <c r="I11" s="546"/>
      <c r="J11" s="614"/>
      <c r="K11" s="546"/>
      <c r="L11" s="614"/>
      <c r="M11" s="551"/>
      <c r="N11" s="614"/>
      <c r="O11" s="546"/>
      <c r="P11" s="614"/>
      <c r="Q11" s="546"/>
      <c r="R11" s="614"/>
      <c r="S11" s="552"/>
    </row>
    <row r="12" spans="1:19" ht="14.4" customHeight="1" x14ac:dyDescent="0.3">
      <c r="A12" s="572" t="s">
        <v>1472</v>
      </c>
      <c r="B12" s="614">
        <v>282570</v>
      </c>
      <c r="C12" s="546">
        <v>1</v>
      </c>
      <c r="D12" s="614">
        <v>320126</v>
      </c>
      <c r="E12" s="546">
        <v>1.1329086598011113</v>
      </c>
      <c r="F12" s="614">
        <v>443505</v>
      </c>
      <c r="G12" s="551">
        <v>1.5695402909013696</v>
      </c>
      <c r="H12" s="614"/>
      <c r="I12" s="546"/>
      <c r="J12" s="614"/>
      <c r="K12" s="546"/>
      <c r="L12" s="614"/>
      <c r="M12" s="551"/>
      <c r="N12" s="614"/>
      <c r="O12" s="546"/>
      <c r="P12" s="614"/>
      <c r="Q12" s="546"/>
      <c r="R12" s="614"/>
      <c r="S12" s="552"/>
    </row>
    <row r="13" spans="1:19" ht="14.4" customHeight="1" x14ac:dyDescent="0.3">
      <c r="A13" s="572" t="s">
        <v>1473</v>
      </c>
      <c r="B13" s="614">
        <v>255552</v>
      </c>
      <c r="C13" s="546">
        <v>1</v>
      </c>
      <c r="D13" s="614">
        <v>176839</v>
      </c>
      <c r="E13" s="546">
        <v>0.69198832331580262</v>
      </c>
      <c r="F13" s="614">
        <v>337665</v>
      </c>
      <c r="G13" s="551">
        <v>1.3213162096168294</v>
      </c>
      <c r="H13" s="614"/>
      <c r="I13" s="546"/>
      <c r="J13" s="614"/>
      <c r="K13" s="546"/>
      <c r="L13" s="614"/>
      <c r="M13" s="551"/>
      <c r="N13" s="614"/>
      <c r="O13" s="546"/>
      <c r="P13" s="614"/>
      <c r="Q13" s="546"/>
      <c r="R13" s="614"/>
      <c r="S13" s="552"/>
    </row>
    <row r="14" spans="1:19" ht="14.4" customHeight="1" x14ac:dyDescent="0.3">
      <c r="A14" s="572" t="s">
        <v>1474</v>
      </c>
      <c r="B14" s="614">
        <v>48504</v>
      </c>
      <c r="C14" s="546">
        <v>1</v>
      </c>
      <c r="D14" s="614">
        <v>2681</v>
      </c>
      <c r="E14" s="546">
        <v>5.5273791852218375E-2</v>
      </c>
      <c r="F14" s="614">
        <v>18540</v>
      </c>
      <c r="G14" s="551">
        <v>0.38223651657595248</v>
      </c>
      <c r="H14" s="614"/>
      <c r="I14" s="546"/>
      <c r="J14" s="614"/>
      <c r="K14" s="546"/>
      <c r="L14" s="614"/>
      <c r="M14" s="551"/>
      <c r="N14" s="614"/>
      <c r="O14" s="546"/>
      <c r="P14" s="614"/>
      <c r="Q14" s="546"/>
      <c r="R14" s="614"/>
      <c r="S14" s="552"/>
    </row>
    <row r="15" spans="1:19" ht="14.4" customHeight="1" x14ac:dyDescent="0.3">
      <c r="A15" s="572" t="s">
        <v>1475</v>
      </c>
      <c r="B15" s="614">
        <v>250377</v>
      </c>
      <c r="C15" s="546">
        <v>1</v>
      </c>
      <c r="D15" s="614">
        <v>132873</v>
      </c>
      <c r="E15" s="546">
        <v>0.53069171689092853</v>
      </c>
      <c r="F15" s="614">
        <v>150008</v>
      </c>
      <c r="G15" s="551">
        <v>0.59912851420058555</v>
      </c>
      <c r="H15" s="614"/>
      <c r="I15" s="546"/>
      <c r="J15" s="614"/>
      <c r="K15" s="546"/>
      <c r="L15" s="614"/>
      <c r="M15" s="551"/>
      <c r="N15" s="614"/>
      <c r="O15" s="546"/>
      <c r="P15" s="614"/>
      <c r="Q15" s="546"/>
      <c r="R15" s="614"/>
      <c r="S15" s="552"/>
    </row>
    <row r="16" spans="1:19" ht="14.4" customHeight="1" x14ac:dyDescent="0.3">
      <c r="A16" s="572" t="s">
        <v>1476</v>
      </c>
      <c r="B16" s="614"/>
      <c r="C16" s="546"/>
      <c r="D16" s="614">
        <v>965</v>
      </c>
      <c r="E16" s="546"/>
      <c r="F16" s="614"/>
      <c r="G16" s="551"/>
      <c r="H16" s="614"/>
      <c r="I16" s="546"/>
      <c r="J16" s="614"/>
      <c r="K16" s="546"/>
      <c r="L16" s="614"/>
      <c r="M16" s="551"/>
      <c r="N16" s="614"/>
      <c r="O16" s="546"/>
      <c r="P16" s="614"/>
      <c r="Q16" s="546"/>
      <c r="R16" s="614"/>
      <c r="S16" s="552"/>
    </row>
    <row r="17" spans="1:19" ht="14.4" customHeight="1" x14ac:dyDescent="0.3">
      <c r="A17" s="572" t="s">
        <v>1477</v>
      </c>
      <c r="B17" s="614">
        <v>2358</v>
      </c>
      <c r="C17" s="546">
        <v>1</v>
      </c>
      <c r="D17" s="614">
        <v>30386</v>
      </c>
      <c r="E17" s="546">
        <v>12.886344359626802</v>
      </c>
      <c r="F17" s="614">
        <v>1766</v>
      </c>
      <c r="G17" s="551">
        <v>0.7489397794741306</v>
      </c>
      <c r="H17" s="614"/>
      <c r="I17" s="546"/>
      <c r="J17" s="614"/>
      <c r="K17" s="546"/>
      <c r="L17" s="614"/>
      <c r="M17" s="551"/>
      <c r="N17" s="614"/>
      <c r="O17" s="546"/>
      <c r="P17" s="614"/>
      <c r="Q17" s="546"/>
      <c r="R17" s="614"/>
      <c r="S17" s="552"/>
    </row>
    <row r="18" spans="1:19" ht="14.4" customHeight="1" x14ac:dyDescent="0.3">
      <c r="A18" s="572" t="s">
        <v>1478</v>
      </c>
      <c r="B18" s="614">
        <v>12234</v>
      </c>
      <c r="C18" s="546">
        <v>1</v>
      </c>
      <c r="D18" s="614">
        <v>1436</v>
      </c>
      <c r="E18" s="546">
        <v>0.11737779957495505</v>
      </c>
      <c r="F18" s="614">
        <v>1436</v>
      </c>
      <c r="G18" s="551">
        <v>0.11737779957495505</v>
      </c>
      <c r="H18" s="614"/>
      <c r="I18" s="546"/>
      <c r="J18" s="614"/>
      <c r="K18" s="546"/>
      <c r="L18" s="614"/>
      <c r="M18" s="551"/>
      <c r="N18" s="614"/>
      <c r="O18" s="546"/>
      <c r="P18" s="614"/>
      <c r="Q18" s="546"/>
      <c r="R18" s="614"/>
      <c r="S18" s="552"/>
    </row>
    <row r="19" spans="1:19" ht="14.4" customHeight="1" x14ac:dyDescent="0.3">
      <c r="A19" s="572" t="s">
        <v>687</v>
      </c>
      <c r="B19" s="614"/>
      <c r="C19" s="546"/>
      <c r="D19" s="614"/>
      <c r="E19" s="546"/>
      <c r="F19" s="614"/>
      <c r="G19" s="551"/>
      <c r="H19" s="614">
        <v>-568.37</v>
      </c>
      <c r="I19" s="546">
        <v>1</v>
      </c>
      <c r="J19" s="614"/>
      <c r="K19" s="546"/>
      <c r="L19" s="614"/>
      <c r="M19" s="551"/>
      <c r="N19" s="614"/>
      <c r="O19" s="546"/>
      <c r="P19" s="614"/>
      <c r="Q19" s="546"/>
      <c r="R19" s="614"/>
      <c r="S19" s="552"/>
    </row>
    <row r="20" spans="1:19" ht="14.4" customHeight="1" thickBot="1" x14ac:dyDescent="0.35">
      <c r="A20" s="616" t="s">
        <v>1479</v>
      </c>
      <c r="B20" s="615">
        <v>4078</v>
      </c>
      <c r="C20" s="554">
        <v>1</v>
      </c>
      <c r="D20" s="615"/>
      <c r="E20" s="554"/>
      <c r="F20" s="615">
        <v>2705</v>
      </c>
      <c r="G20" s="559">
        <v>0.66331535066208924</v>
      </c>
      <c r="H20" s="615"/>
      <c r="I20" s="554"/>
      <c r="J20" s="615"/>
      <c r="K20" s="554"/>
      <c r="L20" s="615"/>
      <c r="M20" s="559"/>
      <c r="N20" s="615"/>
      <c r="O20" s="554"/>
      <c r="P20" s="615"/>
      <c r="Q20" s="554"/>
      <c r="R20" s="615"/>
      <c r="S20" s="56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99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30" bestFit="1" customWidth="1"/>
    <col min="2" max="2" width="8.6640625" style="130" bestFit="1" customWidth="1"/>
    <col min="3" max="3" width="2.109375" style="130" bestFit="1" customWidth="1"/>
    <col min="4" max="4" width="8" style="130" bestFit="1" customWidth="1"/>
    <col min="5" max="5" width="52.88671875" style="130" bestFit="1" customWidth="1"/>
    <col min="6" max="7" width="11.109375" style="208" customWidth="1"/>
    <col min="8" max="9" width="9.33203125" style="208" hidden="1" customWidth="1"/>
    <col min="10" max="11" width="11.109375" style="208" customWidth="1"/>
    <col min="12" max="13" width="9.33203125" style="208" hidden="1" customWidth="1"/>
    <col min="14" max="15" width="11.109375" style="208" customWidth="1"/>
    <col min="16" max="16" width="11.109375" style="211" customWidth="1"/>
    <col min="17" max="17" width="11.109375" style="208" customWidth="1"/>
    <col min="18" max="16384" width="8.88671875" style="130"/>
  </cols>
  <sheetData>
    <row r="1" spans="1:17" ht="18.600000000000001" customHeight="1" thickBot="1" x14ac:dyDescent="0.4">
      <c r="A1" s="325" t="s">
        <v>1496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ht="14.4" customHeight="1" thickBot="1" x14ac:dyDescent="0.35">
      <c r="A2" s="235" t="s">
        <v>281</v>
      </c>
      <c r="B2" s="131"/>
      <c r="C2" s="131"/>
      <c r="D2" s="131"/>
      <c r="E2" s="131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30"/>
      <c r="Q2" s="229"/>
    </row>
    <row r="3" spans="1:17" ht="14.4" customHeight="1" thickBot="1" x14ac:dyDescent="0.35">
      <c r="E3" s="87" t="s">
        <v>129</v>
      </c>
      <c r="F3" s="102">
        <f t="shared" ref="F3:O3" si="0">SUBTOTAL(9,F6:F1048576)</f>
        <v>706</v>
      </c>
      <c r="G3" s="103">
        <f t="shared" si="0"/>
        <v>1286807.6299999999</v>
      </c>
      <c r="H3" s="103"/>
      <c r="I3" s="103"/>
      <c r="J3" s="103">
        <f t="shared" si="0"/>
        <v>498</v>
      </c>
      <c r="K3" s="103">
        <f t="shared" si="0"/>
        <v>869129</v>
      </c>
      <c r="L3" s="103"/>
      <c r="M3" s="103"/>
      <c r="N3" s="103">
        <f t="shared" si="0"/>
        <v>613</v>
      </c>
      <c r="O3" s="103">
        <f t="shared" si="0"/>
        <v>1186660</v>
      </c>
      <c r="P3" s="75">
        <f>IF(G3=0,0,O3/G3)</f>
        <v>0.92217358083274659</v>
      </c>
      <c r="Q3" s="104">
        <f>IF(N3=0,0,O3/N3)</f>
        <v>1935.8238172920064</v>
      </c>
    </row>
    <row r="4" spans="1:17" ht="14.4" customHeight="1" x14ac:dyDescent="0.3">
      <c r="A4" s="407" t="s">
        <v>69</v>
      </c>
      <c r="B4" s="406" t="s">
        <v>95</v>
      </c>
      <c r="C4" s="407" t="s">
        <v>96</v>
      </c>
      <c r="D4" s="415" t="s">
        <v>97</v>
      </c>
      <c r="E4" s="408" t="s">
        <v>70</v>
      </c>
      <c r="F4" s="413">
        <v>2012</v>
      </c>
      <c r="G4" s="414"/>
      <c r="H4" s="105"/>
      <c r="I4" s="105"/>
      <c r="J4" s="413">
        <v>2013</v>
      </c>
      <c r="K4" s="414"/>
      <c r="L4" s="105"/>
      <c r="M4" s="105"/>
      <c r="N4" s="413">
        <v>2014</v>
      </c>
      <c r="O4" s="414"/>
      <c r="P4" s="416" t="s">
        <v>2</v>
      </c>
      <c r="Q4" s="405" t="s">
        <v>98</v>
      </c>
    </row>
    <row r="5" spans="1:17" ht="14.4" customHeight="1" thickBot="1" x14ac:dyDescent="0.35">
      <c r="A5" s="624"/>
      <c r="B5" s="623"/>
      <c r="C5" s="624"/>
      <c r="D5" s="632"/>
      <c r="E5" s="626"/>
      <c r="F5" s="633" t="s">
        <v>72</v>
      </c>
      <c r="G5" s="634" t="s">
        <v>14</v>
      </c>
      <c r="H5" s="635"/>
      <c r="I5" s="635"/>
      <c r="J5" s="633" t="s">
        <v>72</v>
      </c>
      <c r="K5" s="634" t="s">
        <v>14</v>
      </c>
      <c r="L5" s="635"/>
      <c r="M5" s="635"/>
      <c r="N5" s="633" t="s">
        <v>72</v>
      </c>
      <c r="O5" s="634" t="s">
        <v>14</v>
      </c>
      <c r="P5" s="636"/>
      <c r="Q5" s="631"/>
    </row>
    <row r="6" spans="1:17" ht="14.4" customHeight="1" x14ac:dyDescent="0.3">
      <c r="A6" s="538" t="s">
        <v>1480</v>
      </c>
      <c r="B6" s="539" t="s">
        <v>1355</v>
      </c>
      <c r="C6" s="539" t="s">
        <v>1363</v>
      </c>
      <c r="D6" s="539" t="s">
        <v>1380</v>
      </c>
      <c r="E6" s="539" t="s">
        <v>1381</v>
      </c>
      <c r="F6" s="116"/>
      <c r="G6" s="116"/>
      <c r="H6" s="116"/>
      <c r="I6" s="116"/>
      <c r="J6" s="116"/>
      <c r="K6" s="116"/>
      <c r="L6" s="116"/>
      <c r="M6" s="116"/>
      <c r="N6" s="116">
        <v>1</v>
      </c>
      <c r="O6" s="116">
        <v>0</v>
      </c>
      <c r="P6" s="544"/>
      <c r="Q6" s="562">
        <v>0</v>
      </c>
    </row>
    <row r="7" spans="1:17" ht="14.4" customHeight="1" x14ac:dyDescent="0.3">
      <c r="A7" s="545" t="s">
        <v>1480</v>
      </c>
      <c r="B7" s="546" t="s">
        <v>1355</v>
      </c>
      <c r="C7" s="546" t="s">
        <v>1363</v>
      </c>
      <c r="D7" s="546" t="s">
        <v>1382</v>
      </c>
      <c r="E7" s="546" t="s">
        <v>1383</v>
      </c>
      <c r="F7" s="563"/>
      <c r="G7" s="563"/>
      <c r="H7" s="563"/>
      <c r="I7" s="563"/>
      <c r="J7" s="563"/>
      <c r="K7" s="563"/>
      <c r="L7" s="563"/>
      <c r="M7" s="563"/>
      <c r="N7" s="563">
        <v>1</v>
      </c>
      <c r="O7" s="563">
        <v>1444</v>
      </c>
      <c r="P7" s="551"/>
      <c r="Q7" s="564">
        <v>1444</v>
      </c>
    </row>
    <row r="8" spans="1:17" ht="14.4" customHeight="1" x14ac:dyDescent="0.3">
      <c r="A8" s="545" t="s">
        <v>1480</v>
      </c>
      <c r="B8" s="546" t="s">
        <v>1432</v>
      </c>
      <c r="C8" s="546" t="s">
        <v>1363</v>
      </c>
      <c r="D8" s="546" t="s">
        <v>1437</v>
      </c>
      <c r="E8" s="546" t="s">
        <v>1438</v>
      </c>
      <c r="F8" s="563"/>
      <c r="G8" s="563"/>
      <c r="H8" s="563"/>
      <c r="I8" s="563"/>
      <c r="J8" s="563"/>
      <c r="K8" s="563"/>
      <c r="L8" s="563"/>
      <c r="M8" s="563"/>
      <c r="N8" s="563">
        <v>1</v>
      </c>
      <c r="O8" s="563">
        <v>1261</v>
      </c>
      <c r="P8" s="551"/>
      <c r="Q8" s="564">
        <v>1261</v>
      </c>
    </row>
    <row r="9" spans="1:17" ht="14.4" customHeight="1" x14ac:dyDescent="0.3">
      <c r="A9" s="545" t="s">
        <v>1481</v>
      </c>
      <c r="B9" s="546" t="s">
        <v>1355</v>
      </c>
      <c r="C9" s="546" t="s">
        <v>1363</v>
      </c>
      <c r="D9" s="546" t="s">
        <v>1374</v>
      </c>
      <c r="E9" s="546" t="s">
        <v>1375</v>
      </c>
      <c r="F9" s="563">
        <v>1</v>
      </c>
      <c r="G9" s="563">
        <v>318</v>
      </c>
      <c r="H9" s="563">
        <v>1</v>
      </c>
      <c r="I9" s="563">
        <v>318</v>
      </c>
      <c r="J9" s="563"/>
      <c r="K9" s="563"/>
      <c r="L9" s="563"/>
      <c r="M9" s="563"/>
      <c r="N9" s="563"/>
      <c r="O9" s="563"/>
      <c r="P9" s="551"/>
      <c r="Q9" s="564"/>
    </row>
    <row r="10" spans="1:17" ht="14.4" customHeight="1" x14ac:dyDescent="0.3">
      <c r="A10" s="545" t="s">
        <v>1481</v>
      </c>
      <c r="B10" s="546" t="s">
        <v>1355</v>
      </c>
      <c r="C10" s="546" t="s">
        <v>1363</v>
      </c>
      <c r="D10" s="546" t="s">
        <v>1380</v>
      </c>
      <c r="E10" s="546" t="s">
        <v>1381</v>
      </c>
      <c r="F10" s="563">
        <v>2</v>
      </c>
      <c r="G10" s="563">
        <v>0</v>
      </c>
      <c r="H10" s="563"/>
      <c r="I10" s="563">
        <v>0</v>
      </c>
      <c r="J10" s="563">
        <v>2</v>
      </c>
      <c r="K10" s="563">
        <v>0</v>
      </c>
      <c r="L10" s="563"/>
      <c r="M10" s="563">
        <v>0</v>
      </c>
      <c r="N10" s="563">
        <v>2</v>
      </c>
      <c r="O10" s="563">
        <v>0</v>
      </c>
      <c r="P10" s="551"/>
      <c r="Q10" s="564">
        <v>0</v>
      </c>
    </row>
    <row r="11" spans="1:17" ht="14.4" customHeight="1" x14ac:dyDescent="0.3">
      <c r="A11" s="545" t="s">
        <v>1481</v>
      </c>
      <c r="B11" s="546" t="s">
        <v>1355</v>
      </c>
      <c r="C11" s="546" t="s">
        <v>1363</v>
      </c>
      <c r="D11" s="546" t="s">
        <v>1382</v>
      </c>
      <c r="E11" s="546" t="s">
        <v>1383</v>
      </c>
      <c r="F11" s="563">
        <v>4</v>
      </c>
      <c r="G11" s="563">
        <v>6424</v>
      </c>
      <c r="H11" s="563">
        <v>1</v>
      </c>
      <c r="I11" s="563">
        <v>1606</v>
      </c>
      <c r="J11" s="563">
        <v>3</v>
      </c>
      <c r="K11" s="563">
        <v>4308</v>
      </c>
      <c r="L11" s="563">
        <v>0.67061021170610213</v>
      </c>
      <c r="M11" s="563">
        <v>1436</v>
      </c>
      <c r="N11" s="563">
        <v>3</v>
      </c>
      <c r="O11" s="563">
        <v>4316</v>
      </c>
      <c r="P11" s="551">
        <v>0.67185554171855544</v>
      </c>
      <c r="Q11" s="564">
        <v>1438.6666666666667</v>
      </c>
    </row>
    <row r="12" spans="1:17" ht="14.4" customHeight="1" x14ac:dyDescent="0.3">
      <c r="A12" s="545" t="s">
        <v>1481</v>
      </c>
      <c r="B12" s="546" t="s">
        <v>1405</v>
      </c>
      <c r="C12" s="546" t="s">
        <v>1363</v>
      </c>
      <c r="D12" s="546" t="s">
        <v>1418</v>
      </c>
      <c r="E12" s="546" t="s">
        <v>1419</v>
      </c>
      <c r="F12" s="563">
        <v>1</v>
      </c>
      <c r="G12" s="563">
        <v>640</v>
      </c>
      <c r="H12" s="563">
        <v>1</v>
      </c>
      <c r="I12" s="563">
        <v>640</v>
      </c>
      <c r="J12" s="563"/>
      <c r="K12" s="563"/>
      <c r="L12" s="563"/>
      <c r="M12" s="563"/>
      <c r="N12" s="563"/>
      <c r="O12" s="563"/>
      <c r="P12" s="551"/>
      <c r="Q12" s="564"/>
    </row>
    <row r="13" spans="1:17" ht="14.4" customHeight="1" x14ac:dyDescent="0.3">
      <c r="A13" s="545" t="s">
        <v>1481</v>
      </c>
      <c r="B13" s="546" t="s">
        <v>1432</v>
      </c>
      <c r="C13" s="546" t="s">
        <v>1363</v>
      </c>
      <c r="D13" s="546" t="s">
        <v>1437</v>
      </c>
      <c r="E13" s="546" t="s">
        <v>1438</v>
      </c>
      <c r="F13" s="563">
        <v>1</v>
      </c>
      <c r="G13" s="563">
        <v>1236</v>
      </c>
      <c r="H13" s="563">
        <v>1</v>
      </c>
      <c r="I13" s="563">
        <v>1236</v>
      </c>
      <c r="J13" s="563">
        <v>2</v>
      </c>
      <c r="K13" s="563">
        <v>2490</v>
      </c>
      <c r="L13" s="563">
        <v>2.0145631067961167</v>
      </c>
      <c r="M13" s="563">
        <v>1245</v>
      </c>
      <c r="N13" s="563">
        <v>1</v>
      </c>
      <c r="O13" s="563">
        <v>1261</v>
      </c>
      <c r="P13" s="551">
        <v>1.0202265372168284</v>
      </c>
      <c r="Q13" s="564">
        <v>1261</v>
      </c>
    </row>
    <row r="14" spans="1:17" ht="14.4" customHeight="1" x14ac:dyDescent="0.3">
      <c r="A14" s="545" t="s">
        <v>1482</v>
      </c>
      <c r="B14" s="546" t="s">
        <v>1355</v>
      </c>
      <c r="C14" s="546" t="s">
        <v>1363</v>
      </c>
      <c r="D14" s="546" t="s">
        <v>1378</v>
      </c>
      <c r="E14" s="546" t="s">
        <v>1379</v>
      </c>
      <c r="F14" s="563"/>
      <c r="G14" s="563"/>
      <c r="H14" s="563"/>
      <c r="I14" s="563"/>
      <c r="J14" s="563"/>
      <c r="K14" s="563"/>
      <c r="L14" s="563"/>
      <c r="M14" s="563"/>
      <c r="N14" s="563">
        <v>1</v>
      </c>
      <c r="O14" s="563">
        <v>326</v>
      </c>
      <c r="P14" s="551"/>
      <c r="Q14" s="564">
        <v>326</v>
      </c>
    </row>
    <row r="15" spans="1:17" ht="14.4" customHeight="1" x14ac:dyDescent="0.3">
      <c r="A15" s="545" t="s">
        <v>1482</v>
      </c>
      <c r="B15" s="546" t="s">
        <v>1355</v>
      </c>
      <c r="C15" s="546" t="s">
        <v>1363</v>
      </c>
      <c r="D15" s="546" t="s">
        <v>1382</v>
      </c>
      <c r="E15" s="546" t="s">
        <v>1383</v>
      </c>
      <c r="F15" s="563"/>
      <c r="G15" s="563"/>
      <c r="H15" s="563"/>
      <c r="I15" s="563"/>
      <c r="J15" s="563">
        <v>1</v>
      </c>
      <c r="K15" s="563">
        <v>1436</v>
      </c>
      <c r="L15" s="563"/>
      <c r="M15" s="563">
        <v>1436</v>
      </c>
      <c r="N15" s="563">
        <v>1</v>
      </c>
      <c r="O15" s="563">
        <v>1444</v>
      </c>
      <c r="P15" s="551"/>
      <c r="Q15" s="564">
        <v>1444</v>
      </c>
    </row>
    <row r="16" spans="1:17" ht="14.4" customHeight="1" x14ac:dyDescent="0.3">
      <c r="A16" s="545" t="s">
        <v>1482</v>
      </c>
      <c r="B16" s="546" t="s">
        <v>1432</v>
      </c>
      <c r="C16" s="546" t="s">
        <v>1363</v>
      </c>
      <c r="D16" s="546" t="s">
        <v>1437</v>
      </c>
      <c r="E16" s="546" t="s">
        <v>1438</v>
      </c>
      <c r="F16" s="563"/>
      <c r="G16" s="563"/>
      <c r="H16" s="563"/>
      <c r="I16" s="563"/>
      <c r="J16" s="563">
        <v>1</v>
      </c>
      <c r="K16" s="563">
        <v>1245</v>
      </c>
      <c r="L16" s="563"/>
      <c r="M16" s="563">
        <v>1245</v>
      </c>
      <c r="N16" s="563">
        <v>1</v>
      </c>
      <c r="O16" s="563">
        <v>1261</v>
      </c>
      <c r="P16" s="551"/>
      <c r="Q16" s="564">
        <v>1261</v>
      </c>
    </row>
    <row r="17" spans="1:17" ht="14.4" customHeight="1" x14ac:dyDescent="0.3">
      <c r="A17" s="545" t="s">
        <v>1483</v>
      </c>
      <c r="B17" s="546" t="s">
        <v>1355</v>
      </c>
      <c r="C17" s="546" t="s">
        <v>1363</v>
      </c>
      <c r="D17" s="546" t="s">
        <v>1370</v>
      </c>
      <c r="E17" s="546" t="s">
        <v>1371</v>
      </c>
      <c r="F17" s="563">
        <v>1</v>
      </c>
      <c r="G17" s="563">
        <v>2485</v>
      </c>
      <c r="H17" s="563">
        <v>1</v>
      </c>
      <c r="I17" s="563">
        <v>2485</v>
      </c>
      <c r="J17" s="563"/>
      <c r="K17" s="563"/>
      <c r="L17" s="563"/>
      <c r="M17" s="563"/>
      <c r="N17" s="563"/>
      <c r="O17" s="563"/>
      <c r="P17" s="551"/>
      <c r="Q17" s="564"/>
    </row>
    <row r="18" spans="1:17" ht="14.4" customHeight="1" x14ac:dyDescent="0.3">
      <c r="A18" s="545" t="s">
        <v>1484</v>
      </c>
      <c r="B18" s="546" t="s">
        <v>1355</v>
      </c>
      <c r="C18" s="546" t="s">
        <v>1363</v>
      </c>
      <c r="D18" s="546" t="s">
        <v>1382</v>
      </c>
      <c r="E18" s="546" t="s">
        <v>1383</v>
      </c>
      <c r="F18" s="563"/>
      <c r="G18" s="563"/>
      <c r="H18" s="563"/>
      <c r="I18" s="563"/>
      <c r="J18" s="563">
        <v>1</v>
      </c>
      <c r="K18" s="563">
        <v>1436</v>
      </c>
      <c r="L18" s="563"/>
      <c r="M18" s="563">
        <v>1436</v>
      </c>
      <c r="N18" s="563"/>
      <c r="O18" s="563"/>
      <c r="P18" s="551"/>
      <c r="Q18" s="564"/>
    </row>
    <row r="19" spans="1:17" ht="14.4" customHeight="1" x14ac:dyDescent="0.3">
      <c r="A19" s="545" t="s">
        <v>1484</v>
      </c>
      <c r="B19" s="546" t="s">
        <v>1405</v>
      </c>
      <c r="C19" s="546" t="s">
        <v>1363</v>
      </c>
      <c r="D19" s="546" t="s">
        <v>1406</v>
      </c>
      <c r="E19" s="546" t="s">
        <v>1407</v>
      </c>
      <c r="F19" s="563"/>
      <c r="G19" s="563"/>
      <c r="H19" s="563"/>
      <c r="I19" s="563"/>
      <c r="J19" s="563">
        <v>1</v>
      </c>
      <c r="K19" s="563">
        <v>438</v>
      </c>
      <c r="L19" s="563"/>
      <c r="M19" s="563">
        <v>438</v>
      </c>
      <c r="N19" s="563"/>
      <c r="O19" s="563"/>
      <c r="P19" s="551"/>
      <c r="Q19" s="564"/>
    </row>
    <row r="20" spans="1:17" ht="14.4" customHeight="1" x14ac:dyDescent="0.3">
      <c r="A20" s="545" t="s">
        <v>1484</v>
      </c>
      <c r="B20" s="546" t="s">
        <v>1405</v>
      </c>
      <c r="C20" s="546" t="s">
        <v>1363</v>
      </c>
      <c r="D20" s="546" t="s">
        <v>1418</v>
      </c>
      <c r="E20" s="546" t="s">
        <v>1419</v>
      </c>
      <c r="F20" s="563"/>
      <c r="G20" s="563"/>
      <c r="H20" s="563"/>
      <c r="I20" s="563"/>
      <c r="J20" s="563">
        <v>1</v>
      </c>
      <c r="K20" s="563">
        <v>642</v>
      </c>
      <c r="L20" s="563"/>
      <c r="M20" s="563">
        <v>642</v>
      </c>
      <c r="N20" s="563"/>
      <c r="O20" s="563"/>
      <c r="P20" s="551"/>
      <c r="Q20" s="564"/>
    </row>
    <row r="21" spans="1:17" ht="14.4" customHeight="1" x14ac:dyDescent="0.3">
      <c r="A21" s="545" t="s">
        <v>1485</v>
      </c>
      <c r="B21" s="546" t="s">
        <v>1355</v>
      </c>
      <c r="C21" s="546" t="s">
        <v>1363</v>
      </c>
      <c r="D21" s="546" t="s">
        <v>1370</v>
      </c>
      <c r="E21" s="546" t="s">
        <v>1371</v>
      </c>
      <c r="F21" s="563">
        <v>2</v>
      </c>
      <c r="G21" s="563">
        <v>4970</v>
      </c>
      <c r="H21" s="563">
        <v>1</v>
      </c>
      <c r="I21" s="563">
        <v>2485</v>
      </c>
      <c r="J21" s="563"/>
      <c r="K21" s="563"/>
      <c r="L21" s="563"/>
      <c r="M21" s="563"/>
      <c r="N21" s="563"/>
      <c r="O21" s="563"/>
      <c r="P21" s="551"/>
      <c r="Q21" s="564"/>
    </row>
    <row r="22" spans="1:17" ht="14.4" customHeight="1" x14ac:dyDescent="0.3">
      <c r="A22" s="545" t="s">
        <v>1485</v>
      </c>
      <c r="B22" s="546" t="s">
        <v>1355</v>
      </c>
      <c r="C22" s="546" t="s">
        <v>1363</v>
      </c>
      <c r="D22" s="546" t="s">
        <v>1374</v>
      </c>
      <c r="E22" s="546" t="s">
        <v>1375</v>
      </c>
      <c r="F22" s="563">
        <v>3</v>
      </c>
      <c r="G22" s="563">
        <v>954</v>
      </c>
      <c r="H22" s="563">
        <v>1</v>
      </c>
      <c r="I22" s="563">
        <v>318</v>
      </c>
      <c r="J22" s="563"/>
      <c r="K22" s="563"/>
      <c r="L22" s="563"/>
      <c r="M22" s="563"/>
      <c r="N22" s="563"/>
      <c r="O22" s="563"/>
      <c r="P22" s="551"/>
      <c r="Q22" s="564"/>
    </row>
    <row r="23" spans="1:17" ht="14.4" customHeight="1" x14ac:dyDescent="0.3">
      <c r="A23" s="545" t="s">
        <v>1485</v>
      </c>
      <c r="B23" s="546" t="s">
        <v>1355</v>
      </c>
      <c r="C23" s="546" t="s">
        <v>1363</v>
      </c>
      <c r="D23" s="546" t="s">
        <v>1378</v>
      </c>
      <c r="E23" s="546" t="s">
        <v>1379</v>
      </c>
      <c r="F23" s="563">
        <v>27</v>
      </c>
      <c r="G23" s="563">
        <v>8721</v>
      </c>
      <c r="H23" s="563">
        <v>1</v>
      </c>
      <c r="I23" s="563">
        <v>323</v>
      </c>
      <c r="J23" s="563">
        <v>17</v>
      </c>
      <c r="K23" s="563">
        <v>5491</v>
      </c>
      <c r="L23" s="563">
        <v>0.62962962962962965</v>
      </c>
      <c r="M23" s="563">
        <v>323</v>
      </c>
      <c r="N23" s="563">
        <v>10</v>
      </c>
      <c r="O23" s="563">
        <v>3242</v>
      </c>
      <c r="P23" s="551">
        <v>0.37174635936245842</v>
      </c>
      <c r="Q23" s="564">
        <v>324.2</v>
      </c>
    </row>
    <row r="24" spans="1:17" ht="14.4" customHeight="1" x14ac:dyDescent="0.3">
      <c r="A24" s="545" t="s">
        <v>1485</v>
      </c>
      <c r="B24" s="546" t="s">
        <v>1355</v>
      </c>
      <c r="C24" s="546" t="s">
        <v>1363</v>
      </c>
      <c r="D24" s="546" t="s">
        <v>1380</v>
      </c>
      <c r="E24" s="546" t="s">
        <v>1381</v>
      </c>
      <c r="F24" s="563">
        <v>7</v>
      </c>
      <c r="G24" s="563">
        <v>0</v>
      </c>
      <c r="H24" s="563"/>
      <c r="I24" s="563">
        <v>0</v>
      </c>
      <c r="J24" s="563">
        <v>4</v>
      </c>
      <c r="K24" s="563">
        <v>0</v>
      </c>
      <c r="L24" s="563"/>
      <c r="M24" s="563">
        <v>0</v>
      </c>
      <c r="N24" s="563">
        <v>5</v>
      </c>
      <c r="O24" s="563">
        <v>0</v>
      </c>
      <c r="P24" s="551"/>
      <c r="Q24" s="564">
        <v>0</v>
      </c>
    </row>
    <row r="25" spans="1:17" ht="14.4" customHeight="1" x14ac:dyDescent="0.3">
      <c r="A25" s="545" t="s">
        <v>1485</v>
      </c>
      <c r="B25" s="546" t="s">
        <v>1355</v>
      </c>
      <c r="C25" s="546" t="s">
        <v>1363</v>
      </c>
      <c r="D25" s="546" t="s">
        <v>1382</v>
      </c>
      <c r="E25" s="546" t="s">
        <v>1383</v>
      </c>
      <c r="F25" s="563">
        <v>13</v>
      </c>
      <c r="G25" s="563">
        <v>20878</v>
      </c>
      <c r="H25" s="563">
        <v>1</v>
      </c>
      <c r="I25" s="563">
        <v>1606</v>
      </c>
      <c r="J25" s="563">
        <v>5</v>
      </c>
      <c r="K25" s="563">
        <v>7180</v>
      </c>
      <c r="L25" s="563">
        <v>0.34390267266979596</v>
      </c>
      <c r="M25" s="563">
        <v>1436</v>
      </c>
      <c r="N25" s="563">
        <v>12</v>
      </c>
      <c r="O25" s="563">
        <v>17312</v>
      </c>
      <c r="P25" s="551">
        <v>0.82919819906121273</v>
      </c>
      <c r="Q25" s="564">
        <v>1442.6666666666667</v>
      </c>
    </row>
    <row r="26" spans="1:17" ht="14.4" customHeight="1" x14ac:dyDescent="0.3">
      <c r="A26" s="545" t="s">
        <v>1485</v>
      </c>
      <c r="B26" s="546" t="s">
        <v>1355</v>
      </c>
      <c r="C26" s="546" t="s">
        <v>1363</v>
      </c>
      <c r="D26" s="546" t="s">
        <v>1384</v>
      </c>
      <c r="E26" s="546" t="s">
        <v>1385</v>
      </c>
      <c r="F26" s="563"/>
      <c r="G26" s="563"/>
      <c r="H26" s="563"/>
      <c r="I26" s="563"/>
      <c r="J26" s="563">
        <v>0</v>
      </c>
      <c r="K26" s="563">
        <v>0</v>
      </c>
      <c r="L26" s="563"/>
      <c r="M26" s="563"/>
      <c r="N26" s="563"/>
      <c r="O26" s="563"/>
      <c r="P26" s="551"/>
      <c r="Q26" s="564"/>
    </row>
    <row r="27" spans="1:17" ht="14.4" customHeight="1" x14ac:dyDescent="0.3">
      <c r="A27" s="545" t="s">
        <v>1485</v>
      </c>
      <c r="B27" s="546" t="s">
        <v>1405</v>
      </c>
      <c r="C27" s="546" t="s">
        <v>1363</v>
      </c>
      <c r="D27" s="546" t="s">
        <v>1406</v>
      </c>
      <c r="E27" s="546" t="s">
        <v>1407</v>
      </c>
      <c r="F27" s="563">
        <v>5</v>
      </c>
      <c r="G27" s="563">
        <v>2185</v>
      </c>
      <c r="H27" s="563">
        <v>1</v>
      </c>
      <c r="I27" s="563">
        <v>437</v>
      </c>
      <c r="J27" s="563">
        <v>1</v>
      </c>
      <c r="K27" s="563">
        <v>438</v>
      </c>
      <c r="L27" s="563">
        <v>0.20045766590389016</v>
      </c>
      <c r="M27" s="563">
        <v>438</v>
      </c>
      <c r="N27" s="563">
        <v>1</v>
      </c>
      <c r="O27" s="563">
        <v>438</v>
      </c>
      <c r="P27" s="551">
        <v>0.20045766590389016</v>
      </c>
      <c r="Q27" s="564">
        <v>438</v>
      </c>
    </row>
    <row r="28" spans="1:17" ht="14.4" customHeight="1" x14ac:dyDescent="0.3">
      <c r="A28" s="545" t="s">
        <v>1485</v>
      </c>
      <c r="B28" s="546" t="s">
        <v>1405</v>
      </c>
      <c r="C28" s="546" t="s">
        <v>1363</v>
      </c>
      <c r="D28" s="546" t="s">
        <v>1418</v>
      </c>
      <c r="E28" s="546" t="s">
        <v>1419</v>
      </c>
      <c r="F28" s="563">
        <v>29</v>
      </c>
      <c r="G28" s="563">
        <v>18560</v>
      </c>
      <c r="H28" s="563">
        <v>1</v>
      </c>
      <c r="I28" s="563">
        <v>640</v>
      </c>
      <c r="J28" s="563">
        <v>19</v>
      </c>
      <c r="K28" s="563">
        <v>12198</v>
      </c>
      <c r="L28" s="563">
        <v>0.6572198275862069</v>
      </c>
      <c r="M28" s="563">
        <v>642</v>
      </c>
      <c r="N28" s="563">
        <v>5</v>
      </c>
      <c r="O28" s="563">
        <v>3215</v>
      </c>
      <c r="P28" s="551">
        <v>0.17322198275862069</v>
      </c>
      <c r="Q28" s="564">
        <v>643</v>
      </c>
    </row>
    <row r="29" spans="1:17" ht="14.4" customHeight="1" x14ac:dyDescent="0.3">
      <c r="A29" s="545" t="s">
        <v>1485</v>
      </c>
      <c r="B29" s="546" t="s">
        <v>1405</v>
      </c>
      <c r="C29" s="546" t="s">
        <v>1363</v>
      </c>
      <c r="D29" s="546" t="s">
        <v>1422</v>
      </c>
      <c r="E29" s="546" t="s">
        <v>1423</v>
      </c>
      <c r="F29" s="563">
        <v>2</v>
      </c>
      <c r="G29" s="563">
        <v>1166</v>
      </c>
      <c r="H29" s="563">
        <v>1</v>
      </c>
      <c r="I29" s="563">
        <v>583</v>
      </c>
      <c r="J29" s="563"/>
      <c r="K29" s="563"/>
      <c r="L29" s="563"/>
      <c r="M29" s="563"/>
      <c r="N29" s="563">
        <v>2</v>
      </c>
      <c r="O29" s="563">
        <v>1172</v>
      </c>
      <c r="P29" s="551">
        <v>1.0051457975986278</v>
      </c>
      <c r="Q29" s="564">
        <v>586</v>
      </c>
    </row>
    <row r="30" spans="1:17" ht="14.4" customHeight="1" x14ac:dyDescent="0.3">
      <c r="A30" s="545" t="s">
        <v>1485</v>
      </c>
      <c r="B30" s="546" t="s">
        <v>1405</v>
      </c>
      <c r="C30" s="546" t="s">
        <v>1363</v>
      </c>
      <c r="D30" s="546" t="s">
        <v>1424</v>
      </c>
      <c r="E30" s="546" t="s">
        <v>1425</v>
      </c>
      <c r="F30" s="563">
        <v>2</v>
      </c>
      <c r="G30" s="563">
        <v>1630</v>
      </c>
      <c r="H30" s="563">
        <v>1</v>
      </c>
      <c r="I30" s="563">
        <v>815</v>
      </c>
      <c r="J30" s="563">
        <v>3</v>
      </c>
      <c r="K30" s="563">
        <v>2448</v>
      </c>
      <c r="L30" s="563">
        <v>1.501840490797546</v>
      </c>
      <c r="M30" s="563">
        <v>816</v>
      </c>
      <c r="N30" s="563">
        <v>1</v>
      </c>
      <c r="O30" s="563">
        <v>816</v>
      </c>
      <c r="P30" s="551">
        <v>0.50061349693251533</v>
      </c>
      <c r="Q30" s="564">
        <v>816</v>
      </c>
    </row>
    <row r="31" spans="1:17" ht="14.4" customHeight="1" x14ac:dyDescent="0.3">
      <c r="A31" s="545" t="s">
        <v>1485</v>
      </c>
      <c r="B31" s="546" t="s">
        <v>1405</v>
      </c>
      <c r="C31" s="546" t="s">
        <v>1363</v>
      </c>
      <c r="D31" s="546" t="s">
        <v>1428</v>
      </c>
      <c r="E31" s="546" t="s">
        <v>1429</v>
      </c>
      <c r="F31" s="563">
        <v>1</v>
      </c>
      <c r="G31" s="563">
        <v>1113</v>
      </c>
      <c r="H31" s="563">
        <v>1</v>
      </c>
      <c r="I31" s="563">
        <v>1113</v>
      </c>
      <c r="J31" s="563"/>
      <c r="K31" s="563"/>
      <c r="L31" s="563"/>
      <c r="M31" s="563"/>
      <c r="N31" s="563"/>
      <c r="O31" s="563"/>
      <c r="P31" s="551"/>
      <c r="Q31" s="564"/>
    </row>
    <row r="32" spans="1:17" ht="14.4" customHeight="1" x14ac:dyDescent="0.3">
      <c r="A32" s="545" t="s">
        <v>1485</v>
      </c>
      <c r="B32" s="546" t="s">
        <v>1432</v>
      </c>
      <c r="C32" s="546" t="s">
        <v>1363</v>
      </c>
      <c r="D32" s="546" t="s">
        <v>1435</v>
      </c>
      <c r="E32" s="546" t="s">
        <v>1436</v>
      </c>
      <c r="F32" s="563">
        <v>8</v>
      </c>
      <c r="G32" s="563">
        <v>2360</v>
      </c>
      <c r="H32" s="563">
        <v>1</v>
      </c>
      <c r="I32" s="563">
        <v>295</v>
      </c>
      <c r="J32" s="563">
        <v>4</v>
      </c>
      <c r="K32" s="563">
        <v>1188</v>
      </c>
      <c r="L32" s="563">
        <v>0.50338983050847452</v>
      </c>
      <c r="M32" s="563">
        <v>297</v>
      </c>
      <c r="N32" s="563">
        <v>3</v>
      </c>
      <c r="O32" s="563">
        <v>895</v>
      </c>
      <c r="P32" s="551">
        <v>0.37923728813559321</v>
      </c>
      <c r="Q32" s="564">
        <v>298.33333333333331</v>
      </c>
    </row>
    <row r="33" spans="1:17" ht="14.4" customHeight="1" x14ac:dyDescent="0.3">
      <c r="A33" s="545" t="s">
        <v>1485</v>
      </c>
      <c r="B33" s="546" t="s">
        <v>1432</v>
      </c>
      <c r="C33" s="546" t="s">
        <v>1363</v>
      </c>
      <c r="D33" s="546" t="s">
        <v>1437</v>
      </c>
      <c r="E33" s="546" t="s">
        <v>1438</v>
      </c>
      <c r="F33" s="563">
        <v>9</v>
      </c>
      <c r="G33" s="563">
        <v>11124</v>
      </c>
      <c r="H33" s="563">
        <v>1</v>
      </c>
      <c r="I33" s="563">
        <v>1236</v>
      </c>
      <c r="J33" s="563">
        <v>2</v>
      </c>
      <c r="K33" s="563">
        <v>2490</v>
      </c>
      <c r="L33" s="563">
        <v>0.2238403451995685</v>
      </c>
      <c r="M33" s="563">
        <v>1245</v>
      </c>
      <c r="N33" s="563">
        <v>3</v>
      </c>
      <c r="O33" s="563">
        <v>3751</v>
      </c>
      <c r="P33" s="551">
        <v>0.33719884933477168</v>
      </c>
      <c r="Q33" s="564">
        <v>1250.3333333333333</v>
      </c>
    </row>
    <row r="34" spans="1:17" ht="14.4" customHeight="1" x14ac:dyDescent="0.3">
      <c r="A34" s="545" t="s">
        <v>1485</v>
      </c>
      <c r="B34" s="546" t="s">
        <v>1432</v>
      </c>
      <c r="C34" s="546" t="s">
        <v>1363</v>
      </c>
      <c r="D34" s="546" t="s">
        <v>1439</v>
      </c>
      <c r="E34" s="546" t="s">
        <v>1440</v>
      </c>
      <c r="F34" s="563">
        <v>4</v>
      </c>
      <c r="G34" s="563">
        <v>37180</v>
      </c>
      <c r="H34" s="563">
        <v>1</v>
      </c>
      <c r="I34" s="563">
        <v>9295</v>
      </c>
      <c r="J34" s="563"/>
      <c r="K34" s="563"/>
      <c r="L34" s="563"/>
      <c r="M34" s="563"/>
      <c r="N34" s="563">
        <v>1</v>
      </c>
      <c r="O34" s="563">
        <v>9412</v>
      </c>
      <c r="P34" s="551">
        <v>0.25314685314685315</v>
      </c>
      <c r="Q34" s="564">
        <v>9412</v>
      </c>
    </row>
    <row r="35" spans="1:17" ht="14.4" customHeight="1" x14ac:dyDescent="0.3">
      <c r="A35" s="545" t="s">
        <v>1485</v>
      </c>
      <c r="B35" s="546" t="s">
        <v>1432</v>
      </c>
      <c r="C35" s="546" t="s">
        <v>1363</v>
      </c>
      <c r="D35" s="546" t="s">
        <v>1445</v>
      </c>
      <c r="E35" s="546" t="s">
        <v>1446</v>
      </c>
      <c r="F35" s="563">
        <v>94</v>
      </c>
      <c r="G35" s="563">
        <v>208774</v>
      </c>
      <c r="H35" s="563">
        <v>1</v>
      </c>
      <c r="I35" s="563">
        <v>2221</v>
      </c>
      <c r="J35" s="563">
        <v>42</v>
      </c>
      <c r="K35" s="563">
        <v>93786</v>
      </c>
      <c r="L35" s="563">
        <v>0.44922260434728462</v>
      </c>
      <c r="M35" s="563">
        <v>2233</v>
      </c>
      <c r="N35" s="563">
        <v>62</v>
      </c>
      <c r="O35" s="563">
        <v>138950</v>
      </c>
      <c r="P35" s="551">
        <v>0.66555222393593072</v>
      </c>
      <c r="Q35" s="564">
        <v>2241.1290322580644</v>
      </c>
    </row>
    <row r="36" spans="1:17" ht="14.4" customHeight="1" x14ac:dyDescent="0.3">
      <c r="A36" s="545" t="s">
        <v>1485</v>
      </c>
      <c r="B36" s="546" t="s">
        <v>1432</v>
      </c>
      <c r="C36" s="546" t="s">
        <v>1363</v>
      </c>
      <c r="D36" s="546" t="s">
        <v>1449</v>
      </c>
      <c r="E36" s="546" t="s">
        <v>1450</v>
      </c>
      <c r="F36" s="563">
        <v>9</v>
      </c>
      <c r="G36" s="563">
        <v>7821</v>
      </c>
      <c r="H36" s="563">
        <v>1</v>
      </c>
      <c r="I36" s="563">
        <v>869</v>
      </c>
      <c r="J36" s="563">
        <v>5</v>
      </c>
      <c r="K36" s="563">
        <v>4365</v>
      </c>
      <c r="L36" s="563">
        <v>0.55811277330264675</v>
      </c>
      <c r="M36" s="563">
        <v>873</v>
      </c>
      <c r="N36" s="563">
        <v>3</v>
      </c>
      <c r="O36" s="563">
        <v>2627</v>
      </c>
      <c r="P36" s="551">
        <v>0.33589055108042448</v>
      </c>
      <c r="Q36" s="564">
        <v>875.66666666666663</v>
      </c>
    </row>
    <row r="37" spans="1:17" ht="14.4" customHeight="1" x14ac:dyDescent="0.3">
      <c r="A37" s="545" t="s">
        <v>1485</v>
      </c>
      <c r="B37" s="546" t="s">
        <v>1432</v>
      </c>
      <c r="C37" s="546" t="s">
        <v>1363</v>
      </c>
      <c r="D37" s="546" t="s">
        <v>1455</v>
      </c>
      <c r="E37" s="546" t="s">
        <v>1456</v>
      </c>
      <c r="F37" s="563">
        <v>6</v>
      </c>
      <c r="G37" s="563">
        <v>50814</v>
      </c>
      <c r="H37" s="563">
        <v>1</v>
      </c>
      <c r="I37" s="563">
        <v>8469</v>
      </c>
      <c r="J37" s="563"/>
      <c r="K37" s="563"/>
      <c r="L37" s="563"/>
      <c r="M37" s="563"/>
      <c r="N37" s="563">
        <v>2</v>
      </c>
      <c r="O37" s="563">
        <v>17000</v>
      </c>
      <c r="P37" s="551">
        <v>0.33455346951627501</v>
      </c>
      <c r="Q37" s="564">
        <v>8500</v>
      </c>
    </row>
    <row r="38" spans="1:17" ht="14.4" customHeight="1" x14ac:dyDescent="0.3">
      <c r="A38" s="545" t="s">
        <v>1485</v>
      </c>
      <c r="B38" s="546" t="s">
        <v>1432</v>
      </c>
      <c r="C38" s="546" t="s">
        <v>1363</v>
      </c>
      <c r="D38" s="546" t="s">
        <v>1457</v>
      </c>
      <c r="E38" s="546" t="s">
        <v>1458</v>
      </c>
      <c r="F38" s="563">
        <v>4</v>
      </c>
      <c r="G38" s="563">
        <v>41336</v>
      </c>
      <c r="H38" s="563">
        <v>1</v>
      </c>
      <c r="I38" s="563">
        <v>10334</v>
      </c>
      <c r="J38" s="563">
        <v>6</v>
      </c>
      <c r="K38" s="563">
        <v>62244</v>
      </c>
      <c r="L38" s="563">
        <v>1.5058060770272885</v>
      </c>
      <c r="M38" s="563">
        <v>10374</v>
      </c>
      <c r="N38" s="563">
        <v>2</v>
      </c>
      <c r="O38" s="563">
        <v>20892</v>
      </c>
      <c r="P38" s="551">
        <v>0.50541900522546934</v>
      </c>
      <c r="Q38" s="564">
        <v>10446</v>
      </c>
    </row>
    <row r="39" spans="1:17" ht="14.4" customHeight="1" x14ac:dyDescent="0.3">
      <c r="A39" s="545" t="s">
        <v>1485</v>
      </c>
      <c r="B39" s="546" t="s">
        <v>1432</v>
      </c>
      <c r="C39" s="546" t="s">
        <v>1363</v>
      </c>
      <c r="D39" s="546" t="s">
        <v>1459</v>
      </c>
      <c r="E39" s="546" t="s">
        <v>1460</v>
      </c>
      <c r="F39" s="563">
        <v>1</v>
      </c>
      <c r="G39" s="563">
        <v>1014</v>
      </c>
      <c r="H39" s="563">
        <v>1</v>
      </c>
      <c r="I39" s="563">
        <v>1014</v>
      </c>
      <c r="J39" s="563"/>
      <c r="K39" s="563"/>
      <c r="L39" s="563"/>
      <c r="M39" s="563"/>
      <c r="N39" s="563"/>
      <c r="O39" s="563"/>
      <c r="P39" s="551"/>
      <c r="Q39" s="564"/>
    </row>
    <row r="40" spans="1:17" ht="14.4" customHeight="1" x14ac:dyDescent="0.3">
      <c r="A40" s="545" t="s">
        <v>1486</v>
      </c>
      <c r="B40" s="546" t="s">
        <v>1355</v>
      </c>
      <c r="C40" s="546" t="s">
        <v>1363</v>
      </c>
      <c r="D40" s="546" t="s">
        <v>1370</v>
      </c>
      <c r="E40" s="546" t="s">
        <v>1371</v>
      </c>
      <c r="F40" s="563">
        <v>6</v>
      </c>
      <c r="G40" s="563">
        <v>14910</v>
      </c>
      <c r="H40" s="563">
        <v>1</v>
      </c>
      <c r="I40" s="563">
        <v>2485</v>
      </c>
      <c r="J40" s="563">
        <v>5</v>
      </c>
      <c r="K40" s="563">
        <v>11565</v>
      </c>
      <c r="L40" s="563">
        <v>0.77565392354124751</v>
      </c>
      <c r="M40" s="563">
        <v>2313</v>
      </c>
      <c r="N40" s="563">
        <v>6</v>
      </c>
      <c r="O40" s="563">
        <v>13958</v>
      </c>
      <c r="P40" s="551">
        <v>0.93615023474178405</v>
      </c>
      <c r="Q40" s="564">
        <v>2326.3333333333335</v>
      </c>
    </row>
    <row r="41" spans="1:17" ht="14.4" customHeight="1" x14ac:dyDescent="0.3">
      <c r="A41" s="545" t="s">
        <v>1486</v>
      </c>
      <c r="B41" s="546" t="s">
        <v>1355</v>
      </c>
      <c r="C41" s="546" t="s">
        <v>1363</v>
      </c>
      <c r="D41" s="546" t="s">
        <v>1378</v>
      </c>
      <c r="E41" s="546" t="s">
        <v>1379</v>
      </c>
      <c r="F41" s="563">
        <v>4</v>
      </c>
      <c r="G41" s="563">
        <v>1292</v>
      </c>
      <c r="H41" s="563">
        <v>1</v>
      </c>
      <c r="I41" s="563">
        <v>323</v>
      </c>
      <c r="J41" s="563">
        <v>4</v>
      </c>
      <c r="K41" s="563">
        <v>1292</v>
      </c>
      <c r="L41" s="563">
        <v>1</v>
      </c>
      <c r="M41" s="563">
        <v>323</v>
      </c>
      <c r="N41" s="563">
        <v>12</v>
      </c>
      <c r="O41" s="563">
        <v>3909</v>
      </c>
      <c r="P41" s="551">
        <v>3.0255417956656347</v>
      </c>
      <c r="Q41" s="564">
        <v>325.75</v>
      </c>
    </row>
    <row r="42" spans="1:17" ht="14.4" customHeight="1" x14ac:dyDescent="0.3">
      <c r="A42" s="545" t="s">
        <v>1486</v>
      </c>
      <c r="B42" s="546" t="s">
        <v>1355</v>
      </c>
      <c r="C42" s="546" t="s">
        <v>1363</v>
      </c>
      <c r="D42" s="546" t="s">
        <v>1382</v>
      </c>
      <c r="E42" s="546" t="s">
        <v>1383</v>
      </c>
      <c r="F42" s="563">
        <v>13</v>
      </c>
      <c r="G42" s="563">
        <v>20878</v>
      </c>
      <c r="H42" s="563">
        <v>1</v>
      </c>
      <c r="I42" s="563">
        <v>1606</v>
      </c>
      <c r="J42" s="563">
        <v>12</v>
      </c>
      <c r="K42" s="563">
        <v>17232</v>
      </c>
      <c r="L42" s="563">
        <v>0.82536641440751035</v>
      </c>
      <c r="M42" s="563">
        <v>1436</v>
      </c>
      <c r="N42" s="563">
        <v>19</v>
      </c>
      <c r="O42" s="563">
        <v>27428</v>
      </c>
      <c r="P42" s="551">
        <v>1.3137273685218891</v>
      </c>
      <c r="Q42" s="564">
        <v>1443.578947368421</v>
      </c>
    </row>
    <row r="43" spans="1:17" ht="14.4" customHeight="1" x14ac:dyDescent="0.3">
      <c r="A43" s="545" t="s">
        <v>1486</v>
      </c>
      <c r="B43" s="546" t="s">
        <v>1355</v>
      </c>
      <c r="C43" s="546" t="s">
        <v>1363</v>
      </c>
      <c r="D43" s="546" t="s">
        <v>1384</v>
      </c>
      <c r="E43" s="546" t="s">
        <v>1385</v>
      </c>
      <c r="F43" s="563"/>
      <c r="G43" s="563"/>
      <c r="H43" s="563"/>
      <c r="I43" s="563"/>
      <c r="J43" s="563">
        <v>2</v>
      </c>
      <c r="K43" s="563">
        <v>212</v>
      </c>
      <c r="L43" s="563"/>
      <c r="M43" s="563">
        <v>106</v>
      </c>
      <c r="N43" s="563"/>
      <c r="O43" s="563"/>
      <c r="P43" s="551"/>
      <c r="Q43" s="564"/>
    </row>
    <row r="44" spans="1:17" ht="14.4" customHeight="1" x14ac:dyDescent="0.3">
      <c r="A44" s="545" t="s">
        <v>1486</v>
      </c>
      <c r="B44" s="546" t="s">
        <v>1432</v>
      </c>
      <c r="C44" s="546" t="s">
        <v>1363</v>
      </c>
      <c r="D44" s="546" t="s">
        <v>1435</v>
      </c>
      <c r="E44" s="546" t="s">
        <v>1436</v>
      </c>
      <c r="F44" s="563">
        <v>7</v>
      </c>
      <c r="G44" s="563">
        <v>2065</v>
      </c>
      <c r="H44" s="563">
        <v>1</v>
      </c>
      <c r="I44" s="563">
        <v>295</v>
      </c>
      <c r="J44" s="563">
        <v>5</v>
      </c>
      <c r="K44" s="563">
        <v>1485</v>
      </c>
      <c r="L44" s="563">
        <v>0.71912832929782078</v>
      </c>
      <c r="M44" s="563">
        <v>297</v>
      </c>
      <c r="N44" s="563">
        <v>9</v>
      </c>
      <c r="O44" s="563">
        <v>2701</v>
      </c>
      <c r="P44" s="551">
        <v>1.3079903147699758</v>
      </c>
      <c r="Q44" s="564">
        <v>300.11111111111109</v>
      </c>
    </row>
    <row r="45" spans="1:17" ht="14.4" customHeight="1" x14ac:dyDescent="0.3">
      <c r="A45" s="545" t="s">
        <v>1486</v>
      </c>
      <c r="B45" s="546" t="s">
        <v>1432</v>
      </c>
      <c r="C45" s="546" t="s">
        <v>1363</v>
      </c>
      <c r="D45" s="546" t="s">
        <v>1437</v>
      </c>
      <c r="E45" s="546" t="s">
        <v>1438</v>
      </c>
      <c r="F45" s="563">
        <v>6</v>
      </c>
      <c r="G45" s="563">
        <v>7416</v>
      </c>
      <c r="H45" s="563">
        <v>1</v>
      </c>
      <c r="I45" s="563">
        <v>1236</v>
      </c>
      <c r="J45" s="563">
        <v>7</v>
      </c>
      <c r="K45" s="563">
        <v>8715</v>
      </c>
      <c r="L45" s="563">
        <v>1.1751618122977345</v>
      </c>
      <c r="M45" s="563">
        <v>1245</v>
      </c>
      <c r="N45" s="563">
        <v>13</v>
      </c>
      <c r="O45" s="563">
        <v>16377</v>
      </c>
      <c r="P45" s="551">
        <v>2.2083333333333335</v>
      </c>
      <c r="Q45" s="564">
        <v>1259.7692307692307</v>
      </c>
    </row>
    <row r="46" spans="1:17" ht="14.4" customHeight="1" x14ac:dyDescent="0.3">
      <c r="A46" s="545" t="s">
        <v>1486</v>
      </c>
      <c r="B46" s="546" t="s">
        <v>1432</v>
      </c>
      <c r="C46" s="546" t="s">
        <v>1363</v>
      </c>
      <c r="D46" s="546" t="s">
        <v>1439</v>
      </c>
      <c r="E46" s="546" t="s">
        <v>1440</v>
      </c>
      <c r="F46" s="563">
        <v>2</v>
      </c>
      <c r="G46" s="563">
        <v>18590</v>
      </c>
      <c r="H46" s="563">
        <v>1</v>
      </c>
      <c r="I46" s="563">
        <v>9295</v>
      </c>
      <c r="J46" s="563">
        <v>1</v>
      </c>
      <c r="K46" s="563">
        <v>9337</v>
      </c>
      <c r="L46" s="563">
        <v>0.50225927918235613</v>
      </c>
      <c r="M46" s="563">
        <v>9337</v>
      </c>
      <c r="N46" s="563">
        <v>1</v>
      </c>
      <c r="O46" s="563">
        <v>9412</v>
      </c>
      <c r="P46" s="551">
        <v>0.50629370629370629</v>
      </c>
      <c r="Q46" s="564">
        <v>9412</v>
      </c>
    </row>
    <row r="47" spans="1:17" ht="14.4" customHeight="1" x14ac:dyDescent="0.3">
      <c r="A47" s="545" t="s">
        <v>1486</v>
      </c>
      <c r="B47" s="546" t="s">
        <v>1432</v>
      </c>
      <c r="C47" s="546" t="s">
        <v>1363</v>
      </c>
      <c r="D47" s="546" t="s">
        <v>1445</v>
      </c>
      <c r="E47" s="546" t="s">
        <v>1446</v>
      </c>
      <c r="F47" s="563">
        <v>77</v>
      </c>
      <c r="G47" s="563">
        <v>171017</v>
      </c>
      <c r="H47" s="563">
        <v>1</v>
      </c>
      <c r="I47" s="563">
        <v>2221</v>
      </c>
      <c r="J47" s="563">
        <v>106</v>
      </c>
      <c r="K47" s="563">
        <v>236698</v>
      </c>
      <c r="L47" s="563">
        <v>1.3840612336785232</v>
      </c>
      <c r="M47" s="563">
        <v>2233</v>
      </c>
      <c r="N47" s="563">
        <v>138</v>
      </c>
      <c r="O47" s="563">
        <v>310716</v>
      </c>
      <c r="P47" s="551">
        <v>1.8168720068765094</v>
      </c>
      <c r="Q47" s="564">
        <v>2251.5652173913045</v>
      </c>
    </row>
    <row r="48" spans="1:17" ht="14.4" customHeight="1" x14ac:dyDescent="0.3">
      <c r="A48" s="545" t="s">
        <v>1486</v>
      </c>
      <c r="B48" s="546" t="s">
        <v>1432</v>
      </c>
      <c r="C48" s="546" t="s">
        <v>1363</v>
      </c>
      <c r="D48" s="546" t="s">
        <v>1451</v>
      </c>
      <c r="E48" s="546" t="s">
        <v>1452</v>
      </c>
      <c r="F48" s="563">
        <v>7</v>
      </c>
      <c r="G48" s="563">
        <v>45388</v>
      </c>
      <c r="H48" s="563">
        <v>1</v>
      </c>
      <c r="I48" s="563">
        <v>6484</v>
      </c>
      <c r="J48" s="563">
        <v>5</v>
      </c>
      <c r="K48" s="563">
        <v>32570</v>
      </c>
      <c r="L48" s="563">
        <v>0.71759055256896098</v>
      </c>
      <c r="M48" s="563">
        <v>6514</v>
      </c>
      <c r="N48" s="563">
        <v>9</v>
      </c>
      <c r="O48" s="563">
        <v>59004</v>
      </c>
      <c r="P48" s="551">
        <v>1.2999911870979113</v>
      </c>
      <c r="Q48" s="564">
        <v>6556</v>
      </c>
    </row>
    <row r="49" spans="1:17" ht="14.4" customHeight="1" x14ac:dyDescent="0.3">
      <c r="A49" s="545" t="s">
        <v>1486</v>
      </c>
      <c r="B49" s="546" t="s">
        <v>1432</v>
      </c>
      <c r="C49" s="546" t="s">
        <v>1363</v>
      </c>
      <c r="D49" s="546" t="s">
        <v>1459</v>
      </c>
      <c r="E49" s="546" t="s">
        <v>1460</v>
      </c>
      <c r="F49" s="563">
        <v>1</v>
      </c>
      <c r="G49" s="563">
        <v>1014</v>
      </c>
      <c r="H49" s="563">
        <v>1</v>
      </c>
      <c r="I49" s="563">
        <v>1014</v>
      </c>
      <c r="J49" s="563">
        <v>1</v>
      </c>
      <c r="K49" s="563">
        <v>1020</v>
      </c>
      <c r="L49" s="563">
        <v>1.0059171597633136</v>
      </c>
      <c r="M49" s="563">
        <v>1020</v>
      </c>
      <c r="N49" s="563"/>
      <c r="O49" s="563"/>
      <c r="P49" s="551"/>
      <c r="Q49" s="564"/>
    </row>
    <row r="50" spans="1:17" ht="14.4" customHeight="1" x14ac:dyDescent="0.3">
      <c r="A50" s="545" t="s">
        <v>1487</v>
      </c>
      <c r="B50" s="546" t="s">
        <v>1355</v>
      </c>
      <c r="C50" s="546" t="s">
        <v>1363</v>
      </c>
      <c r="D50" s="546" t="s">
        <v>1370</v>
      </c>
      <c r="E50" s="546" t="s">
        <v>1371</v>
      </c>
      <c r="F50" s="563">
        <v>3</v>
      </c>
      <c r="G50" s="563">
        <v>7455</v>
      </c>
      <c r="H50" s="563">
        <v>1</v>
      </c>
      <c r="I50" s="563">
        <v>2485</v>
      </c>
      <c r="J50" s="563">
        <v>3</v>
      </c>
      <c r="K50" s="563">
        <v>6939</v>
      </c>
      <c r="L50" s="563">
        <v>0.93078470824949699</v>
      </c>
      <c r="M50" s="563">
        <v>2313</v>
      </c>
      <c r="N50" s="563">
        <v>3</v>
      </c>
      <c r="O50" s="563">
        <v>6955</v>
      </c>
      <c r="P50" s="551">
        <v>0.93293091884641177</v>
      </c>
      <c r="Q50" s="564">
        <v>2318.3333333333335</v>
      </c>
    </row>
    <row r="51" spans="1:17" ht="14.4" customHeight="1" x14ac:dyDescent="0.3">
      <c r="A51" s="545" t="s">
        <v>1487</v>
      </c>
      <c r="B51" s="546" t="s">
        <v>1355</v>
      </c>
      <c r="C51" s="546" t="s">
        <v>1363</v>
      </c>
      <c r="D51" s="546" t="s">
        <v>1374</v>
      </c>
      <c r="E51" s="546" t="s">
        <v>1375</v>
      </c>
      <c r="F51" s="563">
        <v>1</v>
      </c>
      <c r="G51" s="563">
        <v>318</v>
      </c>
      <c r="H51" s="563">
        <v>1</v>
      </c>
      <c r="I51" s="563">
        <v>318</v>
      </c>
      <c r="J51" s="563"/>
      <c r="K51" s="563"/>
      <c r="L51" s="563"/>
      <c r="M51" s="563"/>
      <c r="N51" s="563"/>
      <c r="O51" s="563"/>
      <c r="P51" s="551"/>
      <c r="Q51" s="564"/>
    </row>
    <row r="52" spans="1:17" ht="14.4" customHeight="1" x14ac:dyDescent="0.3">
      <c r="A52" s="545" t="s">
        <v>1487</v>
      </c>
      <c r="B52" s="546" t="s">
        <v>1355</v>
      </c>
      <c r="C52" s="546" t="s">
        <v>1363</v>
      </c>
      <c r="D52" s="546" t="s">
        <v>1378</v>
      </c>
      <c r="E52" s="546" t="s">
        <v>1379</v>
      </c>
      <c r="F52" s="563">
        <v>8</v>
      </c>
      <c r="G52" s="563">
        <v>2584</v>
      </c>
      <c r="H52" s="563">
        <v>1</v>
      </c>
      <c r="I52" s="563">
        <v>323</v>
      </c>
      <c r="J52" s="563">
        <v>4</v>
      </c>
      <c r="K52" s="563">
        <v>1292</v>
      </c>
      <c r="L52" s="563">
        <v>0.5</v>
      </c>
      <c r="M52" s="563">
        <v>323</v>
      </c>
      <c r="N52" s="563">
        <v>10</v>
      </c>
      <c r="O52" s="563">
        <v>3257</v>
      </c>
      <c r="P52" s="551">
        <v>1.2604489164086687</v>
      </c>
      <c r="Q52" s="564">
        <v>325.7</v>
      </c>
    </row>
    <row r="53" spans="1:17" ht="14.4" customHeight="1" x14ac:dyDescent="0.3">
      <c r="A53" s="545" t="s">
        <v>1487</v>
      </c>
      <c r="B53" s="546" t="s">
        <v>1355</v>
      </c>
      <c r="C53" s="546" t="s">
        <v>1363</v>
      </c>
      <c r="D53" s="546" t="s">
        <v>1380</v>
      </c>
      <c r="E53" s="546" t="s">
        <v>1381</v>
      </c>
      <c r="F53" s="563">
        <v>2</v>
      </c>
      <c r="G53" s="563">
        <v>0</v>
      </c>
      <c r="H53" s="563"/>
      <c r="I53" s="563">
        <v>0</v>
      </c>
      <c r="J53" s="563">
        <v>1</v>
      </c>
      <c r="K53" s="563">
        <v>0</v>
      </c>
      <c r="L53" s="563"/>
      <c r="M53" s="563">
        <v>0</v>
      </c>
      <c r="N53" s="563">
        <v>1</v>
      </c>
      <c r="O53" s="563">
        <v>0</v>
      </c>
      <c r="P53" s="551"/>
      <c r="Q53" s="564">
        <v>0</v>
      </c>
    </row>
    <row r="54" spans="1:17" ht="14.4" customHeight="1" x14ac:dyDescent="0.3">
      <c r="A54" s="545" t="s">
        <v>1487</v>
      </c>
      <c r="B54" s="546" t="s">
        <v>1355</v>
      </c>
      <c r="C54" s="546" t="s">
        <v>1363</v>
      </c>
      <c r="D54" s="546" t="s">
        <v>1382</v>
      </c>
      <c r="E54" s="546" t="s">
        <v>1383</v>
      </c>
      <c r="F54" s="563">
        <v>25</v>
      </c>
      <c r="G54" s="563">
        <v>40150</v>
      </c>
      <c r="H54" s="563">
        <v>1</v>
      </c>
      <c r="I54" s="563">
        <v>1606</v>
      </c>
      <c r="J54" s="563">
        <v>14</v>
      </c>
      <c r="K54" s="563">
        <v>20104</v>
      </c>
      <c r="L54" s="563">
        <v>0.50072229140722291</v>
      </c>
      <c r="M54" s="563">
        <v>1436</v>
      </c>
      <c r="N54" s="563">
        <v>26</v>
      </c>
      <c r="O54" s="563">
        <v>37480</v>
      </c>
      <c r="P54" s="551">
        <v>0.93349937733499377</v>
      </c>
      <c r="Q54" s="564">
        <v>1441.5384615384614</v>
      </c>
    </row>
    <row r="55" spans="1:17" ht="14.4" customHeight="1" x14ac:dyDescent="0.3">
      <c r="A55" s="545" t="s">
        <v>1487</v>
      </c>
      <c r="B55" s="546" t="s">
        <v>1355</v>
      </c>
      <c r="C55" s="546" t="s">
        <v>1363</v>
      </c>
      <c r="D55" s="546" t="s">
        <v>1384</v>
      </c>
      <c r="E55" s="546" t="s">
        <v>1385</v>
      </c>
      <c r="F55" s="563"/>
      <c r="G55" s="563"/>
      <c r="H55" s="563"/>
      <c r="I55" s="563"/>
      <c r="J55" s="563">
        <v>9</v>
      </c>
      <c r="K55" s="563">
        <v>530</v>
      </c>
      <c r="L55" s="563"/>
      <c r="M55" s="563">
        <v>58.888888888888886</v>
      </c>
      <c r="N55" s="563"/>
      <c r="O55" s="563"/>
      <c r="P55" s="551"/>
      <c r="Q55" s="564"/>
    </row>
    <row r="56" spans="1:17" ht="14.4" customHeight="1" x14ac:dyDescent="0.3">
      <c r="A56" s="545" t="s">
        <v>1487</v>
      </c>
      <c r="B56" s="546" t="s">
        <v>1405</v>
      </c>
      <c r="C56" s="546" t="s">
        <v>1363</v>
      </c>
      <c r="D56" s="546" t="s">
        <v>1406</v>
      </c>
      <c r="E56" s="546" t="s">
        <v>1407</v>
      </c>
      <c r="F56" s="563">
        <v>1</v>
      </c>
      <c r="G56" s="563">
        <v>437</v>
      </c>
      <c r="H56" s="563">
        <v>1</v>
      </c>
      <c r="I56" s="563">
        <v>437</v>
      </c>
      <c r="J56" s="563">
        <v>1</v>
      </c>
      <c r="K56" s="563">
        <v>438</v>
      </c>
      <c r="L56" s="563">
        <v>1.0022883295194509</v>
      </c>
      <c r="M56" s="563">
        <v>438</v>
      </c>
      <c r="N56" s="563"/>
      <c r="O56" s="563"/>
      <c r="P56" s="551"/>
      <c r="Q56" s="564"/>
    </row>
    <row r="57" spans="1:17" ht="14.4" customHeight="1" x14ac:dyDescent="0.3">
      <c r="A57" s="545" t="s">
        <v>1487</v>
      </c>
      <c r="B57" s="546" t="s">
        <v>1405</v>
      </c>
      <c r="C57" s="546" t="s">
        <v>1363</v>
      </c>
      <c r="D57" s="546" t="s">
        <v>1418</v>
      </c>
      <c r="E57" s="546" t="s">
        <v>1419</v>
      </c>
      <c r="F57" s="563">
        <v>2</v>
      </c>
      <c r="G57" s="563">
        <v>1280</v>
      </c>
      <c r="H57" s="563">
        <v>1</v>
      </c>
      <c r="I57" s="563">
        <v>640</v>
      </c>
      <c r="J57" s="563">
        <v>2</v>
      </c>
      <c r="K57" s="563">
        <v>1284</v>
      </c>
      <c r="L57" s="563">
        <v>1.003125</v>
      </c>
      <c r="M57" s="563">
        <v>642</v>
      </c>
      <c r="N57" s="563"/>
      <c r="O57" s="563"/>
      <c r="P57" s="551"/>
      <c r="Q57" s="564"/>
    </row>
    <row r="58" spans="1:17" ht="14.4" customHeight="1" x14ac:dyDescent="0.3">
      <c r="A58" s="545" t="s">
        <v>1487</v>
      </c>
      <c r="B58" s="546" t="s">
        <v>1432</v>
      </c>
      <c r="C58" s="546" t="s">
        <v>1363</v>
      </c>
      <c r="D58" s="546" t="s">
        <v>1435</v>
      </c>
      <c r="E58" s="546" t="s">
        <v>1436</v>
      </c>
      <c r="F58" s="563">
        <v>6</v>
      </c>
      <c r="G58" s="563">
        <v>1770</v>
      </c>
      <c r="H58" s="563">
        <v>1</v>
      </c>
      <c r="I58" s="563">
        <v>295</v>
      </c>
      <c r="J58" s="563">
        <v>2</v>
      </c>
      <c r="K58" s="563">
        <v>594</v>
      </c>
      <c r="L58" s="563">
        <v>0.33559322033898303</v>
      </c>
      <c r="M58" s="563">
        <v>297</v>
      </c>
      <c r="N58" s="563">
        <v>5</v>
      </c>
      <c r="O58" s="563">
        <v>1501</v>
      </c>
      <c r="P58" s="551">
        <v>0.84802259887005649</v>
      </c>
      <c r="Q58" s="564">
        <v>300.2</v>
      </c>
    </row>
    <row r="59" spans="1:17" ht="14.4" customHeight="1" x14ac:dyDescent="0.3">
      <c r="A59" s="545" t="s">
        <v>1487</v>
      </c>
      <c r="B59" s="546" t="s">
        <v>1432</v>
      </c>
      <c r="C59" s="546" t="s">
        <v>1363</v>
      </c>
      <c r="D59" s="546" t="s">
        <v>1488</v>
      </c>
      <c r="E59" s="546" t="s">
        <v>1489</v>
      </c>
      <c r="F59" s="563"/>
      <c r="G59" s="563"/>
      <c r="H59" s="563"/>
      <c r="I59" s="563"/>
      <c r="J59" s="563">
        <v>1</v>
      </c>
      <c r="K59" s="563">
        <v>6257</v>
      </c>
      <c r="L59" s="563"/>
      <c r="M59" s="563">
        <v>6257</v>
      </c>
      <c r="N59" s="563">
        <v>1</v>
      </c>
      <c r="O59" s="563">
        <v>6276</v>
      </c>
      <c r="P59" s="551"/>
      <c r="Q59" s="564">
        <v>6276</v>
      </c>
    </row>
    <row r="60" spans="1:17" ht="14.4" customHeight="1" x14ac:dyDescent="0.3">
      <c r="A60" s="545" t="s">
        <v>1487</v>
      </c>
      <c r="B60" s="546" t="s">
        <v>1432</v>
      </c>
      <c r="C60" s="546" t="s">
        <v>1363</v>
      </c>
      <c r="D60" s="546" t="s">
        <v>1437</v>
      </c>
      <c r="E60" s="546" t="s">
        <v>1438</v>
      </c>
      <c r="F60" s="563">
        <v>13</v>
      </c>
      <c r="G60" s="563">
        <v>16068</v>
      </c>
      <c r="H60" s="563">
        <v>1</v>
      </c>
      <c r="I60" s="563">
        <v>1236</v>
      </c>
      <c r="J60" s="563">
        <v>19</v>
      </c>
      <c r="K60" s="563">
        <v>23655</v>
      </c>
      <c r="L60" s="563">
        <v>1.4721807318894697</v>
      </c>
      <c r="M60" s="563">
        <v>1245</v>
      </c>
      <c r="N60" s="563">
        <v>30</v>
      </c>
      <c r="O60" s="563">
        <v>37718</v>
      </c>
      <c r="P60" s="551">
        <v>2.3473985561364201</v>
      </c>
      <c r="Q60" s="564">
        <v>1257.2666666666667</v>
      </c>
    </row>
    <row r="61" spans="1:17" ht="14.4" customHeight="1" x14ac:dyDescent="0.3">
      <c r="A61" s="545" t="s">
        <v>1487</v>
      </c>
      <c r="B61" s="546" t="s">
        <v>1432</v>
      </c>
      <c r="C61" s="546" t="s">
        <v>1363</v>
      </c>
      <c r="D61" s="546" t="s">
        <v>1439</v>
      </c>
      <c r="E61" s="546" t="s">
        <v>1440</v>
      </c>
      <c r="F61" s="563"/>
      <c r="G61" s="563"/>
      <c r="H61" s="563"/>
      <c r="I61" s="563"/>
      <c r="J61" s="563"/>
      <c r="K61" s="563"/>
      <c r="L61" s="563"/>
      <c r="M61" s="563"/>
      <c r="N61" s="563">
        <v>3</v>
      </c>
      <c r="O61" s="563">
        <v>28161</v>
      </c>
      <c r="P61" s="551"/>
      <c r="Q61" s="564">
        <v>9387</v>
      </c>
    </row>
    <row r="62" spans="1:17" ht="14.4" customHeight="1" x14ac:dyDescent="0.3">
      <c r="A62" s="545" t="s">
        <v>1487</v>
      </c>
      <c r="B62" s="546" t="s">
        <v>1432</v>
      </c>
      <c r="C62" s="546" t="s">
        <v>1363</v>
      </c>
      <c r="D62" s="546" t="s">
        <v>1445</v>
      </c>
      <c r="E62" s="546" t="s">
        <v>1446</v>
      </c>
      <c r="F62" s="563">
        <v>66</v>
      </c>
      <c r="G62" s="563">
        <v>146586</v>
      </c>
      <c r="H62" s="563">
        <v>1</v>
      </c>
      <c r="I62" s="563">
        <v>2221</v>
      </c>
      <c r="J62" s="563">
        <v>46</v>
      </c>
      <c r="K62" s="563">
        <v>102718</v>
      </c>
      <c r="L62" s="563">
        <v>0.70073540447245986</v>
      </c>
      <c r="M62" s="563">
        <v>2233</v>
      </c>
      <c r="N62" s="563">
        <v>81</v>
      </c>
      <c r="O62" s="563">
        <v>182511</v>
      </c>
      <c r="P62" s="551">
        <v>1.2450779747042691</v>
      </c>
      <c r="Q62" s="564">
        <v>2253.2222222222222</v>
      </c>
    </row>
    <row r="63" spans="1:17" ht="14.4" customHeight="1" x14ac:dyDescent="0.3">
      <c r="A63" s="545" t="s">
        <v>1487</v>
      </c>
      <c r="B63" s="546" t="s">
        <v>1432</v>
      </c>
      <c r="C63" s="546" t="s">
        <v>1363</v>
      </c>
      <c r="D63" s="546" t="s">
        <v>1451</v>
      </c>
      <c r="E63" s="546" t="s">
        <v>1452</v>
      </c>
      <c r="F63" s="563">
        <v>6</v>
      </c>
      <c r="G63" s="563">
        <v>38904</v>
      </c>
      <c r="H63" s="563">
        <v>1</v>
      </c>
      <c r="I63" s="563">
        <v>6484</v>
      </c>
      <c r="J63" s="563">
        <v>2</v>
      </c>
      <c r="K63" s="563">
        <v>13028</v>
      </c>
      <c r="L63" s="563">
        <v>0.33487559119884847</v>
      </c>
      <c r="M63" s="563">
        <v>6514</v>
      </c>
      <c r="N63" s="563">
        <v>5</v>
      </c>
      <c r="O63" s="563">
        <v>32786</v>
      </c>
      <c r="P63" s="551">
        <v>0.8427411063129755</v>
      </c>
      <c r="Q63" s="564">
        <v>6557.2</v>
      </c>
    </row>
    <row r="64" spans="1:17" ht="14.4" customHeight="1" x14ac:dyDescent="0.3">
      <c r="A64" s="545" t="s">
        <v>1487</v>
      </c>
      <c r="B64" s="546" t="s">
        <v>1432</v>
      </c>
      <c r="C64" s="546" t="s">
        <v>1363</v>
      </c>
      <c r="D64" s="546" t="s">
        <v>1459</v>
      </c>
      <c r="E64" s="546" t="s">
        <v>1460</v>
      </c>
      <c r="F64" s="563"/>
      <c r="G64" s="563"/>
      <c r="H64" s="563"/>
      <c r="I64" s="563"/>
      <c r="J64" s="563"/>
      <c r="K64" s="563"/>
      <c r="L64" s="563"/>
      <c r="M64" s="563"/>
      <c r="N64" s="563">
        <v>1</v>
      </c>
      <c r="O64" s="563">
        <v>1020</v>
      </c>
      <c r="P64" s="551"/>
      <c r="Q64" s="564">
        <v>1020</v>
      </c>
    </row>
    <row r="65" spans="1:17" ht="14.4" customHeight="1" x14ac:dyDescent="0.3">
      <c r="A65" s="545" t="s">
        <v>1490</v>
      </c>
      <c r="B65" s="546" t="s">
        <v>1355</v>
      </c>
      <c r="C65" s="546" t="s">
        <v>1363</v>
      </c>
      <c r="D65" s="546" t="s">
        <v>1370</v>
      </c>
      <c r="E65" s="546" t="s">
        <v>1371</v>
      </c>
      <c r="F65" s="563"/>
      <c r="G65" s="563"/>
      <c r="H65" s="563"/>
      <c r="I65" s="563"/>
      <c r="J65" s="563"/>
      <c r="K65" s="563"/>
      <c r="L65" s="563"/>
      <c r="M65" s="563"/>
      <c r="N65" s="563">
        <v>1</v>
      </c>
      <c r="O65" s="563">
        <v>2329</v>
      </c>
      <c r="P65" s="551"/>
      <c r="Q65" s="564">
        <v>2329</v>
      </c>
    </row>
    <row r="66" spans="1:17" ht="14.4" customHeight="1" x14ac:dyDescent="0.3">
      <c r="A66" s="545" t="s">
        <v>1490</v>
      </c>
      <c r="B66" s="546" t="s">
        <v>1355</v>
      </c>
      <c r="C66" s="546" t="s">
        <v>1363</v>
      </c>
      <c r="D66" s="546" t="s">
        <v>1378</v>
      </c>
      <c r="E66" s="546" t="s">
        <v>1379</v>
      </c>
      <c r="F66" s="563"/>
      <c r="G66" s="563"/>
      <c r="H66" s="563"/>
      <c r="I66" s="563"/>
      <c r="J66" s="563"/>
      <c r="K66" s="563"/>
      <c r="L66" s="563"/>
      <c r="M66" s="563"/>
      <c r="N66" s="563">
        <v>1</v>
      </c>
      <c r="O66" s="563">
        <v>326</v>
      </c>
      <c r="P66" s="551"/>
      <c r="Q66" s="564">
        <v>326</v>
      </c>
    </row>
    <row r="67" spans="1:17" ht="14.4" customHeight="1" x14ac:dyDescent="0.3">
      <c r="A67" s="545" t="s">
        <v>1490</v>
      </c>
      <c r="B67" s="546" t="s">
        <v>1355</v>
      </c>
      <c r="C67" s="546" t="s">
        <v>1363</v>
      </c>
      <c r="D67" s="546" t="s">
        <v>1382</v>
      </c>
      <c r="E67" s="546" t="s">
        <v>1383</v>
      </c>
      <c r="F67" s="563">
        <v>3</v>
      </c>
      <c r="G67" s="563">
        <v>4818</v>
      </c>
      <c r="H67" s="563">
        <v>1</v>
      </c>
      <c r="I67" s="563">
        <v>1606</v>
      </c>
      <c r="J67" s="563">
        <v>1</v>
      </c>
      <c r="K67" s="563">
        <v>1436</v>
      </c>
      <c r="L67" s="563">
        <v>0.29804898298048982</v>
      </c>
      <c r="M67" s="563">
        <v>1436</v>
      </c>
      <c r="N67" s="563"/>
      <c r="O67" s="563"/>
      <c r="P67" s="551"/>
      <c r="Q67" s="564"/>
    </row>
    <row r="68" spans="1:17" ht="14.4" customHeight="1" x14ac:dyDescent="0.3">
      <c r="A68" s="545" t="s">
        <v>1490</v>
      </c>
      <c r="B68" s="546" t="s">
        <v>1432</v>
      </c>
      <c r="C68" s="546" t="s">
        <v>1363</v>
      </c>
      <c r="D68" s="546" t="s">
        <v>1435</v>
      </c>
      <c r="E68" s="546" t="s">
        <v>1436</v>
      </c>
      <c r="F68" s="563"/>
      <c r="G68" s="563"/>
      <c r="H68" s="563"/>
      <c r="I68" s="563"/>
      <c r="J68" s="563"/>
      <c r="K68" s="563"/>
      <c r="L68" s="563"/>
      <c r="M68" s="563"/>
      <c r="N68" s="563">
        <v>1</v>
      </c>
      <c r="O68" s="563">
        <v>301</v>
      </c>
      <c r="P68" s="551"/>
      <c r="Q68" s="564">
        <v>301</v>
      </c>
    </row>
    <row r="69" spans="1:17" ht="14.4" customHeight="1" x14ac:dyDescent="0.3">
      <c r="A69" s="545" t="s">
        <v>1490</v>
      </c>
      <c r="B69" s="546" t="s">
        <v>1432</v>
      </c>
      <c r="C69" s="546" t="s">
        <v>1363</v>
      </c>
      <c r="D69" s="546" t="s">
        <v>1437</v>
      </c>
      <c r="E69" s="546" t="s">
        <v>1438</v>
      </c>
      <c r="F69" s="563">
        <v>3</v>
      </c>
      <c r="G69" s="563">
        <v>3708</v>
      </c>
      <c r="H69" s="563">
        <v>1</v>
      </c>
      <c r="I69" s="563">
        <v>1236</v>
      </c>
      <c r="J69" s="563">
        <v>1</v>
      </c>
      <c r="K69" s="563">
        <v>1245</v>
      </c>
      <c r="L69" s="563">
        <v>0.33576051779935273</v>
      </c>
      <c r="M69" s="563">
        <v>1245</v>
      </c>
      <c r="N69" s="563"/>
      <c r="O69" s="563"/>
      <c r="P69" s="551"/>
      <c r="Q69" s="564"/>
    </row>
    <row r="70" spans="1:17" ht="14.4" customHeight="1" x14ac:dyDescent="0.3">
      <c r="A70" s="545" t="s">
        <v>1490</v>
      </c>
      <c r="B70" s="546" t="s">
        <v>1432</v>
      </c>
      <c r="C70" s="546" t="s">
        <v>1363</v>
      </c>
      <c r="D70" s="546" t="s">
        <v>1445</v>
      </c>
      <c r="E70" s="546" t="s">
        <v>1446</v>
      </c>
      <c r="F70" s="563">
        <v>18</v>
      </c>
      <c r="G70" s="563">
        <v>39978</v>
      </c>
      <c r="H70" s="563">
        <v>1</v>
      </c>
      <c r="I70" s="563">
        <v>2221</v>
      </c>
      <c r="J70" s="563"/>
      <c r="K70" s="563"/>
      <c r="L70" s="563"/>
      <c r="M70" s="563"/>
      <c r="N70" s="563">
        <v>4</v>
      </c>
      <c r="O70" s="563">
        <v>9016</v>
      </c>
      <c r="P70" s="551">
        <v>0.22552403822102157</v>
      </c>
      <c r="Q70" s="564">
        <v>2254</v>
      </c>
    </row>
    <row r="71" spans="1:17" ht="14.4" customHeight="1" x14ac:dyDescent="0.3">
      <c r="A71" s="545" t="s">
        <v>1490</v>
      </c>
      <c r="B71" s="546" t="s">
        <v>1432</v>
      </c>
      <c r="C71" s="546" t="s">
        <v>1363</v>
      </c>
      <c r="D71" s="546" t="s">
        <v>1451</v>
      </c>
      <c r="E71" s="546" t="s">
        <v>1452</v>
      </c>
      <c r="F71" s="563"/>
      <c r="G71" s="563"/>
      <c r="H71" s="563"/>
      <c r="I71" s="563"/>
      <c r="J71" s="563"/>
      <c r="K71" s="563"/>
      <c r="L71" s="563"/>
      <c r="M71" s="563"/>
      <c r="N71" s="563">
        <v>1</v>
      </c>
      <c r="O71" s="563">
        <v>6568</v>
      </c>
      <c r="P71" s="551"/>
      <c r="Q71" s="564">
        <v>6568</v>
      </c>
    </row>
    <row r="72" spans="1:17" ht="14.4" customHeight="1" x14ac:dyDescent="0.3">
      <c r="A72" s="545" t="s">
        <v>1491</v>
      </c>
      <c r="B72" s="546" t="s">
        <v>1355</v>
      </c>
      <c r="C72" s="546" t="s">
        <v>1363</v>
      </c>
      <c r="D72" s="546" t="s">
        <v>1370</v>
      </c>
      <c r="E72" s="546" t="s">
        <v>1371</v>
      </c>
      <c r="F72" s="563">
        <v>5</v>
      </c>
      <c r="G72" s="563">
        <v>12425</v>
      </c>
      <c r="H72" s="563">
        <v>1</v>
      </c>
      <c r="I72" s="563">
        <v>2485</v>
      </c>
      <c r="J72" s="563">
        <v>3</v>
      </c>
      <c r="K72" s="563">
        <v>6939</v>
      </c>
      <c r="L72" s="563">
        <v>0.55847082494969824</v>
      </c>
      <c r="M72" s="563">
        <v>2313</v>
      </c>
      <c r="N72" s="563">
        <v>2</v>
      </c>
      <c r="O72" s="563">
        <v>4658</v>
      </c>
      <c r="P72" s="551">
        <v>0.37488933601609659</v>
      </c>
      <c r="Q72" s="564">
        <v>2329</v>
      </c>
    </row>
    <row r="73" spans="1:17" ht="14.4" customHeight="1" x14ac:dyDescent="0.3">
      <c r="A73" s="545" t="s">
        <v>1491</v>
      </c>
      <c r="B73" s="546" t="s">
        <v>1355</v>
      </c>
      <c r="C73" s="546" t="s">
        <v>1363</v>
      </c>
      <c r="D73" s="546" t="s">
        <v>1378</v>
      </c>
      <c r="E73" s="546" t="s">
        <v>1379</v>
      </c>
      <c r="F73" s="563">
        <v>2</v>
      </c>
      <c r="G73" s="563">
        <v>646</v>
      </c>
      <c r="H73" s="563">
        <v>1</v>
      </c>
      <c r="I73" s="563">
        <v>323</v>
      </c>
      <c r="J73" s="563">
        <v>2</v>
      </c>
      <c r="K73" s="563">
        <v>646</v>
      </c>
      <c r="L73" s="563">
        <v>1</v>
      </c>
      <c r="M73" s="563">
        <v>323</v>
      </c>
      <c r="N73" s="563">
        <v>4</v>
      </c>
      <c r="O73" s="563">
        <v>1304</v>
      </c>
      <c r="P73" s="551">
        <v>2.0185758513931891</v>
      </c>
      <c r="Q73" s="564">
        <v>326</v>
      </c>
    </row>
    <row r="74" spans="1:17" ht="14.4" customHeight="1" x14ac:dyDescent="0.3">
      <c r="A74" s="545" t="s">
        <v>1491</v>
      </c>
      <c r="B74" s="546" t="s">
        <v>1355</v>
      </c>
      <c r="C74" s="546" t="s">
        <v>1363</v>
      </c>
      <c r="D74" s="546" t="s">
        <v>1380</v>
      </c>
      <c r="E74" s="546" t="s">
        <v>1381</v>
      </c>
      <c r="F74" s="563">
        <v>7</v>
      </c>
      <c r="G74" s="563">
        <v>0</v>
      </c>
      <c r="H74" s="563"/>
      <c r="I74" s="563">
        <v>0</v>
      </c>
      <c r="J74" s="563">
        <v>18</v>
      </c>
      <c r="K74" s="563">
        <v>0</v>
      </c>
      <c r="L74" s="563"/>
      <c r="M74" s="563">
        <v>0</v>
      </c>
      <c r="N74" s="563">
        <v>8</v>
      </c>
      <c r="O74" s="563">
        <v>0</v>
      </c>
      <c r="P74" s="551"/>
      <c r="Q74" s="564">
        <v>0</v>
      </c>
    </row>
    <row r="75" spans="1:17" ht="14.4" customHeight="1" x14ac:dyDescent="0.3">
      <c r="A75" s="545" t="s">
        <v>1491</v>
      </c>
      <c r="B75" s="546" t="s">
        <v>1355</v>
      </c>
      <c r="C75" s="546" t="s">
        <v>1363</v>
      </c>
      <c r="D75" s="546" t="s">
        <v>1382</v>
      </c>
      <c r="E75" s="546" t="s">
        <v>1383</v>
      </c>
      <c r="F75" s="563">
        <v>67</v>
      </c>
      <c r="G75" s="563">
        <v>107602</v>
      </c>
      <c r="H75" s="563">
        <v>1</v>
      </c>
      <c r="I75" s="563">
        <v>1606</v>
      </c>
      <c r="J75" s="563">
        <v>36</v>
      </c>
      <c r="K75" s="563">
        <v>51696</v>
      </c>
      <c r="L75" s="563">
        <v>0.48043716659541646</v>
      </c>
      <c r="M75" s="563">
        <v>1436</v>
      </c>
      <c r="N75" s="563">
        <v>32</v>
      </c>
      <c r="O75" s="563">
        <v>46136</v>
      </c>
      <c r="P75" s="551">
        <v>0.4287652645861601</v>
      </c>
      <c r="Q75" s="564">
        <v>1441.75</v>
      </c>
    </row>
    <row r="76" spans="1:17" ht="14.4" customHeight="1" x14ac:dyDescent="0.3">
      <c r="A76" s="545" t="s">
        <v>1491</v>
      </c>
      <c r="B76" s="546" t="s">
        <v>1355</v>
      </c>
      <c r="C76" s="546" t="s">
        <v>1363</v>
      </c>
      <c r="D76" s="546" t="s">
        <v>1384</v>
      </c>
      <c r="E76" s="546" t="s">
        <v>1385</v>
      </c>
      <c r="F76" s="563"/>
      <c r="G76" s="563"/>
      <c r="H76" s="563"/>
      <c r="I76" s="563"/>
      <c r="J76" s="563">
        <v>0</v>
      </c>
      <c r="K76" s="563">
        <v>0</v>
      </c>
      <c r="L76" s="563"/>
      <c r="M76" s="563"/>
      <c r="N76" s="563"/>
      <c r="O76" s="563"/>
      <c r="P76" s="551"/>
      <c r="Q76" s="564"/>
    </row>
    <row r="77" spans="1:17" ht="14.4" customHeight="1" x14ac:dyDescent="0.3">
      <c r="A77" s="545" t="s">
        <v>1491</v>
      </c>
      <c r="B77" s="546" t="s">
        <v>1432</v>
      </c>
      <c r="C77" s="546" t="s">
        <v>1363</v>
      </c>
      <c r="D77" s="546" t="s">
        <v>1435</v>
      </c>
      <c r="E77" s="546" t="s">
        <v>1436</v>
      </c>
      <c r="F77" s="563"/>
      <c r="G77" s="563"/>
      <c r="H77" s="563"/>
      <c r="I77" s="563"/>
      <c r="J77" s="563"/>
      <c r="K77" s="563"/>
      <c r="L77" s="563"/>
      <c r="M77" s="563"/>
      <c r="N77" s="563">
        <v>1</v>
      </c>
      <c r="O77" s="563">
        <v>301</v>
      </c>
      <c r="P77" s="551"/>
      <c r="Q77" s="564">
        <v>301</v>
      </c>
    </row>
    <row r="78" spans="1:17" ht="14.4" customHeight="1" x14ac:dyDescent="0.3">
      <c r="A78" s="545" t="s">
        <v>1491</v>
      </c>
      <c r="B78" s="546" t="s">
        <v>1432</v>
      </c>
      <c r="C78" s="546" t="s">
        <v>1363</v>
      </c>
      <c r="D78" s="546" t="s">
        <v>1437</v>
      </c>
      <c r="E78" s="546" t="s">
        <v>1438</v>
      </c>
      <c r="F78" s="563">
        <v>69</v>
      </c>
      <c r="G78" s="563">
        <v>85284</v>
      </c>
      <c r="H78" s="563">
        <v>1</v>
      </c>
      <c r="I78" s="563">
        <v>1236</v>
      </c>
      <c r="J78" s="563">
        <v>34</v>
      </c>
      <c r="K78" s="563">
        <v>42330</v>
      </c>
      <c r="L78" s="563">
        <v>0.49634163500773887</v>
      </c>
      <c r="M78" s="563">
        <v>1245</v>
      </c>
      <c r="N78" s="563">
        <v>33</v>
      </c>
      <c r="O78" s="563">
        <v>41453</v>
      </c>
      <c r="P78" s="551">
        <v>0.48605834623141503</v>
      </c>
      <c r="Q78" s="564">
        <v>1256.1515151515152</v>
      </c>
    </row>
    <row r="79" spans="1:17" ht="14.4" customHeight="1" x14ac:dyDescent="0.3">
      <c r="A79" s="545" t="s">
        <v>1491</v>
      </c>
      <c r="B79" s="546" t="s">
        <v>1432</v>
      </c>
      <c r="C79" s="546" t="s">
        <v>1363</v>
      </c>
      <c r="D79" s="546" t="s">
        <v>1445</v>
      </c>
      <c r="E79" s="546" t="s">
        <v>1446</v>
      </c>
      <c r="F79" s="563">
        <v>20</v>
      </c>
      <c r="G79" s="563">
        <v>44420</v>
      </c>
      <c r="H79" s="563">
        <v>1</v>
      </c>
      <c r="I79" s="563">
        <v>2221</v>
      </c>
      <c r="J79" s="563">
        <v>14</v>
      </c>
      <c r="K79" s="563">
        <v>31262</v>
      </c>
      <c r="L79" s="563">
        <v>0.70378208014407928</v>
      </c>
      <c r="M79" s="563">
        <v>2233</v>
      </c>
      <c r="N79" s="563">
        <v>22</v>
      </c>
      <c r="O79" s="563">
        <v>49588</v>
      </c>
      <c r="P79" s="551">
        <v>1.1163439891940568</v>
      </c>
      <c r="Q79" s="564">
        <v>2254</v>
      </c>
    </row>
    <row r="80" spans="1:17" ht="14.4" customHeight="1" x14ac:dyDescent="0.3">
      <c r="A80" s="545" t="s">
        <v>1491</v>
      </c>
      <c r="B80" s="546" t="s">
        <v>1432</v>
      </c>
      <c r="C80" s="546" t="s">
        <v>1363</v>
      </c>
      <c r="D80" s="546" t="s">
        <v>1451</v>
      </c>
      <c r="E80" s="546" t="s">
        <v>1452</v>
      </c>
      <c r="F80" s="563"/>
      <c r="G80" s="563"/>
      <c r="H80" s="563"/>
      <c r="I80" s="563"/>
      <c r="J80" s="563"/>
      <c r="K80" s="563"/>
      <c r="L80" s="563"/>
      <c r="M80" s="563"/>
      <c r="N80" s="563">
        <v>1</v>
      </c>
      <c r="O80" s="563">
        <v>6568</v>
      </c>
      <c r="P80" s="551"/>
      <c r="Q80" s="564">
        <v>6568</v>
      </c>
    </row>
    <row r="81" spans="1:17" ht="14.4" customHeight="1" x14ac:dyDescent="0.3">
      <c r="A81" s="545" t="s">
        <v>1492</v>
      </c>
      <c r="B81" s="546" t="s">
        <v>1355</v>
      </c>
      <c r="C81" s="546" t="s">
        <v>1363</v>
      </c>
      <c r="D81" s="546" t="s">
        <v>1378</v>
      </c>
      <c r="E81" s="546" t="s">
        <v>1379</v>
      </c>
      <c r="F81" s="563"/>
      <c r="G81" s="563"/>
      <c r="H81" s="563"/>
      <c r="I81" s="563"/>
      <c r="J81" s="563">
        <v>1</v>
      </c>
      <c r="K81" s="563">
        <v>323</v>
      </c>
      <c r="L81" s="563"/>
      <c r="M81" s="563">
        <v>323</v>
      </c>
      <c r="N81" s="563"/>
      <c r="O81" s="563"/>
      <c r="P81" s="551"/>
      <c r="Q81" s="564"/>
    </row>
    <row r="82" spans="1:17" ht="14.4" customHeight="1" x14ac:dyDescent="0.3">
      <c r="A82" s="545" t="s">
        <v>1492</v>
      </c>
      <c r="B82" s="546" t="s">
        <v>1405</v>
      </c>
      <c r="C82" s="546" t="s">
        <v>1363</v>
      </c>
      <c r="D82" s="546" t="s">
        <v>1418</v>
      </c>
      <c r="E82" s="546" t="s">
        <v>1419</v>
      </c>
      <c r="F82" s="563"/>
      <c r="G82" s="563"/>
      <c r="H82" s="563"/>
      <c r="I82" s="563"/>
      <c r="J82" s="563">
        <v>1</v>
      </c>
      <c r="K82" s="563">
        <v>642</v>
      </c>
      <c r="L82" s="563"/>
      <c r="M82" s="563">
        <v>642</v>
      </c>
      <c r="N82" s="563"/>
      <c r="O82" s="563"/>
      <c r="P82" s="551"/>
      <c r="Q82" s="564"/>
    </row>
    <row r="83" spans="1:17" ht="14.4" customHeight="1" x14ac:dyDescent="0.3">
      <c r="A83" s="545" t="s">
        <v>1493</v>
      </c>
      <c r="B83" s="546" t="s">
        <v>1355</v>
      </c>
      <c r="C83" s="546" t="s">
        <v>1363</v>
      </c>
      <c r="D83" s="546" t="s">
        <v>1374</v>
      </c>
      <c r="E83" s="546" t="s">
        <v>1375</v>
      </c>
      <c r="F83" s="563">
        <v>1</v>
      </c>
      <c r="G83" s="563">
        <v>318</v>
      </c>
      <c r="H83" s="563">
        <v>1</v>
      </c>
      <c r="I83" s="563">
        <v>318</v>
      </c>
      <c r="J83" s="563"/>
      <c r="K83" s="563"/>
      <c r="L83" s="563"/>
      <c r="M83" s="563"/>
      <c r="N83" s="563">
        <v>1</v>
      </c>
      <c r="O83" s="563">
        <v>322</v>
      </c>
      <c r="P83" s="551">
        <v>1.0125786163522013</v>
      </c>
      <c r="Q83" s="564">
        <v>322</v>
      </c>
    </row>
    <row r="84" spans="1:17" ht="14.4" customHeight="1" x14ac:dyDescent="0.3">
      <c r="A84" s="545" t="s">
        <v>1493</v>
      </c>
      <c r="B84" s="546" t="s">
        <v>1355</v>
      </c>
      <c r="C84" s="546" t="s">
        <v>1363</v>
      </c>
      <c r="D84" s="546" t="s">
        <v>1376</v>
      </c>
      <c r="E84" s="546" t="s">
        <v>1377</v>
      </c>
      <c r="F84" s="563">
        <v>1</v>
      </c>
      <c r="G84" s="563">
        <v>0</v>
      </c>
      <c r="H84" s="563"/>
      <c r="I84" s="563">
        <v>0</v>
      </c>
      <c r="J84" s="563"/>
      <c r="K84" s="563"/>
      <c r="L84" s="563"/>
      <c r="M84" s="563"/>
      <c r="N84" s="563"/>
      <c r="O84" s="563"/>
      <c r="P84" s="551"/>
      <c r="Q84" s="564"/>
    </row>
    <row r="85" spans="1:17" ht="14.4" customHeight="1" x14ac:dyDescent="0.3">
      <c r="A85" s="545" t="s">
        <v>1493</v>
      </c>
      <c r="B85" s="546" t="s">
        <v>1355</v>
      </c>
      <c r="C85" s="546" t="s">
        <v>1363</v>
      </c>
      <c r="D85" s="546" t="s">
        <v>1378</v>
      </c>
      <c r="E85" s="546" t="s">
        <v>1379</v>
      </c>
      <c r="F85" s="563">
        <v>1</v>
      </c>
      <c r="G85" s="563">
        <v>323</v>
      </c>
      <c r="H85" s="563">
        <v>1</v>
      </c>
      <c r="I85" s="563">
        <v>323</v>
      </c>
      <c r="J85" s="563"/>
      <c r="K85" s="563"/>
      <c r="L85" s="563"/>
      <c r="M85" s="563"/>
      <c r="N85" s="563"/>
      <c r="O85" s="563"/>
      <c r="P85" s="551"/>
      <c r="Q85" s="564"/>
    </row>
    <row r="86" spans="1:17" ht="14.4" customHeight="1" x14ac:dyDescent="0.3">
      <c r="A86" s="545" t="s">
        <v>1493</v>
      </c>
      <c r="B86" s="546" t="s">
        <v>1355</v>
      </c>
      <c r="C86" s="546" t="s">
        <v>1363</v>
      </c>
      <c r="D86" s="546" t="s">
        <v>1382</v>
      </c>
      <c r="E86" s="546" t="s">
        <v>1383</v>
      </c>
      <c r="F86" s="563"/>
      <c r="G86" s="563"/>
      <c r="H86" s="563"/>
      <c r="I86" s="563"/>
      <c r="J86" s="563"/>
      <c r="K86" s="563"/>
      <c r="L86" s="563"/>
      <c r="M86" s="563"/>
      <c r="N86" s="563">
        <v>1</v>
      </c>
      <c r="O86" s="563">
        <v>1444</v>
      </c>
      <c r="P86" s="551"/>
      <c r="Q86" s="564">
        <v>1444</v>
      </c>
    </row>
    <row r="87" spans="1:17" ht="14.4" customHeight="1" x14ac:dyDescent="0.3">
      <c r="A87" s="545" t="s">
        <v>1493</v>
      </c>
      <c r="B87" s="546" t="s">
        <v>1405</v>
      </c>
      <c r="C87" s="546" t="s">
        <v>1363</v>
      </c>
      <c r="D87" s="546" t="s">
        <v>1406</v>
      </c>
      <c r="E87" s="546" t="s">
        <v>1407</v>
      </c>
      <c r="F87" s="563">
        <v>1</v>
      </c>
      <c r="G87" s="563">
        <v>437</v>
      </c>
      <c r="H87" s="563">
        <v>1</v>
      </c>
      <c r="I87" s="563">
        <v>437</v>
      </c>
      <c r="J87" s="563"/>
      <c r="K87" s="563"/>
      <c r="L87" s="563"/>
      <c r="M87" s="563"/>
      <c r="N87" s="563"/>
      <c r="O87" s="563"/>
      <c r="P87" s="551"/>
      <c r="Q87" s="564"/>
    </row>
    <row r="88" spans="1:17" ht="14.4" customHeight="1" x14ac:dyDescent="0.3">
      <c r="A88" s="545" t="s">
        <v>1493</v>
      </c>
      <c r="B88" s="546" t="s">
        <v>1405</v>
      </c>
      <c r="C88" s="546" t="s">
        <v>1363</v>
      </c>
      <c r="D88" s="546" t="s">
        <v>1418</v>
      </c>
      <c r="E88" s="546" t="s">
        <v>1419</v>
      </c>
      <c r="F88" s="563">
        <v>2</v>
      </c>
      <c r="G88" s="563">
        <v>1280</v>
      </c>
      <c r="H88" s="563">
        <v>1</v>
      </c>
      <c r="I88" s="563">
        <v>640</v>
      </c>
      <c r="J88" s="563"/>
      <c r="K88" s="563"/>
      <c r="L88" s="563"/>
      <c r="M88" s="563"/>
      <c r="N88" s="563"/>
      <c r="O88" s="563"/>
      <c r="P88" s="551"/>
      <c r="Q88" s="564"/>
    </row>
    <row r="89" spans="1:17" ht="14.4" customHeight="1" x14ac:dyDescent="0.3">
      <c r="A89" s="545" t="s">
        <v>1493</v>
      </c>
      <c r="B89" s="546" t="s">
        <v>1432</v>
      </c>
      <c r="C89" s="546" t="s">
        <v>1363</v>
      </c>
      <c r="D89" s="546" t="s">
        <v>1435</v>
      </c>
      <c r="E89" s="546" t="s">
        <v>1436</v>
      </c>
      <c r="F89" s="563"/>
      <c r="G89" s="563"/>
      <c r="H89" s="563"/>
      <c r="I89" s="563"/>
      <c r="J89" s="563">
        <v>1</v>
      </c>
      <c r="K89" s="563">
        <v>297</v>
      </c>
      <c r="L89" s="563"/>
      <c r="M89" s="563">
        <v>297</v>
      </c>
      <c r="N89" s="563"/>
      <c r="O89" s="563"/>
      <c r="P89" s="551"/>
      <c r="Q89" s="564"/>
    </row>
    <row r="90" spans="1:17" ht="14.4" customHeight="1" x14ac:dyDescent="0.3">
      <c r="A90" s="545" t="s">
        <v>1493</v>
      </c>
      <c r="B90" s="546" t="s">
        <v>1432</v>
      </c>
      <c r="C90" s="546" t="s">
        <v>1363</v>
      </c>
      <c r="D90" s="546" t="s">
        <v>1437</v>
      </c>
      <c r="E90" s="546" t="s">
        <v>1438</v>
      </c>
      <c r="F90" s="563"/>
      <c r="G90" s="563"/>
      <c r="H90" s="563"/>
      <c r="I90" s="563"/>
      <c r="J90" s="563">
        <v>1</v>
      </c>
      <c r="K90" s="563">
        <v>1245</v>
      </c>
      <c r="L90" s="563"/>
      <c r="M90" s="563">
        <v>1245</v>
      </c>
      <c r="N90" s="563"/>
      <c r="O90" s="563"/>
      <c r="P90" s="551"/>
      <c r="Q90" s="564"/>
    </row>
    <row r="91" spans="1:17" ht="14.4" customHeight="1" x14ac:dyDescent="0.3">
      <c r="A91" s="545" t="s">
        <v>1493</v>
      </c>
      <c r="B91" s="546" t="s">
        <v>1432</v>
      </c>
      <c r="C91" s="546" t="s">
        <v>1363</v>
      </c>
      <c r="D91" s="546" t="s">
        <v>1445</v>
      </c>
      <c r="E91" s="546" t="s">
        <v>1446</v>
      </c>
      <c r="F91" s="563"/>
      <c r="G91" s="563"/>
      <c r="H91" s="563"/>
      <c r="I91" s="563"/>
      <c r="J91" s="563">
        <v>10</v>
      </c>
      <c r="K91" s="563">
        <v>22330</v>
      </c>
      <c r="L91" s="563"/>
      <c r="M91" s="563">
        <v>2233</v>
      </c>
      <c r="N91" s="563"/>
      <c r="O91" s="563"/>
      <c r="P91" s="551"/>
      <c r="Q91" s="564"/>
    </row>
    <row r="92" spans="1:17" ht="14.4" customHeight="1" x14ac:dyDescent="0.3">
      <c r="A92" s="545" t="s">
        <v>1493</v>
      </c>
      <c r="B92" s="546" t="s">
        <v>1432</v>
      </c>
      <c r="C92" s="546" t="s">
        <v>1363</v>
      </c>
      <c r="D92" s="546" t="s">
        <v>1451</v>
      </c>
      <c r="E92" s="546" t="s">
        <v>1452</v>
      </c>
      <c r="F92" s="563"/>
      <c r="G92" s="563"/>
      <c r="H92" s="563"/>
      <c r="I92" s="563"/>
      <c r="J92" s="563">
        <v>1</v>
      </c>
      <c r="K92" s="563">
        <v>6514</v>
      </c>
      <c r="L92" s="563"/>
      <c r="M92" s="563">
        <v>6514</v>
      </c>
      <c r="N92" s="563"/>
      <c r="O92" s="563"/>
      <c r="P92" s="551"/>
      <c r="Q92" s="564"/>
    </row>
    <row r="93" spans="1:17" ht="14.4" customHeight="1" x14ac:dyDescent="0.3">
      <c r="A93" s="545" t="s">
        <v>1494</v>
      </c>
      <c r="B93" s="546" t="s">
        <v>1355</v>
      </c>
      <c r="C93" s="546" t="s">
        <v>1363</v>
      </c>
      <c r="D93" s="546" t="s">
        <v>1380</v>
      </c>
      <c r="E93" s="546" t="s">
        <v>1381</v>
      </c>
      <c r="F93" s="563">
        <v>2</v>
      </c>
      <c r="G93" s="563">
        <v>0</v>
      </c>
      <c r="H93" s="563"/>
      <c r="I93" s="563">
        <v>0</v>
      </c>
      <c r="J93" s="563">
        <v>1</v>
      </c>
      <c r="K93" s="563">
        <v>0</v>
      </c>
      <c r="L93" s="563"/>
      <c r="M93" s="563">
        <v>0</v>
      </c>
      <c r="N93" s="563"/>
      <c r="O93" s="563"/>
      <c r="P93" s="551"/>
      <c r="Q93" s="564"/>
    </row>
    <row r="94" spans="1:17" ht="14.4" customHeight="1" x14ac:dyDescent="0.3">
      <c r="A94" s="545" t="s">
        <v>1494</v>
      </c>
      <c r="B94" s="546" t="s">
        <v>1355</v>
      </c>
      <c r="C94" s="546" t="s">
        <v>1363</v>
      </c>
      <c r="D94" s="546" t="s">
        <v>1382</v>
      </c>
      <c r="E94" s="546" t="s">
        <v>1383</v>
      </c>
      <c r="F94" s="563">
        <v>3</v>
      </c>
      <c r="G94" s="563">
        <v>4818</v>
      </c>
      <c r="H94" s="563">
        <v>1</v>
      </c>
      <c r="I94" s="563">
        <v>1606</v>
      </c>
      <c r="J94" s="563">
        <v>1</v>
      </c>
      <c r="K94" s="563">
        <v>1436</v>
      </c>
      <c r="L94" s="563">
        <v>0.29804898298048982</v>
      </c>
      <c r="M94" s="563">
        <v>1436</v>
      </c>
      <c r="N94" s="563">
        <v>1</v>
      </c>
      <c r="O94" s="563">
        <v>1436</v>
      </c>
      <c r="P94" s="551">
        <v>0.29804898298048982</v>
      </c>
      <c r="Q94" s="564">
        <v>1436</v>
      </c>
    </row>
    <row r="95" spans="1:17" ht="14.4" customHeight="1" x14ac:dyDescent="0.3">
      <c r="A95" s="545" t="s">
        <v>1494</v>
      </c>
      <c r="B95" s="546" t="s">
        <v>1432</v>
      </c>
      <c r="C95" s="546" t="s">
        <v>1363</v>
      </c>
      <c r="D95" s="546" t="s">
        <v>1437</v>
      </c>
      <c r="E95" s="546" t="s">
        <v>1438</v>
      </c>
      <c r="F95" s="563">
        <v>6</v>
      </c>
      <c r="G95" s="563">
        <v>7416</v>
      </c>
      <c r="H95" s="563">
        <v>1</v>
      </c>
      <c r="I95" s="563">
        <v>1236</v>
      </c>
      <c r="J95" s="563"/>
      <c r="K95" s="563"/>
      <c r="L95" s="563"/>
      <c r="M95" s="563"/>
      <c r="N95" s="563"/>
      <c r="O95" s="563"/>
      <c r="P95" s="551"/>
      <c r="Q95" s="564"/>
    </row>
    <row r="96" spans="1:17" ht="14.4" customHeight="1" x14ac:dyDescent="0.3">
      <c r="A96" s="545" t="s">
        <v>472</v>
      </c>
      <c r="B96" s="546" t="s">
        <v>1405</v>
      </c>
      <c r="C96" s="546" t="s">
        <v>1356</v>
      </c>
      <c r="D96" s="546" t="s">
        <v>1359</v>
      </c>
      <c r="E96" s="546" t="s">
        <v>584</v>
      </c>
      <c r="F96" s="563">
        <v>-1</v>
      </c>
      <c r="G96" s="563">
        <v>-568.37</v>
      </c>
      <c r="H96" s="563">
        <v>1</v>
      </c>
      <c r="I96" s="563">
        <v>568.37</v>
      </c>
      <c r="J96" s="563"/>
      <c r="K96" s="563"/>
      <c r="L96" s="563"/>
      <c r="M96" s="563"/>
      <c r="N96" s="563"/>
      <c r="O96" s="563"/>
      <c r="P96" s="551"/>
      <c r="Q96" s="564"/>
    </row>
    <row r="97" spans="1:17" ht="14.4" customHeight="1" x14ac:dyDescent="0.3">
      <c r="A97" s="545" t="s">
        <v>1495</v>
      </c>
      <c r="B97" s="546" t="s">
        <v>1355</v>
      </c>
      <c r="C97" s="546" t="s">
        <v>1363</v>
      </c>
      <c r="D97" s="546" t="s">
        <v>1380</v>
      </c>
      <c r="E97" s="546" t="s">
        <v>1381</v>
      </c>
      <c r="F97" s="563">
        <v>1</v>
      </c>
      <c r="G97" s="563">
        <v>0</v>
      </c>
      <c r="H97" s="563"/>
      <c r="I97" s="563">
        <v>0</v>
      </c>
      <c r="J97" s="563"/>
      <c r="K97" s="563"/>
      <c r="L97" s="563"/>
      <c r="M97" s="563"/>
      <c r="N97" s="563"/>
      <c r="O97" s="563"/>
      <c r="P97" s="551"/>
      <c r="Q97" s="564"/>
    </row>
    <row r="98" spans="1:17" ht="14.4" customHeight="1" x14ac:dyDescent="0.3">
      <c r="A98" s="545" t="s">
        <v>1495</v>
      </c>
      <c r="B98" s="546" t="s">
        <v>1355</v>
      </c>
      <c r="C98" s="546" t="s">
        <v>1363</v>
      </c>
      <c r="D98" s="546" t="s">
        <v>1382</v>
      </c>
      <c r="E98" s="546" t="s">
        <v>1383</v>
      </c>
      <c r="F98" s="563">
        <v>1</v>
      </c>
      <c r="G98" s="563">
        <v>1606</v>
      </c>
      <c r="H98" s="563">
        <v>1</v>
      </c>
      <c r="I98" s="563">
        <v>1606</v>
      </c>
      <c r="J98" s="563"/>
      <c r="K98" s="563"/>
      <c r="L98" s="563"/>
      <c r="M98" s="563"/>
      <c r="N98" s="563">
        <v>1</v>
      </c>
      <c r="O98" s="563">
        <v>1444</v>
      </c>
      <c r="P98" s="551">
        <v>0.89912826899128273</v>
      </c>
      <c r="Q98" s="564">
        <v>1444</v>
      </c>
    </row>
    <row r="99" spans="1:17" ht="14.4" customHeight="1" thickBot="1" x14ac:dyDescent="0.35">
      <c r="A99" s="553" t="s">
        <v>1495</v>
      </c>
      <c r="B99" s="554" t="s">
        <v>1432</v>
      </c>
      <c r="C99" s="554" t="s">
        <v>1363</v>
      </c>
      <c r="D99" s="554" t="s">
        <v>1437</v>
      </c>
      <c r="E99" s="554" t="s">
        <v>1438</v>
      </c>
      <c r="F99" s="565">
        <v>2</v>
      </c>
      <c r="G99" s="565">
        <v>2472</v>
      </c>
      <c r="H99" s="565">
        <v>1</v>
      </c>
      <c r="I99" s="565">
        <v>1236</v>
      </c>
      <c r="J99" s="565"/>
      <c r="K99" s="565"/>
      <c r="L99" s="565"/>
      <c r="M99" s="565"/>
      <c r="N99" s="565">
        <v>1</v>
      </c>
      <c r="O99" s="565">
        <v>1261</v>
      </c>
      <c r="P99" s="559">
        <v>0.51011326860841422</v>
      </c>
      <c r="Q99" s="566">
        <v>1261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30" bestFit="1" customWidth="1"/>
    <col min="2" max="3" width="9.5546875" style="130" customWidth="1"/>
    <col min="4" max="4" width="2.21875" style="130" customWidth="1"/>
    <col min="5" max="8" width="9.5546875" style="130" customWidth="1"/>
    <col min="9" max="16384" width="8.88671875" style="130"/>
  </cols>
  <sheetData>
    <row r="1" spans="1:8" ht="18.600000000000001" customHeight="1" thickBot="1" x14ac:dyDescent="0.4">
      <c r="A1" s="325" t="s">
        <v>138</v>
      </c>
      <c r="B1" s="325"/>
      <c r="C1" s="325"/>
      <c r="D1" s="325"/>
      <c r="E1" s="325"/>
      <c r="F1" s="325"/>
      <c r="G1" s="326"/>
      <c r="H1" s="326"/>
    </row>
    <row r="2" spans="1:8" ht="14.4" customHeight="1" thickBot="1" x14ac:dyDescent="0.35">
      <c r="A2" s="235" t="s">
        <v>281</v>
      </c>
      <c r="B2" s="111"/>
      <c r="C2" s="111"/>
      <c r="D2" s="111"/>
      <c r="E2" s="111"/>
      <c r="F2" s="111"/>
    </row>
    <row r="3" spans="1:8" ht="14.4" customHeight="1" x14ac:dyDescent="0.3">
      <c r="A3" s="327"/>
      <c r="B3" s="107">
        <v>2012</v>
      </c>
      <c r="C3" s="40">
        <v>2013</v>
      </c>
      <c r="D3" s="7"/>
      <c r="E3" s="331">
        <v>2014</v>
      </c>
      <c r="F3" s="332"/>
      <c r="G3" s="332"/>
      <c r="H3" s="333"/>
    </row>
    <row r="4" spans="1:8" ht="14.4" customHeight="1" thickBot="1" x14ac:dyDescent="0.35">
      <c r="A4" s="328"/>
      <c r="B4" s="329" t="s">
        <v>73</v>
      </c>
      <c r="C4" s="330"/>
      <c r="D4" s="7"/>
      <c r="E4" s="128" t="s">
        <v>73</v>
      </c>
      <c r="F4" s="109" t="s">
        <v>74</v>
      </c>
      <c r="G4" s="109" t="s">
        <v>68</v>
      </c>
      <c r="H4" s="110" t="s">
        <v>75</v>
      </c>
    </row>
    <row r="5" spans="1:8" ht="14.4" customHeight="1" x14ac:dyDescent="0.3">
      <c r="A5" s="112" t="str">
        <f>HYPERLINK("#'Léky Žádanky'!A1","Léky (Kč)")</f>
        <v>Léky (Kč)</v>
      </c>
      <c r="B5" s="27">
        <v>91.077150000000017</v>
      </c>
      <c r="C5" s="29">
        <v>94.999159999998994</v>
      </c>
      <c r="D5" s="8"/>
      <c r="E5" s="117">
        <v>62.504670000000004</v>
      </c>
      <c r="F5" s="28">
        <v>93.808699516832007</v>
      </c>
      <c r="G5" s="116">
        <f>E5-F5</f>
        <v>-31.304029516832003</v>
      </c>
      <c r="H5" s="122">
        <f>IF(F5&lt;0.00000001,"",E5/F5)</f>
        <v>0.66629929123774767</v>
      </c>
    </row>
    <row r="6" spans="1:8" ht="14.4" customHeight="1" x14ac:dyDescent="0.3">
      <c r="A6" s="112" t="str">
        <f>HYPERLINK("#'Materiál Žádanky'!A1","Materiál - SZM (Kč)")</f>
        <v>Materiál - SZM (Kč)</v>
      </c>
      <c r="B6" s="10">
        <v>1601.6347500000002</v>
      </c>
      <c r="C6" s="31">
        <v>2401.4325800000015</v>
      </c>
      <c r="D6" s="8"/>
      <c r="E6" s="118">
        <v>4456.4060900000004</v>
      </c>
      <c r="F6" s="30">
        <v>4403.4489457165764</v>
      </c>
      <c r="G6" s="119">
        <f>E6-F6</f>
        <v>52.957144283423986</v>
      </c>
      <c r="H6" s="123">
        <f>IF(F6&lt;0.00000001,"",E6/F6)</f>
        <v>1.0120262877885613</v>
      </c>
    </row>
    <row r="7" spans="1:8" ht="14.4" customHeight="1" x14ac:dyDescent="0.3">
      <c r="A7" s="112" t="str">
        <f>HYPERLINK("#'Osobní náklady'!A1","Osobní náklady (Kč) *")</f>
        <v>Osobní náklady (Kč) *</v>
      </c>
      <c r="B7" s="10">
        <v>13942.215979999999</v>
      </c>
      <c r="C7" s="31">
        <v>15172.786860000007</v>
      </c>
      <c r="D7" s="8"/>
      <c r="E7" s="118">
        <v>14736.489400000006</v>
      </c>
      <c r="F7" s="30">
        <v>15104.074674599942</v>
      </c>
      <c r="G7" s="119">
        <f>E7-F7</f>
        <v>-367.58527459993638</v>
      </c>
      <c r="H7" s="123">
        <f>IF(F7&lt;0.00000001,"",E7/F7)</f>
        <v>0.97566317152694604</v>
      </c>
    </row>
    <row r="8" spans="1:8" ht="14.4" customHeight="1" thickBot="1" x14ac:dyDescent="0.35">
      <c r="A8" s="1" t="s">
        <v>76</v>
      </c>
      <c r="B8" s="11">
        <v>4354.0673900000002</v>
      </c>
      <c r="C8" s="33">
        <v>5538.079650000006</v>
      </c>
      <c r="D8" s="8"/>
      <c r="E8" s="120">
        <v>5229.1381600000004</v>
      </c>
      <c r="F8" s="32">
        <v>5372.5908587118702</v>
      </c>
      <c r="G8" s="121">
        <f>E8-F8</f>
        <v>-143.45269871186974</v>
      </c>
      <c r="H8" s="124">
        <f>IF(F8&lt;0.00000001,"",E8/F8)</f>
        <v>0.97329915817444845</v>
      </c>
    </row>
    <row r="9" spans="1:8" ht="14.4" customHeight="1" thickBot="1" x14ac:dyDescent="0.35">
      <c r="A9" s="2" t="s">
        <v>77</v>
      </c>
      <c r="B9" s="3">
        <v>19988.995269999999</v>
      </c>
      <c r="C9" s="35">
        <v>23207.298250000014</v>
      </c>
      <c r="D9" s="8"/>
      <c r="E9" s="3">
        <v>24484.538320000007</v>
      </c>
      <c r="F9" s="34">
        <v>24973.923178545221</v>
      </c>
      <c r="G9" s="34">
        <f>E9-F9</f>
        <v>-489.38485854521423</v>
      </c>
      <c r="H9" s="125">
        <f>IF(F9&lt;0.00000001,"",E9/F9)</f>
        <v>0.98040416577537814</v>
      </c>
    </row>
    <row r="10" spans="1:8" ht="14.4" customHeight="1" thickBot="1" x14ac:dyDescent="0.35">
      <c r="A10" s="12"/>
      <c r="B10" s="12"/>
      <c r="C10" s="108"/>
      <c r="D10" s="8"/>
      <c r="E10" s="12"/>
      <c r="F10" s="13"/>
    </row>
    <row r="11" spans="1:8" ht="14.4" customHeight="1" x14ac:dyDescent="0.3">
      <c r="A11" s="133" t="str">
        <f>HYPERLINK("#'ZV Vykáz.-A'!A1","Ambulance *")</f>
        <v>Ambulance *</v>
      </c>
      <c r="B11" s="9">
        <f>IF(ISERROR(VLOOKUP("Celkem:",'ZV Vykáz.-A'!A:F,2,0)),0,VLOOKUP("Celkem:",'ZV Vykáz.-A'!A:F,2,0)/1000)</f>
        <v>52060.14</v>
      </c>
      <c r="C11" s="29">
        <f>IF(ISERROR(VLOOKUP("Celkem:",'ZV Vykáz.-A'!A:F,4,0)),0,VLOOKUP("Celkem:",'ZV Vykáz.-A'!A:F,4,0)/1000)</f>
        <v>56256.218000000001</v>
      </c>
      <c r="D11" s="8"/>
      <c r="E11" s="117">
        <f>IF(ISERROR(VLOOKUP("Celkem:",'ZV Vykáz.-A'!A:F,6,0)),0,VLOOKUP("Celkem:",'ZV Vykáz.-A'!A:F,6,0)/1000)</f>
        <v>58789.212</v>
      </c>
      <c r="F11" s="28">
        <f>B11</f>
        <v>52060.14</v>
      </c>
      <c r="G11" s="116">
        <f>E11-F11</f>
        <v>6729.0720000000001</v>
      </c>
      <c r="H11" s="122">
        <f>IF(F11&lt;0.00000001,"",E11/F11)</f>
        <v>1.1292557415327735</v>
      </c>
    </row>
    <row r="12" spans="1:8" ht="14.4" customHeight="1" thickBot="1" x14ac:dyDescent="0.35">
      <c r="A12" s="134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B12</f>
        <v>0</v>
      </c>
      <c r="G12" s="121">
        <f>E12-F12</f>
        <v>0</v>
      </c>
      <c r="H12" s="124" t="str">
        <f>IF(F12&lt;0.00000001,"",E12/F12)</f>
        <v/>
      </c>
    </row>
    <row r="13" spans="1:8" ht="14.4" customHeight="1" thickBot="1" x14ac:dyDescent="0.35">
      <c r="A13" s="4" t="s">
        <v>80</v>
      </c>
      <c r="B13" s="5">
        <f>SUM(B11:B12)</f>
        <v>52060.14</v>
      </c>
      <c r="C13" s="37">
        <f>SUM(C11:C12)</f>
        <v>56256.218000000001</v>
      </c>
      <c r="D13" s="8"/>
      <c r="E13" s="5">
        <f>SUM(E11:E12)</f>
        <v>58789.212</v>
      </c>
      <c r="F13" s="36">
        <f>SUM(F11:F12)</f>
        <v>52060.14</v>
      </c>
      <c r="G13" s="36">
        <f>E13-F13</f>
        <v>6729.0720000000001</v>
      </c>
      <c r="H13" s="126">
        <f>IF(F13&lt;0.00000001,"",E13/F13)</f>
        <v>1.1292557415327735</v>
      </c>
    </row>
    <row r="14" spans="1:8" ht="14.4" customHeight="1" thickBot="1" x14ac:dyDescent="0.35">
      <c r="A14" s="12"/>
      <c r="B14" s="12"/>
      <c r="C14" s="108"/>
      <c r="D14" s="8"/>
      <c r="E14" s="12"/>
      <c r="F14" s="13"/>
    </row>
    <row r="15" spans="1:8" ht="14.4" customHeight="1" thickBot="1" x14ac:dyDescent="0.35">
      <c r="A15" s="135" t="str">
        <f>HYPERLINK("#'HI Graf'!A1","Hospodářský index (Výnosy / Náklady) *")</f>
        <v>Hospodářský index (Výnosy / Náklady) *</v>
      </c>
      <c r="B15" s="6">
        <f>IF(B9=0,"",B13/B9)</f>
        <v>2.604440057981964</v>
      </c>
      <c r="C15" s="39">
        <f>IF(C9=0,"",C13/C9)</f>
        <v>2.424074418055103</v>
      </c>
      <c r="D15" s="8"/>
      <c r="E15" s="6">
        <f>IF(E9=0,"",E13/E9)</f>
        <v>2.4010749654192369</v>
      </c>
      <c r="F15" s="38">
        <f>IF(F9=0,"",F13/F9)</f>
        <v>2.0845799687861697</v>
      </c>
      <c r="G15" s="38">
        <f>IF(ISERROR(F15-E15),"",E15-F15)</f>
        <v>0.31649499663306724</v>
      </c>
      <c r="H15" s="127">
        <f>IF(ISERROR(F15-E15),"",IF(F15&lt;0.00000001,"",E15/F15))</f>
        <v>1.1518267475329138</v>
      </c>
    </row>
    <row r="17" spans="1:8" ht="14.4" customHeight="1" x14ac:dyDescent="0.3">
      <c r="A17" s="113" t="s">
        <v>162</v>
      </c>
    </row>
    <row r="18" spans="1:8" ht="14.4" customHeight="1" x14ac:dyDescent="0.3">
      <c r="A18" s="288" t="s">
        <v>224</v>
      </c>
      <c r="B18" s="289"/>
      <c r="C18" s="289"/>
      <c r="D18" s="289"/>
      <c r="E18" s="289"/>
      <c r="F18" s="289"/>
      <c r="G18" s="289"/>
      <c r="H18" s="289"/>
    </row>
    <row r="19" spans="1:8" x14ac:dyDescent="0.3">
      <c r="A19" s="287" t="s">
        <v>223</v>
      </c>
      <c r="B19" s="289"/>
      <c r="C19" s="289"/>
      <c r="D19" s="289"/>
      <c r="E19" s="289"/>
      <c r="F19" s="289"/>
      <c r="G19" s="289"/>
      <c r="H19" s="289"/>
    </row>
    <row r="20" spans="1:8" ht="14.4" customHeight="1" x14ac:dyDescent="0.3">
      <c r="A20" s="114" t="s">
        <v>278</v>
      </c>
    </row>
    <row r="21" spans="1:8" ht="14.4" customHeight="1" x14ac:dyDescent="0.3">
      <c r="A21" s="114" t="s">
        <v>163</v>
      </c>
    </row>
    <row r="22" spans="1:8" ht="14.4" customHeight="1" x14ac:dyDescent="0.3">
      <c r="A22" s="115" t="s">
        <v>164</v>
      </c>
    </row>
    <row r="23" spans="1:8" ht="14.4" customHeight="1" x14ac:dyDescent="0.3">
      <c r="A23" s="115" t="s">
        <v>165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8" priority="4" operator="greaterThan">
      <formula>0</formula>
    </cfRule>
  </conditionalFormatting>
  <conditionalFormatting sqref="G11:G13 G15">
    <cfRule type="cellIs" dxfId="57" priority="3" operator="lessThan">
      <formula>0</formula>
    </cfRule>
  </conditionalFormatting>
  <conditionalFormatting sqref="H5:H9">
    <cfRule type="cellIs" dxfId="56" priority="2" operator="greaterThan">
      <formula>1</formula>
    </cfRule>
  </conditionalFormatting>
  <conditionalFormatting sqref="H11:H13 H15">
    <cfRule type="cellIs" dxfId="55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0"/>
    <col min="2" max="13" width="8.88671875" style="130" customWidth="1"/>
    <col min="14" max="16384" width="8.88671875" style="130"/>
  </cols>
  <sheetData>
    <row r="1" spans="1:13" ht="18.600000000000001" customHeight="1" thickBot="1" x14ac:dyDescent="0.4">
      <c r="A1" s="325" t="s">
        <v>105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</row>
    <row r="2" spans="1:13" ht="14.4" customHeight="1" x14ac:dyDescent="0.3">
      <c r="A2" s="235" t="s">
        <v>281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13" ht="14.4" customHeight="1" x14ac:dyDescent="0.3">
      <c r="A3" s="199"/>
      <c r="B3" s="200" t="s">
        <v>82</v>
      </c>
      <c r="C3" s="201" t="s">
        <v>83</v>
      </c>
      <c r="D3" s="201" t="s">
        <v>84</v>
      </c>
      <c r="E3" s="200" t="s">
        <v>85</v>
      </c>
      <c r="F3" s="201" t="s">
        <v>86</v>
      </c>
      <c r="G3" s="201" t="s">
        <v>87</v>
      </c>
      <c r="H3" s="201" t="s">
        <v>88</v>
      </c>
      <c r="I3" s="201" t="s">
        <v>89</v>
      </c>
      <c r="J3" s="201" t="s">
        <v>90</v>
      </c>
      <c r="K3" s="201" t="s">
        <v>91</v>
      </c>
      <c r="L3" s="201" t="s">
        <v>92</v>
      </c>
      <c r="M3" s="201" t="s">
        <v>93</v>
      </c>
    </row>
    <row r="4" spans="1:13" ht="14.4" customHeight="1" x14ac:dyDescent="0.3">
      <c r="A4" s="199" t="s">
        <v>81</v>
      </c>
      <c r="B4" s="202">
        <f>(B10+B8)/B6</f>
        <v>2.2931335058609186</v>
      </c>
      <c r="C4" s="202">
        <f t="shared" ref="C4:M4" si="0">(C10+C8)/C6</f>
        <v>2.8253988406708408</v>
      </c>
      <c r="D4" s="202">
        <f t="shared" si="0"/>
        <v>2.7942955411130952</v>
      </c>
      <c r="E4" s="202">
        <f t="shared" si="0"/>
        <v>3.0521405055563626</v>
      </c>
      <c r="F4" s="202">
        <f t="shared" si="0"/>
        <v>3.3216612107518535</v>
      </c>
      <c r="G4" s="202">
        <f t="shared" si="0"/>
        <v>3.1593910974405923</v>
      </c>
      <c r="H4" s="202">
        <f t="shared" si="0"/>
        <v>3.0021542913410482</v>
      </c>
      <c r="I4" s="202">
        <f t="shared" si="0"/>
        <v>2.8738085177025958</v>
      </c>
      <c r="J4" s="202">
        <f t="shared" si="0"/>
        <v>2.8540416478677013</v>
      </c>
      <c r="K4" s="202">
        <f t="shared" si="0"/>
        <v>2.7964159767802084</v>
      </c>
      <c r="L4" s="202">
        <f t="shared" si="0"/>
        <v>2.5551002231698985</v>
      </c>
      <c r="M4" s="202">
        <f t="shared" si="0"/>
        <v>2.4010749654192374</v>
      </c>
    </row>
    <row r="5" spans="1:13" ht="14.4" customHeight="1" x14ac:dyDescent="0.3">
      <c r="A5" s="203" t="s">
        <v>53</v>
      </c>
      <c r="B5" s="202">
        <f>IF(ISERROR(VLOOKUP($A5,'Man Tab'!$A:$Q,COLUMN()+2,0)),0,VLOOKUP($A5,'Man Tab'!$A:$Q,COLUMN()+2,0))</f>
        <v>1685.67813000001</v>
      </c>
      <c r="C5" s="202">
        <f>IF(ISERROR(VLOOKUP($A5,'Man Tab'!$A:$Q,COLUMN()+2,0)),0,VLOOKUP($A5,'Man Tab'!$A:$Q,COLUMN()+2,0))</f>
        <v>1651.2189000000001</v>
      </c>
      <c r="D5" s="202">
        <f>IF(ISERROR(VLOOKUP($A5,'Man Tab'!$A:$Q,COLUMN()+2,0)),0,VLOOKUP($A5,'Man Tab'!$A:$Q,COLUMN()+2,0))</f>
        <v>2087.6469299999999</v>
      </c>
      <c r="E5" s="202">
        <f>IF(ISERROR(VLOOKUP($A5,'Man Tab'!$A:$Q,COLUMN()+2,0)),0,VLOOKUP($A5,'Man Tab'!$A:$Q,COLUMN()+2,0))</f>
        <v>1561.3021900000001</v>
      </c>
      <c r="F5" s="202">
        <f>IF(ISERROR(VLOOKUP($A5,'Man Tab'!$A:$Q,COLUMN()+2,0)),0,VLOOKUP($A5,'Man Tab'!$A:$Q,COLUMN()+2,0))</f>
        <v>1675.5519200000001</v>
      </c>
      <c r="G5" s="202">
        <f>IF(ISERROR(VLOOKUP($A5,'Man Tab'!$A:$Q,COLUMN()+2,0)),0,VLOOKUP($A5,'Man Tab'!$A:$Q,COLUMN()+2,0))</f>
        <v>2466.02108</v>
      </c>
      <c r="H5" s="202">
        <f>IF(ISERROR(VLOOKUP($A5,'Man Tab'!$A:$Q,COLUMN()+2,0)),0,VLOOKUP($A5,'Man Tab'!$A:$Q,COLUMN()+2,0))</f>
        <v>2263.1930900000002</v>
      </c>
      <c r="I5" s="202">
        <f>IF(ISERROR(VLOOKUP($A5,'Man Tab'!$A:$Q,COLUMN()+2,0)),0,VLOOKUP($A5,'Man Tab'!$A:$Q,COLUMN()+2,0))</f>
        <v>1835.3326099999999</v>
      </c>
      <c r="J5" s="202">
        <f>IF(ISERROR(VLOOKUP($A5,'Man Tab'!$A:$Q,COLUMN()+2,0)),0,VLOOKUP($A5,'Man Tab'!$A:$Q,COLUMN()+2,0))</f>
        <v>1662.02034</v>
      </c>
      <c r="K5" s="202">
        <f>IF(ISERROR(VLOOKUP($A5,'Man Tab'!$A:$Q,COLUMN()+2,0)),0,VLOOKUP($A5,'Man Tab'!$A:$Q,COLUMN()+2,0))</f>
        <v>1776.7196899999999</v>
      </c>
      <c r="L5" s="202">
        <f>IF(ISERROR(VLOOKUP($A5,'Man Tab'!$A:$Q,COLUMN()+2,0)),0,VLOOKUP($A5,'Man Tab'!$A:$Q,COLUMN()+2,0))</f>
        <v>3332.0495299999998</v>
      </c>
      <c r="M5" s="202">
        <f>IF(ISERROR(VLOOKUP($A5,'Man Tab'!$A:$Q,COLUMN()+2,0)),0,VLOOKUP($A5,'Man Tab'!$A:$Q,COLUMN()+2,0))</f>
        <v>2487.8039100000001</v>
      </c>
    </row>
    <row r="6" spans="1:13" ht="14.4" customHeight="1" x14ac:dyDescent="0.3">
      <c r="A6" s="203" t="s">
        <v>77</v>
      </c>
      <c r="B6" s="204">
        <f>B5</f>
        <v>1685.67813000001</v>
      </c>
      <c r="C6" s="204">
        <f t="shared" ref="C6:M6" si="1">C5+B6</f>
        <v>3336.8970300000101</v>
      </c>
      <c r="D6" s="204">
        <f t="shared" si="1"/>
        <v>5424.54396000001</v>
      </c>
      <c r="E6" s="204">
        <f t="shared" si="1"/>
        <v>6985.8461500000103</v>
      </c>
      <c r="F6" s="204">
        <f t="shared" si="1"/>
        <v>8661.3980700000102</v>
      </c>
      <c r="G6" s="204">
        <f t="shared" si="1"/>
        <v>11127.419150000011</v>
      </c>
      <c r="H6" s="204">
        <f t="shared" si="1"/>
        <v>13390.612240000011</v>
      </c>
      <c r="I6" s="204">
        <f t="shared" si="1"/>
        <v>15225.944850000011</v>
      </c>
      <c r="J6" s="204">
        <f t="shared" si="1"/>
        <v>16887.96519000001</v>
      </c>
      <c r="K6" s="204">
        <f t="shared" si="1"/>
        <v>18664.684880000008</v>
      </c>
      <c r="L6" s="204">
        <f t="shared" si="1"/>
        <v>21996.734410000008</v>
      </c>
      <c r="M6" s="204">
        <f t="shared" si="1"/>
        <v>24484.538320000007</v>
      </c>
    </row>
    <row r="7" spans="1:13" ht="14.4" customHeight="1" x14ac:dyDescent="0.3">
      <c r="A7" s="203" t="s">
        <v>103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</row>
    <row r="8" spans="1:13" ht="14.4" customHeight="1" x14ac:dyDescent="0.3">
      <c r="A8" s="203" t="s">
        <v>78</v>
      </c>
      <c r="B8" s="204">
        <f>B7*30</f>
        <v>0</v>
      </c>
      <c r="C8" s="204">
        <f t="shared" ref="C8:M8" si="2">C7*30</f>
        <v>0</v>
      </c>
      <c r="D8" s="204">
        <f t="shared" si="2"/>
        <v>0</v>
      </c>
      <c r="E8" s="204">
        <f t="shared" si="2"/>
        <v>0</v>
      </c>
      <c r="F8" s="204">
        <f t="shared" si="2"/>
        <v>0</v>
      </c>
      <c r="G8" s="204">
        <f t="shared" si="2"/>
        <v>0</v>
      </c>
      <c r="H8" s="204">
        <f t="shared" si="2"/>
        <v>0</v>
      </c>
      <c r="I8" s="204">
        <f t="shared" si="2"/>
        <v>0</v>
      </c>
      <c r="J8" s="204">
        <f t="shared" si="2"/>
        <v>0</v>
      </c>
      <c r="K8" s="204">
        <f t="shared" si="2"/>
        <v>0</v>
      </c>
      <c r="L8" s="204">
        <f t="shared" si="2"/>
        <v>0</v>
      </c>
      <c r="M8" s="204">
        <f t="shared" si="2"/>
        <v>0</v>
      </c>
    </row>
    <row r="9" spans="1:13" ht="14.4" customHeight="1" x14ac:dyDescent="0.3">
      <c r="A9" s="203" t="s">
        <v>104</v>
      </c>
      <c r="B9" s="203">
        <v>3865485</v>
      </c>
      <c r="C9" s="203">
        <v>5562580</v>
      </c>
      <c r="D9" s="203">
        <v>5729714</v>
      </c>
      <c r="E9" s="203">
        <v>6164005</v>
      </c>
      <c r="F9" s="203">
        <v>7448446</v>
      </c>
      <c r="G9" s="203">
        <v>6385639</v>
      </c>
      <c r="H9" s="203">
        <v>5044815</v>
      </c>
      <c r="I9" s="203">
        <v>3555766</v>
      </c>
      <c r="J9" s="203">
        <v>4442506</v>
      </c>
      <c r="K9" s="203">
        <v>3995267</v>
      </c>
      <c r="L9" s="203">
        <v>4009638</v>
      </c>
      <c r="M9" s="203">
        <v>2585351</v>
      </c>
    </row>
    <row r="10" spans="1:13" ht="14.4" customHeight="1" x14ac:dyDescent="0.3">
      <c r="A10" s="203" t="s">
        <v>79</v>
      </c>
      <c r="B10" s="204">
        <f>B9/1000</f>
        <v>3865.4850000000001</v>
      </c>
      <c r="C10" s="204">
        <f t="shared" ref="C10:M10" si="3">C9/1000+B10</f>
        <v>9428.0650000000005</v>
      </c>
      <c r="D10" s="204">
        <f t="shared" si="3"/>
        <v>15157.779</v>
      </c>
      <c r="E10" s="204">
        <f t="shared" si="3"/>
        <v>21321.784</v>
      </c>
      <c r="F10" s="204">
        <f t="shared" si="3"/>
        <v>28770.23</v>
      </c>
      <c r="G10" s="204">
        <f t="shared" si="3"/>
        <v>35155.868999999999</v>
      </c>
      <c r="H10" s="204">
        <f t="shared" si="3"/>
        <v>40200.684000000001</v>
      </c>
      <c r="I10" s="204">
        <f t="shared" si="3"/>
        <v>43756.450000000004</v>
      </c>
      <c r="J10" s="204">
        <f t="shared" si="3"/>
        <v>48198.956000000006</v>
      </c>
      <c r="K10" s="204">
        <f t="shared" si="3"/>
        <v>52194.223000000005</v>
      </c>
      <c r="L10" s="204">
        <f t="shared" si="3"/>
        <v>56203.861000000004</v>
      </c>
      <c r="M10" s="204">
        <f t="shared" si="3"/>
        <v>58789.212000000007</v>
      </c>
    </row>
    <row r="11" spans="1:13" ht="14.4" customHeight="1" x14ac:dyDescent="0.3">
      <c r="A11" s="199"/>
      <c r="B11" s="199" t="s">
        <v>94</v>
      </c>
      <c r="C11" s="199">
        <f ca="1">IF(MONTH(TODAY())=1,12,MONTH(TODAY())-1)</f>
        <v>12</v>
      </c>
      <c r="D11" s="199"/>
      <c r="E11" s="199"/>
      <c r="F11" s="199"/>
      <c r="G11" s="199"/>
      <c r="H11" s="199"/>
      <c r="I11" s="199"/>
      <c r="J11" s="199"/>
      <c r="K11" s="199"/>
      <c r="L11" s="199"/>
      <c r="M11" s="199"/>
    </row>
    <row r="12" spans="1:13" ht="14.4" customHeight="1" x14ac:dyDescent="0.3">
      <c r="A12" s="199">
        <v>0</v>
      </c>
      <c r="B12" s="202">
        <f>IF(ISERROR(HI!F15),#REF!,HI!F15)</f>
        <v>2.0845799687861697</v>
      </c>
      <c r="C12" s="199"/>
      <c r="D12" s="199"/>
      <c r="E12" s="199"/>
      <c r="F12" s="199"/>
      <c r="G12" s="199"/>
      <c r="H12" s="199"/>
      <c r="I12" s="199"/>
      <c r="J12" s="199"/>
      <c r="K12" s="199"/>
      <c r="L12" s="199"/>
      <c r="M12" s="199"/>
    </row>
    <row r="13" spans="1:13" ht="14.4" customHeight="1" x14ac:dyDescent="0.3">
      <c r="A13" s="199">
        <v>1</v>
      </c>
      <c r="B13" s="202">
        <f>IF(ISERROR(HI!F15),#REF!,HI!F15)</f>
        <v>2.0845799687861697</v>
      </c>
      <c r="C13" s="199"/>
      <c r="D13" s="199"/>
      <c r="E13" s="199"/>
      <c r="F13" s="199"/>
      <c r="G13" s="199"/>
      <c r="H13" s="199"/>
      <c r="I13" s="199"/>
      <c r="J13" s="199"/>
      <c r="K13" s="199"/>
      <c r="L13" s="199"/>
      <c r="M13" s="199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0" bestFit="1" customWidth="1"/>
    <col min="2" max="2" width="12.77734375" style="130" bestFit="1" customWidth="1"/>
    <col min="3" max="3" width="13.6640625" style="130" bestFit="1" customWidth="1"/>
    <col min="4" max="15" width="7.77734375" style="130" bestFit="1" customWidth="1"/>
    <col min="16" max="16" width="8.88671875" style="130" customWidth="1"/>
    <col min="17" max="17" width="6.6640625" style="130" bestFit="1" customWidth="1"/>
    <col min="18" max="16384" width="8.88671875" style="130"/>
  </cols>
  <sheetData>
    <row r="1" spans="1:17" s="205" customFormat="1" ht="18.600000000000001" customHeight="1" thickBot="1" x14ac:dyDescent="0.4">
      <c r="A1" s="334" t="s">
        <v>283</v>
      </c>
      <c r="B1" s="334"/>
      <c r="C1" s="334"/>
      <c r="D1" s="334"/>
      <c r="E1" s="334"/>
      <c r="F1" s="334"/>
      <c r="G1" s="334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s="205" customFormat="1" ht="14.4" customHeight="1" thickBot="1" x14ac:dyDescent="0.3">
      <c r="A2" s="235" t="s">
        <v>281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</row>
    <row r="3" spans="1:17" ht="14.4" customHeight="1" x14ac:dyDescent="0.3">
      <c r="A3" s="76"/>
      <c r="B3" s="335" t="s">
        <v>29</v>
      </c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138"/>
      <c r="Q3" s="140"/>
    </row>
    <row r="4" spans="1:17" ht="14.4" customHeight="1" x14ac:dyDescent="0.3">
      <c r="A4" s="77"/>
      <c r="B4" s="20">
        <v>2014</v>
      </c>
      <c r="C4" s="139" t="s">
        <v>30</v>
      </c>
      <c r="D4" s="129" t="s">
        <v>168</v>
      </c>
      <c r="E4" s="129" t="s">
        <v>169</v>
      </c>
      <c r="F4" s="129" t="s">
        <v>170</v>
      </c>
      <c r="G4" s="129" t="s">
        <v>171</v>
      </c>
      <c r="H4" s="129" t="s">
        <v>172</v>
      </c>
      <c r="I4" s="129" t="s">
        <v>173</v>
      </c>
      <c r="J4" s="129" t="s">
        <v>174</v>
      </c>
      <c r="K4" s="129" t="s">
        <v>175</v>
      </c>
      <c r="L4" s="129" t="s">
        <v>176</v>
      </c>
      <c r="M4" s="129" t="s">
        <v>177</v>
      </c>
      <c r="N4" s="129" t="s">
        <v>178</v>
      </c>
      <c r="O4" s="129" t="s">
        <v>179</v>
      </c>
      <c r="P4" s="337" t="s">
        <v>3</v>
      </c>
      <c r="Q4" s="338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282</v>
      </c>
    </row>
    <row r="7" spans="1:17" ht="14.4" customHeight="1" x14ac:dyDescent="0.3">
      <c r="A7" s="15" t="s">
        <v>35</v>
      </c>
      <c r="B7" s="51">
        <v>93.808699516833002</v>
      </c>
      <c r="C7" s="52">
        <v>7.8173916264020002</v>
      </c>
      <c r="D7" s="52">
        <v>3.9129100000000001</v>
      </c>
      <c r="E7" s="52">
        <v>8.1569800000000008</v>
      </c>
      <c r="F7" s="52">
        <v>5.9600299999999997</v>
      </c>
      <c r="G7" s="52">
        <v>9.3713099999999994</v>
      </c>
      <c r="H7" s="52">
        <v>8.01187</v>
      </c>
      <c r="I7" s="52">
        <v>7.1669</v>
      </c>
      <c r="J7" s="52">
        <v>2.73197</v>
      </c>
      <c r="K7" s="52">
        <v>3.70953</v>
      </c>
      <c r="L7" s="52">
        <v>3.61808</v>
      </c>
      <c r="M7" s="52">
        <v>2.60053</v>
      </c>
      <c r="N7" s="52">
        <v>2.7697600000000002</v>
      </c>
      <c r="O7" s="52">
        <v>4.4947999999999997</v>
      </c>
      <c r="P7" s="53">
        <v>62.504669999999997</v>
      </c>
      <c r="Q7" s="95">
        <v>0.66629929123700005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282</v>
      </c>
    </row>
    <row r="9" spans="1:17" ht="14.4" customHeight="1" x14ac:dyDescent="0.3">
      <c r="A9" s="15" t="s">
        <v>37</v>
      </c>
      <c r="B9" s="51">
        <v>4403.4489457165801</v>
      </c>
      <c r="C9" s="52">
        <v>366.95407880971499</v>
      </c>
      <c r="D9" s="52">
        <v>165.94484000000099</v>
      </c>
      <c r="E9" s="52">
        <v>143.74386000000001</v>
      </c>
      <c r="F9" s="52">
        <v>222.52466000000001</v>
      </c>
      <c r="G9" s="52">
        <v>92.89434</v>
      </c>
      <c r="H9" s="52">
        <v>90.507599999999996</v>
      </c>
      <c r="I9" s="52">
        <v>441.91359</v>
      </c>
      <c r="J9" s="52">
        <v>202.98928000000001</v>
      </c>
      <c r="K9" s="52">
        <v>476.06770999999998</v>
      </c>
      <c r="L9" s="52">
        <v>190.22166000000001</v>
      </c>
      <c r="M9" s="52">
        <v>353.01859999999999</v>
      </c>
      <c r="N9" s="52">
        <v>1268.3181999999999</v>
      </c>
      <c r="O9" s="52">
        <v>808.26175000000001</v>
      </c>
      <c r="P9" s="53">
        <v>4456.4060900000004</v>
      </c>
      <c r="Q9" s="95">
        <v>1.012026287788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282</v>
      </c>
    </row>
    <row r="11" spans="1:17" ht="14.4" customHeight="1" x14ac:dyDescent="0.3">
      <c r="A11" s="15" t="s">
        <v>39</v>
      </c>
      <c r="B11" s="51">
        <v>129.733234849436</v>
      </c>
      <c r="C11" s="52">
        <v>10.811102904119</v>
      </c>
      <c r="D11" s="52">
        <v>14.826779999999999</v>
      </c>
      <c r="E11" s="52">
        <v>13.942679999999999</v>
      </c>
      <c r="F11" s="52">
        <v>10.87458</v>
      </c>
      <c r="G11" s="52">
        <v>10.86782</v>
      </c>
      <c r="H11" s="52">
        <v>9.8026099999999996</v>
      </c>
      <c r="I11" s="52">
        <v>10.385</v>
      </c>
      <c r="J11" s="52">
        <v>6.1373899999999999</v>
      </c>
      <c r="K11" s="52">
        <v>2.9847199999999998</v>
      </c>
      <c r="L11" s="52">
        <v>8.0205300000000008</v>
      </c>
      <c r="M11" s="52">
        <v>6.2654899999999998</v>
      </c>
      <c r="N11" s="52">
        <v>9.2795000000000005</v>
      </c>
      <c r="O11" s="52">
        <v>15.492000000000001</v>
      </c>
      <c r="P11" s="53">
        <v>118.87909999999999</v>
      </c>
      <c r="Q11" s="95">
        <v>0.91633497104999995</v>
      </c>
    </row>
    <row r="12" spans="1:17" ht="14.4" customHeight="1" x14ac:dyDescent="0.3">
      <c r="A12" s="15" t="s">
        <v>40</v>
      </c>
      <c r="B12" s="51">
        <v>10.535080868799</v>
      </c>
      <c r="C12" s="52">
        <v>0.87792340573299998</v>
      </c>
      <c r="D12" s="52">
        <v>0</v>
      </c>
      <c r="E12" s="52">
        <v>11.185499999999999</v>
      </c>
      <c r="F12" s="52">
        <v>5.9499999999999997E-2</v>
      </c>
      <c r="G12" s="52">
        <v>0</v>
      </c>
      <c r="H12" s="52">
        <v>0</v>
      </c>
      <c r="I12" s="52">
        <v>0</v>
      </c>
      <c r="J12" s="52">
        <v>-3.3</v>
      </c>
      <c r="K12" s="52">
        <v>7.2330000000000005E-2</v>
      </c>
      <c r="L12" s="52">
        <v>0</v>
      </c>
      <c r="M12" s="52">
        <v>11.58882</v>
      </c>
      <c r="N12" s="52">
        <v>0</v>
      </c>
      <c r="O12" s="52">
        <v>-11.58882</v>
      </c>
      <c r="P12" s="53">
        <v>8.0173299999999994</v>
      </c>
      <c r="Q12" s="95">
        <v>0.76101266804099998</v>
      </c>
    </row>
    <row r="13" spans="1:17" ht="14.4" customHeight="1" x14ac:dyDescent="0.3">
      <c r="A13" s="15" t="s">
        <v>41</v>
      </c>
      <c r="B13" s="51">
        <v>21.868244685320999</v>
      </c>
      <c r="C13" s="52">
        <v>1.8223537237759999</v>
      </c>
      <c r="D13" s="52">
        <v>0.95774999999999999</v>
      </c>
      <c r="E13" s="52">
        <v>1.4386300000000001</v>
      </c>
      <c r="F13" s="52">
        <v>1.0442</v>
      </c>
      <c r="G13" s="52">
        <v>1.16232</v>
      </c>
      <c r="H13" s="52">
        <v>0.85938999999999999</v>
      </c>
      <c r="I13" s="52">
        <v>2.1097600000000001</v>
      </c>
      <c r="J13" s="52">
        <v>1.2077800000000001</v>
      </c>
      <c r="K13" s="52">
        <v>3.4515400000000001</v>
      </c>
      <c r="L13" s="52">
        <v>0.34628999999999999</v>
      </c>
      <c r="M13" s="52">
        <v>0.48571999999999999</v>
      </c>
      <c r="N13" s="52">
        <v>1.4485699999999999</v>
      </c>
      <c r="O13" s="52">
        <v>0.69813999999999998</v>
      </c>
      <c r="P13" s="53">
        <v>15.210089999999999</v>
      </c>
      <c r="Q13" s="95">
        <v>0.69553319065399999</v>
      </c>
    </row>
    <row r="14" spans="1:17" ht="14.4" customHeight="1" x14ac:dyDescent="0.3">
      <c r="A14" s="15" t="s">
        <v>42</v>
      </c>
      <c r="B14" s="51">
        <v>255.98500559919199</v>
      </c>
      <c r="C14" s="52">
        <v>21.332083799932001</v>
      </c>
      <c r="D14" s="52">
        <v>27.599</v>
      </c>
      <c r="E14" s="52">
        <v>22.687999999999999</v>
      </c>
      <c r="F14" s="52">
        <v>20.405000000000001</v>
      </c>
      <c r="G14" s="52">
        <v>19.251000000000001</v>
      </c>
      <c r="H14" s="52">
        <v>16.335999999999999</v>
      </c>
      <c r="I14" s="52">
        <v>15.241</v>
      </c>
      <c r="J14" s="52">
        <v>14.866</v>
      </c>
      <c r="K14" s="52">
        <v>13.5</v>
      </c>
      <c r="L14" s="52">
        <v>11.222</v>
      </c>
      <c r="M14" s="52">
        <v>14.936</v>
      </c>
      <c r="N14" s="52">
        <v>17.477</v>
      </c>
      <c r="O14" s="52">
        <v>20.219000000000001</v>
      </c>
      <c r="P14" s="53">
        <v>213.74</v>
      </c>
      <c r="Q14" s="95">
        <v>0.83497078080599996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282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282</v>
      </c>
    </row>
    <row r="17" spans="1:17" ht="14.4" customHeight="1" x14ac:dyDescent="0.3">
      <c r="A17" s="15" t="s">
        <v>45</v>
      </c>
      <c r="B17" s="51">
        <v>679.88707680600999</v>
      </c>
      <c r="C17" s="52">
        <v>56.657256400500003</v>
      </c>
      <c r="D17" s="52">
        <v>0.30734</v>
      </c>
      <c r="E17" s="52">
        <v>5.4595200000000004</v>
      </c>
      <c r="F17" s="52">
        <v>328.25218000000001</v>
      </c>
      <c r="G17" s="52">
        <v>19.89</v>
      </c>
      <c r="H17" s="52">
        <v>7.8643599999999996</v>
      </c>
      <c r="I17" s="52">
        <v>391.80865</v>
      </c>
      <c r="J17" s="52">
        <v>86.751760000000004</v>
      </c>
      <c r="K17" s="52">
        <v>0</v>
      </c>
      <c r="L17" s="52">
        <v>7.6071600000000004</v>
      </c>
      <c r="M17" s="52">
        <v>9.8097899999999996</v>
      </c>
      <c r="N17" s="52">
        <v>48.94303</v>
      </c>
      <c r="O17" s="52">
        <v>14.449630000000001</v>
      </c>
      <c r="P17" s="53">
        <v>921.14341999999999</v>
      </c>
      <c r="Q17" s="95">
        <v>1.354847667244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1.6459999999999999</v>
      </c>
      <c r="E18" s="52">
        <v>7.319</v>
      </c>
      <c r="F18" s="52">
        <v>0.13400000000000001</v>
      </c>
      <c r="G18" s="52">
        <v>0.19500000000000001</v>
      </c>
      <c r="H18" s="52">
        <v>7.7709999999999999</v>
      </c>
      <c r="I18" s="52">
        <v>81.781999999999996</v>
      </c>
      <c r="J18" s="52">
        <v>0</v>
      </c>
      <c r="K18" s="52">
        <v>32.444000000000003</v>
      </c>
      <c r="L18" s="52">
        <v>8.1470000000000002</v>
      </c>
      <c r="M18" s="52">
        <v>31.931000000000001</v>
      </c>
      <c r="N18" s="52">
        <v>11.384</v>
      </c>
      <c r="O18" s="52">
        <v>18.576000000000001</v>
      </c>
      <c r="P18" s="53">
        <v>201.32900000000001</v>
      </c>
      <c r="Q18" s="95" t="s">
        <v>282</v>
      </c>
    </row>
    <row r="19" spans="1:17" ht="14.4" customHeight="1" x14ac:dyDescent="0.3">
      <c r="A19" s="15" t="s">
        <v>47</v>
      </c>
      <c r="B19" s="51">
        <v>1402.6011094074199</v>
      </c>
      <c r="C19" s="52">
        <v>116.883425783951</v>
      </c>
      <c r="D19" s="52">
        <v>49.435549999999999</v>
      </c>
      <c r="E19" s="52">
        <v>30.741199999999999</v>
      </c>
      <c r="F19" s="52">
        <v>64.834370000000007</v>
      </c>
      <c r="G19" s="52">
        <v>18.455369999999998</v>
      </c>
      <c r="H19" s="52">
        <v>132.36797999999999</v>
      </c>
      <c r="I19" s="52">
        <v>82.87218</v>
      </c>
      <c r="J19" s="52">
        <v>93.337890000000002</v>
      </c>
      <c r="K19" s="52">
        <v>56.684699999999999</v>
      </c>
      <c r="L19" s="52">
        <v>200.17431999999999</v>
      </c>
      <c r="M19" s="52">
        <v>79.497559999999993</v>
      </c>
      <c r="N19" s="52">
        <v>64.753649999999993</v>
      </c>
      <c r="O19" s="52">
        <v>184.80710999999999</v>
      </c>
      <c r="P19" s="53">
        <v>1057.9618800000001</v>
      </c>
      <c r="Q19" s="95">
        <v>0.754285643226</v>
      </c>
    </row>
    <row r="20" spans="1:17" ht="14.4" customHeight="1" x14ac:dyDescent="0.3">
      <c r="A20" s="15" t="s">
        <v>48</v>
      </c>
      <c r="B20" s="51">
        <v>15104.0746745999</v>
      </c>
      <c r="C20" s="52">
        <v>1258.67288955</v>
      </c>
      <c r="D20" s="52">
        <v>1178.65635000001</v>
      </c>
      <c r="E20" s="52">
        <v>1148.94849</v>
      </c>
      <c r="F20" s="52">
        <v>1158.2221099999999</v>
      </c>
      <c r="G20" s="52">
        <v>1150.94488</v>
      </c>
      <c r="H20" s="52">
        <v>1160.14229</v>
      </c>
      <c r="I20" s="52">
        <v>1181.43588</v>
      </c>
      <c r="J20" s="52">
        <v>1670.8704</v>
      </c>
      <c r="K20" s="52">
        <v>1029.3871200000001</v>
      </c>
      <c r="L20" s="52">
        <v>1047.9697000000001</v>
      </c>
      <c r="M20" s="52">
        <v>1063.3070600000001</v>
      </c>
      <c r="N20" s="52">
        <v>1721.2387200000001</v>
      </c>
      <c r="O20" s="52">
        <v>1225.3664000000001</v>
      </c>
      <c r="P20" s="53">
        <v>14736.4894</v>
      </c>
      <c r="Q20" s="95">
        <v>0.97566317152600002</v>
      </c>
    </row>
    <row r="21" spans="1:17" ht="14.4" customHeight="1" x14ac:dyDescent="0.3">
      <c r="A21" s="16" t="s">
        <v>49</v>
      </c>
      <c r="B21" s="51">
        <v>2821.9811064957298</v>
      </c>
      <c r="C21" s="52">
        <v>235.16509220797801</v>
      </c>
      <c r="D21" s="52">
        <v>235.274000000001</v>
      </c>
      <c r="E21" s="52">
        <v>235.274</v>
      </c>
      <c r="F21" s="52">
        <v>235.27099999999999</v>
      </c>
      <c r="G21" s="52">
        <v>235.27099999999999</v>
      </c>
      <c r="H21" s="52">
        <v>235.27099999999999</v>
      </c>
      <c r="I21" s="52">
        <v>235.27099999999999</v>
      </c>
      <c r="J21" s="52">
        <v>173.18199999999999</v>
      </c>
      <c r="K21" s="52">
        <v>171.208</v>
      </c>
      <c r="L21" s="52">
        <v>171.208</v>
      </c>
      <c r="M21" s="52">
        <v>171.208</v>
      </c>
      <c r="N21" s="52">
        <v>171.208</v>
      </c>
      <c r="O21" s="52">
        <v>171.208</v>
      </c>
      <c r="P21" s="53">
        <v>2440.8539999999998</v>
      </c>
      <c r="Q21" s="95">
        <v>0.86494342374599997</v>
      </c>
    </row>
    <row r="22" spans="1:17" ht="14.4" customHeight="1" x14ac:dyDescent="0.3">
      <c r="A22" s="15" t="s">
        <v>50</v>
      </c>
      <c r="B22" s="51">
        <v>50</v>
      </c>
      <c r="C22" s="52">
        <v>4.1666666666659999</v>
      </c>
      <c r="D22" s="52">
        <v>0</v>
      </c>
      <c r="E22" s="52">
        <v>5.89</v>
      </c>
      <c r="F22" s="52">
        <v>13.119</v>
      </c>
      <c r="G22" s="52">
        <v>0</v>
      </c>
      <c r="H22" s="52">
        <v>0</v>
      </c>
      <c r="I22" s="52">
        <v>0</v>
      </c>
      <c r="J22" s="52">
        <v>14.03593</v>
      </c>
      <c r="K22" s="52">
        <v>23.058</v>
      </c>
      <c r="L22" s="52">
        <v>0</v>
      </c>
      <c r="M22" s="52">
        <v>0</v>
      </c>
      <c r="N22" s="52">
        <v>0</v>
      </c>
      <c r="O22" s="52">
        <v>0</v>
      </c>
      <c r="P22" s="53">
        <v>56.102930000000001</v>
      </c>
      <c r="Q22" s="95">
        <v>1.1220585999999999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282</v>
      </c>
    </row>
    <row r="24" spans="1:17" ht="14.4" customHeight="1" x14ac:dyDescent="0.3">
      <c r="A24" s="16" t="s">
        <v>52</v>
      </c>
      <c r="B24" s="51">
        <v>-3.6379788070917101E-12</v>
      </c>
      <c r="C24" s="52">
        <v>-4.5474735088646402E-13</v>
      </c>
      <c r="D24" s="52">
        <v>7.11761</v>
      </c>
      <c r="E24" s="52">
        <v>16.431039999999999</v>
      </c>
      <c r="F24" s="52">
        <v>26.946300000000001</v>
      </c>
      <c r="G24" s="52">
        <v>2.9991500000000002</v>
      </c>
      <c r="H24" s="52">
        <v>6.6178199999989999</v>
      </c>
      <c r="I24" s="52">
        <v>16.035119999999001</v>
      </c>
      <c r="J24" s="52">
        <v>0.382689999999</v>
      </c>
      <c r="K24" s="52">
        <v>22.764959999999999</v>
      </c>
      <c r="L24" s="52">
        <v>13.485599999999</v>
      </c>
      <c r="M24" s="52">
        <v>32.071119999998999</v>
      </c>
      <c r="N24" s="52">
        <v>15.229100000000001</v>
      </c>
      <c r="O24" s="52">
        <v>35.819899999999997</v>
      </c>
      <c r="P24" s="53">
        <v>195.90040999999999</v>
      </c>
      <c r="Q24" s="95"/>
    </row>
    <row r="25" spans="1:17" ht="14.4" customHeight="1" x14ac:dyDescent="0.3">
      <c r="A25" s="17" t="s">
        <v>53</v>
      </c>
      <c r="B25" s="54">
        <v>24973.923178545301</v>
      </c>
      <c r="C25" s="55">
        <v>2081.1602648787698</v>
      </c>
      <c r="D25" s="55">
        <v>1685.67813000001</v>
      </c>
      <c r="E25" s="55">
        <v>1651.2189000000001</v>
      </c>
      <c r="F25" s="55">
        <v>2087.6469299999999</v>
      </c>
      <c r="G25" s="55">
        <v>1561.3021900000001</v>
      </c>
      <c r="H25" s="55">
        <v>1675.5519200000001</v>
      </c>
      <c r="I25" s="55">
        <v>2466.02108</v>
      </c>
      <c r="J25" s="55">
        <v>2263.1930900000002</v>
      </c>
      <c r="K25" s="55">
        <v>1835.3326099999999</v>
      </c>
      <c r="L25" s="55">
        <v>1662.02034</v>
      </c>
      <c r="M25" s="55">
        <v>1776.7196899999999</v>
      </c>
      <c r="N25" s="55">
        <v>3332.0495299999998</v>
      </c>
      <c r="O25" s="55">
        <v>2487.8039100000001</v>
      </c>
      <c r="P25" s="56">
        <v>24484.53832</v>
      </c>
      <c r="Q25" s="96">
        <v>0.980404165775</v>
      </c>
    </row>
    <row r="26" spans="1:17" ht="14.4" customHeight="1" x14ac:dyDescent="0.3">
      <c r="A26" s="15" t="s">
        <v>54</v>
      </c>
      <c r="B26" s="51">
        <v>2267.0007088176899</v>
      </c>
      <c r="C26" s="52">
        <v>188.91672573480801</v>
      </c>
      <c r="D26" s="52">
        <v>176.15778</v>
      </c>
      <c r="E26" s="52">
        <v>162.64164</v>
      </c>
      <c r="F26" s="52">
        <v>173.26581999999999</v>
      </c>
      <c r="G26" s="52">
        <v>163.28993</v>
      </c>
      <c r="H26" s="52">
        <v>170.88991999999999</v>
      </c>
      <c r="I26" s="52">
        <v>150.76580000000001</v>
      </c>
      <c r="J26" s="52">
        <v>273.33467000000002</v>
      </c>
      <c r="K26" s="52">
        <v>136.70443</v>
      </c>
      <c r="L26" s="52">
        <v>148.1095</v>
      </c>
      <c r="M26" s="52">
        <v>175.92889</v>
      </c>
      <c r="N26" s="52">
        <v>209.63291000000001</v>
      </c>
      <c r="O26" s="52">
        <v>247.22192000000001</v>
      </c>
      <c r="P26" s="53">
        <v>2187.9432099999999</v>
      </c>
      <c r="Q26" s="95">
        <v>0.96512683100999996</v>
      </c>
    </row>
    <row r="27" spans="1:17" ht="14.4" customHeight="1" x14ac:dyDescent="0.3">
      <c r="A27" s="18" t="s">
        <v>55</v>
      </c>
      <c r="B27" s="54">
        <v>27240.923887362998</v>
      </c>
      <c r="C27" s="55">
        <v>2270.0769906135802</v>
      </c>
      <c r="D27" s="55">
        <v>1861.83591000001</v>
      </c>
      <c r="E27" s="55">
        <v>1813.8605399999999</v>
      </c>
      <c r="F27" s="55">
        <v>2260.91275</v>
      </c>
      <c r="G27" s="55">
        <v>1724.59212</v>
      </c>
      <c r="H27" s="55">
        <v>1846.44184</v>
      </c>
      <c r="I27" s="55">
        <v>2616.7868800000001</v>
      </c>
      <c r="J27" s="55">
        <v>2536.5277599999999</v>
      </c>
      <c r="K27" s="55">
        <v>1972.0370399999999</v>
      </c>
      <c r="L27" s="55">
        <v>1810.1298400000001</v>
      </c>
      <c r="M27" s="55">
        <v>1952.64858</v>
      </c>
      <c r="N27" s="55">
        <v>3541.68244</v>
      </c>
      <c r="O27" s="55">
        <v>2735.02583</v>
      </c>
      <c r="P27" s="56">
        <v>26672.481530000001</v>
      </c>
      <c r="Q27" s="96">
        <v>0.97913277979400004</v>
      </c>
    </row>
    <row r="28" spans="1:17" ht="14.4" customHeight="1" x14ac:dyDescent="0.3">
      <c r="A28" s="16" t="s">
        <v>56</v>
      </c>
      <c r="B28" s="51">
        <v>523.84315454924194</v>
      </c>
      <c r="C28" s="52">
        <v>43.653596212436</v>
      </c>
      <c r="D28" s="52">
        <v>50.317900000000002</v>
      </c>
      <c r="E28" s="52">
        <v>50.73592</v>
      </c>
      <c r="F28" s="52">
        <v>74.876450000000006</v>
      </c>
      <c r="G28" s="52">
        <v>37.687730000000002</v>
      </c>
      <c r="H28" s="52">
        <v>84.457599999999999</v>
      </c>
      <c r="I28" s="52">
        <v>48.728870000000001</v>
      </c>
      <c r="J28" s="52">
        <v>20.721409999999999</v>
      </c>
      <c r="K28" s="52">
        <v>2.4923000000000002</v>
      </c>
      <c r="L28" s="52">
        <v>3.5999999999999997E-2</v>
      </c>
      <c r="M28" s="52">
        <v>0</v>
      </c>
      <c r="N28" s="52">
        <v>0</v>
      </c>
      <c r="O28" s="52">
        <v>0</v>
      </c>
      <c r="P28" s="53">
        <v>370.05417999999997</v>
      </c>
      <c r="Q28" s="95">
        <v>0.70642171571000001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282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5.89</v>
      </c>
      <c r="F31" s="58">
        <v>13.119</v>
      </c>
      <c r="G31" s="58">
        <v>0</v>
      </c>
      <c r="H31" s="58">
        <v>0</v>
      </c>
      <c r="I31" s="58">
        <v>0</v>
      </c>
      <c r="J31" s="58">
        <v>0</v>
      </c>
      <c r="K31" s="58">
        <v>-13.119</v>
      </c>
      <c r="L31" s="58">
        <v>0</v>
      </c>
      <c r="M31" s="58">
        <v>0</v>
      </c>
      <c r="N31" s="58">
        <v>0</v>
      </c>
      <c r="O31" s="58">
        <v>11.58882</v>
      </c>
      <c r="P31" s="59">
        <v>17.478819999999999</v>
      </c>
      <c r="Q31" s="97" t="s">
        <v>282</v>
      </c>
    </row>
    <row r="32" spans="1:17" ht="14.4" customHeight="1" x14ac:dyDescent="0.3"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</row>
    <row r="33" spans="1:17" ht="14.4" customHeight="1" x14ac:dyDescent="0.3">
      <c r="A33" s="113" t="s">
        <v>162</v>
      </c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</row>
    <row r="34" spans="1:17" ht="14.4" customHeight="1" x14ac:dyDescent="0.3">
      <c r="A34" s="136" t="s">
        <v>188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</row>
    <row r="35" spans="1:17" ht="14.4" customHeight="1" x14ac:dyDescent="0.3">
      <c r="A35" s="137" t="s">
        <v>60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00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0" customWidth="1"/>
    <col min="2" max="11" width="10" style="130" customWidth="1"/>
    <col min="12" max="16384" width="8.88671875" style="130"/>
  </cols>
  <sheetData>
    <row r="1" spans="1:11" s="60" customFormat="1" ht="18.600000000000001" customHeight="1" thickBot="1" x14ac:dyDescent="0.4">
      <c r="A1" s="334" t="s">
        <v>61</v>
      </c>
      <c r="B1" s="334"/>
      <c r="C1" s="334"/>
      <c r="D1" s="334"/>
      <c r="E1" s="334"/>
      <c r="F1" s="334"/>
      <c r="G1" s="334"/>
      <c r="H1" s="339"/>
      <c r="I1" s="339"/>
      <c r="J1" s="339"/>
      <c r="K1" s="339"/>
    </row>
    <row r="2" spans="1:11" s="60" customFormat="1" ht="14.4" customHeight="1" thickBot="1" x14ac:dyDescent="0.35">
      <c r="A2" s="235" t="s">
        <v>281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35" t="s">
        <v>62</v>
      </c>
      <c r="C3" s="336"/>
      <c r="D3" s="336"/>
      <c r="E3" s="336"/>
      <c r="F3" s="342" t="s">
        <v>63</v>
      </c>
      <c r="G3" s="336"/>
      <c r="H3" s="336"/>
      <c r="I3" s="336"/>
      <c r="J3" s="336"/>
      <c r="K3" s="343"/>
    </row>
    <row r="4" spans="1:11" ht="14.4" customHeight="1" x14ac:dyDescent="0.3">
      <c r="A4" s="77"/>
      <c r="B4" s="340"/>
      <c r="C4" s="341"/>
      <c r="D4" s="341"/>
      <c r="E4" s="341"/>
      <c r="F4" s="344" t="s">
        <v>184</v>
      </c>
      <c r="G4" s="346" t="s">
        <v>64</v>
      </c>
      <c r="H4" s="141" t="s">
        <v>143</v>
      </c>
      <c r="I4" s="344" t="s">
        <v>65</v>
      </c>
      <c r="J4" s="346" t="s">
        <v>186</v>
      </c>
      <c r="K4" s="347" t="s">
        <v>187</v>
      </c>
    </row>
    <row r="5" spans="1:11" ht="42" thickBot="1" x14ac:dyDescent="0.35">
      <c r="A5" s="78"/>
      <c r="B5" s="24" t="s">
        <v>180</v>
      </c>
      <c r="C5" s="25" t="s">
        <v>181</v>
      </c>
      <c r="D5" s="26" t="s">
        <v>182</v>
      </c>
      <c r="E5" s="26" t="s">
        <v>183</v>
      </c>
      <c r="F5" s="345"/>
      <c r="G5" s="345"/>
      <c r="H5" s="25" t="s">
        <v>185</v>
      </c>
      <c r="I5" s="345"/>
      <c r="J5" s="345"/>
      <c r="K5" s="348"/>
    </row>
    <row r="6" spans="1:11" ht="14.4" customHeight="1" thickBot="1" x14ac:dyDescent="0.35">
      <c r="A6" s="435" t="s">
        <v>284</v>
      </c>
      <c r="B6" s="417">
        <v>20218.195616092202</v>
      </c>
      <c r="C6" s="417">
        <v>23207.29825</v>
      </c>
      <c r="D6" s="418">
        <v>2989.1026339078298</v>
      </c>
      <c r="E6" s="419">
        <v>1.147842205638</v>
      </c>
      <c r="F6" s="417">
        <v>24973.923178545301</v>
      </c>
      <c r="G6" s="418">
        <v>24973.923178545301</v>
      </c>
      <c r="H6" s="420">
        <v>2487.8039100000001</v>
      </c>
      <c r="I6" s="417">
        <v>24484.53832</v>
      </c>
      <c r="J6" s="418">
        <v>-489.384858545258</v>
      </c>
      <c r="K6" s="421">
        <v>0.980404165775</v>
      </c>
    </row>
    <row r="7" spans="1:11" ht="14.4" customHeight="1" thickBot="1" x14ac:dyDescent="0.35">
      <c r="A7" s="436" t="s">
        <v>285</v>
      </c>
      <c r="B7" s="417">
        <v>2729.5379946778899</v>
      </c>
      <c r="C7" s="417">
        <v>2908.36589</v>
      </c>
      <c r="D7" s="418">
        <v>178.82789532211299</v>
      </c>
      <c r="E7" s="419">
        <v>1.06551581098</v>
      </c>
      <c r="F7" s="417">
        <v>4915.3792112361598</v>
      </c>
      <c r="G7" s="418">
        <v>4915.3792112361598</v>
      </c>
      <c r="H7" s="420">
        <v>849.16576999999995</v>
      </c>
      <c r="I7" s="417">
        <v>4886.3432700000003</v>
      </c>
      <c r="J7" s="418">
        <v>-29.035941236163001</v>
      </c>
      <c r="K7" s="421">
        <v>0.99409283801100001</v>
      </c>
    </row>
    <row r="8" spans="1:11" ht="14.4" customHeight="1" thickBot="1" x14ac:dyDescent="0.35">
      <c r="A8" s="437" t="s">
        <v>286</v>
      </c>
      <c r="B8" s="417">
        <v>2469.9816061598499</v>
      </c>
      <c r="C8" s="417">
        <v>2654.9018900000001</v>
      </c>
      <c r="D8" s="418">
        <v>184.92028384014901</v>
      </c>
      <c r="E8" s="419">
        <v>1.074867069203</v>
      </c>
      <c r="F8" s="417">
        <v>4659.3942056369697</v>
      </c>
      <c r="G8" s="418">
        <v>4659.3942056369697</v>
      </c>
      <c r="H8" s="420">
        <v>828.94677000000001</v>
      </c>
      <c r="I8" s="417">
        <v>4672.6032699999996</v>
      </c>
      <c r="J8" s="418">
        <v>13.20906436303</v>
      </c>
      <c r="K8" s="421">
        <v>1.002834931705</v>
      </c>
    </row>
    <row r="9" spans="1:11" ht="14.4" customHeight="1" thickBot="1" x14ac:dyDescent="0.35">
      <c r="A9" s="438" t="s">
        <v>287</v>
      </c>
      <c r="B9" s="422">
        <v>0</v>
      </c>
      <c r="C9" s="422">
        <v>2.8600000000000001E-3</v>
      </c>
      <c r="D9" s="423">
        <v>2.8600000000000001E-3</v>
      </c>
      <c r="E9" s="424" t="s">
        <v>288</v>
      </c>
      <c r="F9" s="422">
        <v>0</v>
      </c>
      <c r="G9" s="423">
        <v>0</v>
      </c>
      <c r="H9" s="425">
        <v>8.0000000000000007E-5</v>
      </c>
      <c r="I9" s="422">
        <v>-2.8300000000000001E-3</v>
      </c>
      <c r="J9" s="423">
        <v>-2.8300000000000001E-3</v>
      </c>
      <c r="K9" s="426" t="s">
        <v>282</v>
      </c>
    </row>
    <row r="10" spans="1:11" ht="14.4" customHeight="1" thickBot="1" x14ac:dyDescent="0.35">
      <c r="A10" s="439" t="s">
        <v>289</v>
      </c>
      <c r="B10" s="417">
        <v>0</v>
      </c>
      <c r="C10" s="417">
        <v>2.8600000000000001E-3</v>
      </c>
      <c r="D10" s="418">
        <v>2.8600000000000001E-3</v>
      </c>
      <c r="E10" s="427" t="s">
        <v>288</v>
      </c>
      <c r="F10" s="417">
        <v>0</v>
      </c>
      <c r="G10" s="418">
        <v>0</v>
      </c>
      <c r="H10" s="420">
        <v>8.0000000000000007E-5</v>
      </c>
      <c r="I10" s="417">
        <v>-2.8300000000000001E-3</v>
      </c>
      <c r="J10" s="418">
        <v>-2.8300000000000001E-3</v>
      </c>
      <c r="K10" s="428" t="s">
        <v>282</v>
      </c>
    </row>
    <row r="11" spans="1:11" ht="14.4" customHeight="1" thickBot="1" x14ac:dyDescent="0.35">
      <c r="A11" s="438" t="s">
        <v>290</v>
      </c>
      <c r="B11" s="422">
        <v>88.444601140076998</v>
      </c>
      <c r="C11" s="422">
        <v>94.999160000000003</v>
      </c>
      <c r="D11" s="423">
        <v>6.5545588599220004</v>
      </c>
      <c r="E11" s="429">
        <v>1.0741092025450001</v>
      </c>
      <c r="F11" s="422">
        <v>93.808699516833002</v>
      </c>
      <c r="G11" s="423">
        <v>93.808699516833002</v>
      </c>
      <c r="H11" s="425">
        <v>4.4947999999999997</v>
      </c>
      <c r="I11" s="422">
        <v>62.504669999999997</v>
      </c>
      <c r="J11" s="423">
        <v>-31.304029516833001</v>
      </c>
      <c r="K11" s="430">
        <v>0.66629929123700005</v>
      </c>
    </row>
    <row r="12" spans="1:11" ht="14.4" customHeight="1" thickBot="1" x14ac:dyDescent="0.35">
      <c r="A12" s="439" t="s">
        <v>291</v>
      </c>
      <c r="B12" s="417">
        <v>85.999838105546999</v>
      </c>
      <c r="C12" s="417">
        <v>88.754490000000004</v>
      </c>
      <c r="D12" s="418">
        <v>2.754651894452</v>
      </c>
      <c r="E12" s="419">
        <v>1.0320308962789999</v>
      </c>
      <c r="F12" s="417">
        <v>87.821719923201996</v>
      </c>
      <c r="G12" s="418">
        <v>87.821719923201996</v>
      </c>
      <c r="H12" s="420">
        <v>3.5510000000000002</v>
      </c>
      <c r="I12" s="417">
        <v>59.789430000000003</v>
      </c>
      <c r="J12" s="418">
        <v>-28.032289923202001</v>
      </c>
      <c r="K12" s="421">
        <v>0.68080458971000002</v>
      </c>
    </row>
    <row r="13" spans="1:11" ht="14.4" customHeight="1" thickBot="1" x14ac:dyDescent="0.35">
      <c r="A13" s="439" t="s">
        <v>292</v>
      </c>
      <c r="B13" s="417">
        <v>0.39764808784900002</v>
      </c>
      <c r="C13" s="417">
        <v>0.22677</v>
      </c>
      <c r="D13" s="418">
        <v>-0.17087808784899999</v>
      </c>
      <c r="E13" s="419">
        <v>0.57027811003999995</v>
      </c>
      <c r="F13" s="417">
        <v>0.22952717267</v>
      </c>
      <c r="G13" s="418">
        <v>0.22952717267</v>
      </c>
      <c r="H13" s="420">
        <v>0</v>
      </c>
      <c r="I13" s="417">
        <v>0</v>
      </c>
      <c r="J13" s="418">
        <v>-0.22952717267</v>
      </c>
      <c r="K13" s="421">
        <v>0</v>
      </c>
    </row>
    <row r="14" spans="1:11" ht="14.4" customHeight="1" thickBot="1" x14ac:dyDescent="0.35">
      <c r="A14" s="439" t="s">
        <v>293</v>
      </c>
      <c r="B14" s="417">
        <v>2.0471149466790002</v>
      </c>
      <c r="C14" s="417">
        <v>6.0179</v>
      </c>
      <c r="D14" s="418">
        <v>3.9707850533200002</v>
      </c>
      <c r="E14" s="419">
        <v>2.9396981394520001</v>
      </c>
      <c r="F14" s="417">
        <v>5.7574524209589999</v>
      </c>
      <c r="G14" s="418">
        <v>5.7574524209589999</v>
      </c>
      <c r="H14" s="420">
        <v>0.94379999999999997</v>
      </c>
      <c r="I14" s="417">
        <v>2.7152400000000001</v>
      </c>
      <c r="J14" s="418">
        <v>-3.0422124209589998</v>
      </c>
      <c r="K14" s="421">
        <v>0.47160441832099997</v>
      </c>
    </row>
    <row r="15" spans="1:11" ht="14.4" customHeight="1" thickBot="1" x14ac:dyDescent="0.35">
      <c r="A15" s="438" t="s">
        <v>294</v>
      </c>
      <c r="B15" s="422">
        <v>2223.07814333942</v>
      </c>
      <c r="C15" s="422">
        <v>2401.4325800000001</v>
      </c>
      <c r="D15" s="423">
        <v>178.354436660587</v>
      </c>
      <c r="E15" s="429">
        <v>1.0802285952899999</v>
      </c>
      <c r="F15" s="422">
        <v>4403.4489457165801</v>
      </c>
      <c r="G15" s="423">
        <v>4403.4489457165801</v>
      </c>
      <c r="H15" s="425">
        <v>808.26175000000001</v>
      </c>
      <c r="I15" s="422">
        <v>4456.4060900000004</v>
      </c>
      <c r="J15" s="423">
        <v>52.957144283418003</v>
      </c>
      <c r="K15" s="430">
        <v>1.012026287788</v>
      </c>
    </row>
    <row r="16" spans="1:11" ht="14.4" customHeight="1" thickBot="1" x14ac:dyDescent="0.35">
      <c r="A16" s="439" t="s">
        <v>295</v>
      </c>
      <c r="B16" s="417">
        <v>1881.58167284659</v>
      </c>
      <c r="C16" s="417">
        <v>2117.59485</v>
      </c>
      <c r="D16" s="418">
        <v>236.01317715341</v>
      </c>
      <c r="E16" s="419">
        <v>1.1254333949769999</v>
      </c>
      <c r="F16" s="417">
        <v>3917.8563265389198</v>
      </c>
      <c r="G16" s="418">
        <v>3917.8563265389198</v>
      </c>
      <c r="H16" s="420">
        <v>789.33280000000002</v>
      </c>
      <c r="I16" s="417">
        <v>4101.7459200000003</v>
      </c>
      <c r="J16" s="418">
        <v>183.88959346108601</v>
      </c>
      <c r="K16" s="421">
        <v>1.0469362779369999</v>
      </c>
    </row>
    <row r="17" spans="1:11" ht="14.4" customHeight="1" thickBot="1" x14ac:dyDescent="0.35">
      <c r="A17" s="439" t="s">
        <v>296</v>
      </c>
      <c r="B17" s="417">
        <v>101.80173990303101</v>
      </c>
      <c r="C17" s="417">
        <v>94.560779999999994</v>
      </c>
      <c r="D17" s="418">
        <v>-7.2409599030310003</v>
      </c>
      <c r="E17" s="419">
        <v>0.92887194354500002</v>
      </c>
      <c r="F17" s="417">
        <v>122.889438850548</v>
      </c>
      <c r="G17" s="418">
        <v>122.889438850548</v>
      </c>
      <c r="H17" s="420">
        <v>9.5158400000000007</v>
      </c>
      <c r="I17" s="417">
        <v>168.77743000000001</v>
      </c>
      <c r="J17" s="418">
        <v>45.887991149450997</v>
      </c>
      <c r="K17" s="421">
        <v>1.3734087451179999</v>
      </c>
    </row>
    <row r="18" spans="1:11" ht="14.4" customHeight="1" thickBot="1" x14ac:dyDescent="0.35">
      <c r="A18" s="439" t="s">
        <v>297</v>
      </c>
      <c r="B18" s="417">
        <v>47.244154737792002</v>
      </c>
      <c r="C18" s="417">
        <v>23.70346</v>
      </c>
      <c r="D18" s="418">
        <v>-23.540694737791998</v>
      </c>
      <c r="E18" s="419">
        <v>0.50172259682800002</v>
      </c>
      <c r="F18" s="417">
        <v>29.757362349459999</v>
      </c>
      <c r="G18" s="418">
        <v>29.757362349459999</v>
      </c>
      <c r="H18" s="420">
        <v>1.2803199999999999</v>
      </c>
      <c r="I18" s="417">
        <v>11.84942</v>
      </c>
      <c r="J18" s="418">
        <v>-17.907942349460001</v>
      </c>
      <c r="K18" s="421">
        <v>0.39820128749400002</v>
      </c>
    </row>
    <row r="19" spans="1:11" ht="14.4" customHeight="1" thickBot="1" x14ac:dyDescent="0.35">
      <c r="A19" s="439" t="s">
        <v>298</v>
      </c>
      <c r="B19" s="417">
        <v>159.42202992537099</v>
      </c>
      <c r="C19" s="417">
        <v>135.62766999999999</v>
      </c>
      <c r="D19" s="418">
        <v>-23.794359925369999</v>
      </c>
      <c r="E19" s="419">
        <v>0.85074609866299999</v>
      </c>
      <c r="F19" s="417">
        <v>285.41284547706698</v>
      </c>
      <c r="G19" s="418">
        <v>285.41284547706698</v>
      </c>
      <c r="H19" s="420">
        <v>5.5539899999999998</v>
      </c>
      <c r="I19" s="417">
        <v>153.68686</v>
      </c>
      <c r="J19" s="418">
        <v>-131.72598547706701</v>
      </c>
      <c r="K19" s="421">
        <v>0.53847212007199996</v>
      </c>
    </row>
    <row r="20" spans="1:11" ht="14.4" customHeight="1" thickBot="1" x14ac:dyDescent="0.35">
      <c r="A20" s="439" t="s">
        <v>299</v>
      </c>
      <c r="B20" s="417">
        <v>0</v>
      </c>
      <c r="C20" s="417">
        <v>0</v>
      </c>
      <c r="D20" s="418">
        <v>0</v>
      </c>
      <c r="E20" s="427" t="s">
        <v>282</v>
      </c>
      <c r="F20" s="417">
        <v>0</v>
      </c>
      <c r="G20" s="418">
        <v>0</v>
      </c>
      <c r="H20" s="420">
        <v>0</v>
      </c>
      <c r="I20" s="417">
        <v>8.1699999999999995E-2</v>
      </c>
      <c r="J20" s="418">
        <v>8.1699999999999995E-2</v>
      </c>
      <c r="K20" s="428" t="s">
        <v>288</v>
      </c>
    </row>
    <row r="21" spans="1:11" ht="14.4" customHeight="1" thickBot="1" x14ac:dyDescent="0.35">
      <c r="A21" s="439" t="s">
        <v>300</v>
      </c>
      <c r="B21" s="417">
        <v>21.802429111466999</v>
      </c>
      <c r="C21" s="417">
        <v>14.00778</v>
      </c>
      <c r="D21" s="418">
        <v>-7.7946491114669998</v>
      </c>
      <c r="E21" s="419">
        <v>0.64248712509799999</v>
      </c>
      <c r="F21" s="417">
        <v>16.369401562176002</v>
      </c>
      <c r="G21" s="418">
        <v>16.369401562176002</v>
      </c>
      <c r="H21" s="420">
        <v>0.82599999999999996</v>
      </c>
      <c r="I21" s="417">
        <v>7.3203199999999997</v>
      </c>
      <c r="J21" s="418">
        <v>-9.0490815621759992</v>
      </c>
      <c r="K21" s="421">
        <v>0.44719533406200002</v>
      </c>
    </row>
    <row r="22" spans="1:11" ht="14.4" customHeight="1" thickBot="1" x14ac:dyDescent="0.35">
      <c r="A22" s="439" t="s">
        <v>301</v>
      </c>
      <c r="B22" s="417">
        <v>11.226116815159999</v>
      </c>
      <c r="C22" s="417">
        <v>15.938040000000001</v>
      </c>
      <c r="D22" s="418">
        <v>4.7119231848389997</v>
      </c>
      <c r="E22" s="419">
        <v>1.4197286793299999</v>
      </c>
      <c r="F22" s="417">
        <v>31.163570938414001</v>
      </c>
      <c r="G22" s="418">
        <v>31.163570938414001</v>
      </c>
      <c r="H22" s="420">
        <v>1.7527999999999999</v>
      </c>
      <c r="I22" s="417">
        <v>12.94444</v>
      </c>
      <c r="J22" s="418">
        <v>-18.219130938414001</v>
      </c>
      <c r="K22" s="421">
        <v>0.41537088370199998</v>
      </c>
    </row>
    <row r="23" spans="1:11" ht="14.4" customHeight="1" thickBot="1" x14ac:dyDescent="0.35">
      <c r="A23" s="438" t="s">
        <v>302</v>
      </c>
      <c r="B23" s="422">
        <v>121.43684975246001</v>
      </c>
      <c r="C23" s="422">
        <v>124.56731000000001</v>
      </c>
      <c r="D23" s="423">
        <v>3.1304602475399999</v>
      </c>
      <c r="E23" s="429">
        <v>1.0257785034269999</v>
      </c>
      <c r="F23" s="422">
        <v>129.733234849436</v>
      </c>
      <c r="G23" s="423">
        <v>129.733234849436</v>
      </c>
      <c r="H23" s="425">
        <v>15.492000000000001</v>
      </c>
      <c r="I23" s="422">
        <v>118.87909999999999</v>
      </c>
      <c r="J23" s="423">
        <v>-10.854134849435001</v>
      </c>
      <c r="K23" s="430">
        <v>0.91633497104999995</v>
      </c>
    </row>
    <row r="24" spans="1:11" ht="14.4" customHeight="1" thickBot="1" x14ac:dyDescent="0.35">
      <c r="A24" s="439" t="s">
        <v>303</v>
      </c>
      <c r="B24" s="417">
        <v>42.001901266691</v>
      </c>
      <c r="C24" s="417">
        <v>2.0089999999999999</v>
      </c>
      <c r="D24" s="418">
        <v>-39.992901266691</v>
      </c>
      <c r="E24" s="419">
        <v>4.7831168099000003E-2</v>
      </c>
      <c r="F24" s="417">
        <v>2.318597316405</v>
      </c>
      <c r="G24" s="418">
        <v>2.318597316405</v>
      </c>
      <c r="H24" s="420">
        <v>1.2509999999999999</v>
      </c>
      <c r="I24" s="417">
        <v>2.7110699999999999</v>
      </c>
      <c r="J24" s="418">
        <v>0.392472683594</v>
      </c>
      <c r="K24" s="421">
        <v>1.1692716026259999</v>
      </c>
    </row>
    <row r="25" spans="1:11" ht="14.4" customHeight="1" thickBot="1" x14ac:dyDescent="0.35">
      <c r="A25" s="439" t="s">
        <v>304</v>
      </c>
      <c r="B25" s="417">
        <v>2.2382350860289999</v>
      </c>
      <c r="C25" s="417">
        <v>3.22601</v>
      </c>
      <c r="D25" s="418">
        <v>0.98777491396999995</v>
      </c>
      <c r="E25" s="419">
        <v>1.4413186622509999</v>
      </c>
      <c r="F25" s="417">
        <v>3.247166154326</v>
      </c>
      <c r="G25" s="418">
        <v>3.247166154326</v>
      </c>
      <c r="H25" s="420">
        <v>0.12827</v>
      </c>
      <c r="I25" s="417">
        <v>3.0940400000000001</v>
      </c>
      <c r="J25" s="418">
        <v>-0.15312615432599999</v>
      </c>
      <c r="K25" s="421">
        <v>0.95284314166499995</v>
      </c>
    </row>
    <row r="26" spans="1:11" ht="14.4" customHeight="1" thickBot="1" x14ac:dyDescent="0.35">
      <c r="A26" s="439" t="s">
        <v>305</v>
      </c>
      <c r="B26" s="417">
        <v>8.0559604235559998</v>
      </c>
      <c r="C26" s="417">
        <v>7.29026</v>
      </c>
      <c r="D26" s="418">
        <v>-0.76570042355599999</v>
      </c>
      <c r="E26" s="419">
        <v>0.90495231067399995</v>
      </c>
      <c r="F26" s="417">
        <v>7.4991124676799998</v>
      </c>
      <c r="G26" s="418">
        <v>7.4991124676799998</v>
      </c>
      <c r="H26" s="420">
        <v>0</v>
      </c>
      <c r="I26" s="417">
        <v>8.7327399999999997</v>
      </c>
      <c r="J26" s="418">
        <v>1.233627532319</v>
      </c>
      <c r="K26" s="421">
        <v>1.1645031378890001</v>
      </c>
    </row>
    <row r="27" spans="1:11" ht="14.4" customHeight="1" thickBot="1" x14ac:dyDescent="0.35">
      <c r="A27" s="439" t="s">
        <v>306</v>
      </c>
      <c r="B27" s="417">
        <v>40.663497180324001</v>
      </c>
      <c r="C27" s="417">
        <v>35.465949999999999</v>
      </c>
      <c r="D27" s="418">
        <v>-5.1975471803240003</v>
      </c>
      <c r="E27" s="419">
        <v>0.87218150083599999</v>
      </c>
      <c r="F27" s="417">
        <v>38.923525075736002</v>
      </c>
      <c r="G27" s="418">
        <v>38.923525075736002</v>
      </c>
      <c r="H27" s="420">
        <v>2.4987900000000001</v>
      </c>
      <c r="I27" s="417">
        <v>29.888549999999999</v>
      </c>
      <c r="J27" s="418">
        <v>-9.0349750757359999</v>
      </c>
      <c r="K27" s="421">
        <v>0.767878807015</v>
      </c>
    </row>
    <row r="28" spans="1:11" ht="14.4" customHeight="1" thickBot="1" x14ac:dyDescent="0.35">
      <c r="A28" s="439" t="s">
        <v>307</v>
      </c>
      <c r="B28" s="417">
        <v>5.611225015024</v>
      </c>
      <c r="C28" s="417">
        <v>1.34114</v>
      </c>
      <c r="D28" s="418">
        <v>-4.2700850150239997</v>
      </c>
      <c r="E28" s="419">
        <v>0.23901019766699999</v>
      </c>
      <c r="F28" s="417">
        <v>2.9997569216720001</v>
      </c>
      <c r="G28" s="418">
        <v>2.9997569216720001</v>
      </c>
      <c r="H28" s="420">
        <v>0.52500000000000002</v>
      </c>
      <c r="I28" s="417">
        <v>1.1064000000000001</v>
      </c>
      <c r="J28" s="418">
        <v>-1.8933569216720001</v>
      </c>
      <c r="K28" s="421">
        <v>0.36882988485000001</v>
      </c>
    </row>
    <row r="29" spans="1:11" ht="14.4" customHeight="1" thickBot="1" x14ac:dyDescent="0.35">
      <c r="A29" s="439" t="s">
        <v>308</v>
      </c>
      <c r="B29" s="417">
        <v>0</v>
      </c>
      <c r="C29" s="417">
        <v>1.95E-2</v>
      </c>
      <c r="D29" s="418">
        <v>1.95E-2</v>
      </c>
      <c r="E29" s="427" t="s">
        <v>288</v>
      </c>
      <c r="F29" s="417">
        <v>3.3862470025999999E-2</v>
      </c>
      <c r="G29" s="418">
        <v>3.3862470025999999E-2</v>
      </c>
      <c r="H29" s="420">
        <v>0</v>
      </c>
      <c r="I29" s="417">
        <v>0</v>
      </c>
      <c r="J29" s="418">
        <v>-3.3862470025999999E-2</v>
      </c>
      <c r="K29" s="421">
        <v>0</v>
      </c>
    </row>
    <row r="30" spans="1:11" ht="14.4" customHeight="1" thickBot="1" x14ac:dyDescent="0.35">
      <c r="A30" s="439" t="s">
        <v>309</v>
      </c>
      <c r="B30" s="417">
        <v>3.9539959664E-2</v>
      </c>
      <c r="C30" s="417">
        <v>0.13339000000000001</v>
      </c>
      <c r="D30" s="418">
        <v>9.3850040334999996E-2</v>
      </c>
      <c r="E30" s="419">
        <v>3.3735492178580002</v>
      </c>
      <c r="F30" s="417">
        <v>7.4461075476000005E-2</v>
      </c>
      <c r="G30" s="418">
        <v>7.4461075476000005E-2</v>
      </c>
      <c r="H30" s="420">
        <v>0</v>
      </c>
      <c r="I30" s="417">
        <v>7.9659999999999995E-2</v>
      </c>
      <c r="J30" s="418">
        <v>5.1989245229999998E-3</v>
      </c>
      <c r="K30" s="421">
        <v>0</v>
      </c>
    </row>
    <row r="31" spans="1:11" ht="14.4" customHeight="1" thickBot="1" x14ac:dyDescent="0.35">
      <c r="A31" s="439" t="s">
        <v>310</v>
      </c>
      <c r="B31" s="417">
        <v>1.3603005507629999</v>
      </c>
      <c r="C31" s="417">
        <v>0.87119999999999997</v>
      </c>
      <c r="D31" s="418">
        <v>-0.48910055076300002</v>
      </c>
      <c r="E31" s="419">
        <v>0.64044670092199996</v>
      </c>
      <c r="F31" s="417">
        <v>0.89250420355500004</v>
      </c>
      <c r="G31" s="418">
        <v>0.89250420355500004</v>
      </c>
      <c r="H31" s="420">
        <v>0</v>
      </c>
      <c r="I31" s="417">
        <v>0</v>
      </c>
      <c r="J31" s="418">
        <v>-0.89250420355500004</v>
      </c>
      <c r="K31" s="421">
        <v>0</v>
      </c>
    </row>
    <row r="32" spans="1:11" ht="14.4" customHeight="1" thickBot="1" x14ac:dyDescent="0.35">
      <c r="A32" s="439" t="s">
        <v>311</v>
      </c>
      <c r="B32" s="417">
        <v>21.466190270405001</v>
      </c>
      <c r="C32" s="417">
        <v>38.219630000000002</v>
      </c>
      <c r="D32" s="418">
        <v>16.753439729594</v>
      </c>
      <c r="E32" s="419">
        <v>1.78045705915</v>
      </c>
      <c r="F32" s="417">
        <v>42.733019277259999</v>
      </c>
      <c r="G32" s="418">
        <v>42.733019277259999</v>
      </c>
      <c r="H32" s="420">
        <v>3.0613000000000001</v>
      </c>
      <c r="I32" s="417">
        <v>32.638919999999999</v>
      </c>
      <c r="J32" s="418">
        <v>-10.09409927726</v>
      </c>
      <c r="K32" s="421">
        <v>0.76378689247800002</v>
      </c>
    </row>
    <row r="33" spans="1:11" ht="14.4" customHeight="1" thickBot="1" x14ac:dyDescent="0.35">
      <c r="A33" s="439" t="s">
        <v>312</v>
      </c>
      <c r="B33" s="417">
        <v>0</v>
      </c>
      <c r="C33" s="417">
        <v>33.334069999999997</v>
      </c>
      <c r="D33" s="418">
        <v>33.334069999999997</v>
      </c>
      <c r="E33" s="427" t="s">
        <v>288</v>
      </c>
      <c r="F33" s="417">
        <v>28.124744832874999</v>
      </c>
      <c r="G33" s="418">
        <v>28.124744832874999</v>
      </c>
      <c r="H33" s="420">
        <v>7.0838400000000004</v>
      </c>
      <c r="I33" s="417">
        <v>29.025279999999999</v>
      </c>
      <c r="J33" s="418">
        <v>0.90053516712399995</v>
      </c>
      <c r="K33" s="421">
        <v>1.032019318663</v>
      </c>
    </row>
    <row r="34" spans="1:11" ht="14.4" customHeight="1" thickBot="1" x14ac:dyDescent="0.35">
      <c r="A34" s="439" t="s">
        <v>313</v>
      </c>
      <c r="B34" s="417">
        <v>0</v>
      </c>
      <c r="C34" s="417">
        <v>0</v>
      </c>
      <c r="D34" s="418">
        <v>0</v>
      </c>
      <c r="E34" s="419">
        <v>1</v>
      </c>
      <c r="F34" s="417">
        <v>0</v>
      </c>
      <c r="G34" s="418">
        <v>0</v>
      </c>
      <c r="H34" s="420">
        <v>0</v>
      </c>
      <c r="I34" s="417">
        <v>0.03</v>
      </c>
      <c r="J34" s="418">
        <v>0.03</v>
      </c>
      <c r="K34" s="428" t="s">
        <v>288</v>
      </c>
    </row>
    <row r="35" spans="1:11" ht="14.4" customHeight="1" thickBot="1" x14ac:dyDescent="0.35">
      <c r="A35" s="439" t="s">
        <v>314</v>
      </c>
      <c r="B35" s="417">
        <v>0</v>
      </c>
      <c r="C35" s="417">
        <v>2.6571600000000002</v>
      </c>
      <c r="D35" s="418">
        <v>2.6571600000000002</v>
      </c>
      <c r="E35" s="427" t="s">
        <v>282</v>
      </c>
      <c r="F35" s="417">
        <v>2.8864850544179999</v>
      </c>
      <c r="G35" s="418">
        <v>2.8864850544179999</v>
      </c>
      <c r="H35" s="420">
        <v>0.94379999999999997</v>
      </c>
      <c r="I35" s="417">
        <v>11.57244</v>
      </c>
      <c r="J35" s="418">
        <v>8.6859549455810008</v>
      </c>
      <c r="K35" s="421">
        <v>4.0091806407529997</v>
      </c>
    </row>
    <row r="36" spans="1:11" ht="14.4" customHeight="1" thickBot="1" x14ac:dyDescent="0.35">
      <c r="A36" s="438" t="s">
        <v>315</v>
      </c>
      <c r="B36" s="422">
        <v>14.499916119238</v>
      </c>
      <c r="C36" s="422">
        <v>10.94514</v>
      </c>
      <c r="D36" s="423">
        <v>-3.5547761192379999</v>
      </c>
      <c r="E36" s="429">
        <v>0.75484160804699996</v>
      </c>
      <c r="F36" s="422">
        <v>10.535080868799</v>
      </c>
      <c r="G36" s="423">
        <v>10.535080868799</v>
      </c>
      <c r="H36" s="425">
        <v>-11.58882</v>
      </c>
      <c r="I36" s="422">
        <v>8.0173299999999994</v>
      </c>
      <c r="J36" s="423">
        <v>-2.5177508687989998</v>
      </c>
      <c r="K36" s="430">
        <v>0.76101266804099998</v>
      </c>
    </row>
    <row r="37" spans="1:11" ht="14.4" customHeight="1" thickBot="1" x14ac:dyDescent="0.35">
      <c r="A37" s="439" t="s">
        <v>316</v>
      </c>
      <c r="B37" s="417">
        <v>11.866344165272</v>
      </c>
      <c r="C37" s="417">
        <v>10.536</v>
      </c>
      <c r="D37" s="418">
        <v>-1.3303441652720001</v>
      </c>
      <c r="E37" s="419">
        <v>0.88788929878099998</v>
      </c>
      <c r="F37" s="417">
        <v>8.5347078727689993</v>
      </c>
      <c r="G37" s="418">
        <v>8.5347078727689993</v>
      </c>
      <c r="H37" s="420">
        <v>0</v>
      </c>
      <c r="I37" s="417">
        <v>0</v>
      </c>
      <c r="J37" s="418">
        <v>-8.5347078727689993</v>
      </c>
      <c r="K37" s="421">
        <v>0</v>
      </c>
    </row>
    <row r="38" spans="1:11" ht="14.4" customHeight="1" thickBot="1" x14ac:dyDescent="0.35">
      <c r="A38" s="439" t="s">
        <v>317</v>
      </c>
      <c r="B38" s="417">
        <v>0</v>
      </c>
      <c r="C38" s="417">
        <v>0</v>
      </c>
      <c r="D38" s="418">
        <v>0</v>
      </c>
      <c r="E38" s="419">
        <v>1</v>
      </c>
      <c r="F38" s="417">
        <v>0</v>
      </c>
      <c r="G38" s="418">
        <v>0</v>
      </c>
      <c r="H38" s="420">
        <v>-11.58882</v>
      </c>
      <c r="I38" s="417">
        <v>7.7</v>
      </c>
      <c r="J38" s="418">
        <v>7.7</v>
      </c>
      <c r="K38" s="428" t="s">
        <v>288</v>
      </c>
    </row>
    <row r="39" spans="1:11" ht="14.4" customHeight="1" thickBot="1" x14ac:dyDescent="0.35">
      <c r="A39" s="439" t="s">
        <v>318</v>
      </c>
      <c r="B39" s="417">
        <v>2.398164938206</v>
      </c>
      <c r="C39" s="417">
        <v>0.40914</v>
      </c>
      <c r="D39" s="418">
        <v>-1.9890249382059999</v>
      </c>
      <c r="E39" s="419">
        <v>0.17060544647299999</v>
      </c>
      <c r="F39" s="417">
        <v>2.0003729960299999</v>
      </c>
      <c r="G39" s="418">
        <v>2.0003729960299999</v>
      </c>
      <c r="H39" s="420">
        <v>0</v>
      </c>
      <c r="I39" s="417">
        <v>0.31733</v>
      </c>
      <c r="J39" s="418">
        <v>-1.6830429960290001</v>
      </c>
      <c r="K39" s="421">
        <v>0.15863541480999999</v>
      </c>
    </row>
    <row r="40" spans="1:11" ht="14.4" customHeight="1" thickBot="1" x14ac:dyDescent="0.35">
      <c r="A40" s="438" t="s">
        <v>319</v>
      </c>
      <c r="B40" s="422">
        <v>22.522095808663</v>
      </c>
      <c r="C40" s="422">
        <v>22.954840000000001</v>
      </c>
      <c r="D40" s="423">
        <v>0.43274419133600001</v>
      </c>
      <c r="E40" s="429">
        <v>1.0192142061289999</v>
      </c>
      <c r="F40" s="422">
        <v>21.868244685320999</v>
      </c>
      <c r="G40" s="423">
        <v>21.868244685320999</v>
      </c>
      <c r="H40" s="425">
        <v>0.69813999999999998</v>
      </c>
      <c r="I40" s="422">
        <v>15.210089999999999</v>
      </c>
      <c r="J40" s="423">
        <v>-6.6581546853209996</v>
      </c>
      <c r="K40" s="430">
        <v>0.69553319065399999</v>
      </c>
    </row>
    <row r="41" spans="1:11" ht="14.4" customHeight="1" thickBot="1" x14ac:dyDescent="0.35">
      <c r="A41" s="439" t="s">
        <v>320</v>
      </c>
      <c r="B41" s="417">
        <v>7.7591193320120002</v>
      </c>
      <c r="C41" s="417">
        <v>9.9156999999999993</v>
      </c>
      <c r="D41" s="418">
        <v>2.1565806679869999</v>
      </c>
      <c r="E41" s="419">
        <v>1.277941422951</v>
      </c>
      <c r="F41" s="417">
        <v>8.8698950268579999</v>
      </c>
      <c r="G41" s="418">
        <v>8.8698950268579999</v>
      </c>
      <c r="H41" s="420">
        <v>0.69813999999999998</v>
      </c>
      <c r="I41" s="417">
        <v>7.5001100000000003</v>
      </c>
      <c r="J41" s="418">
        <v>-1.3697850268580001</v>
      </c>
      <c r="K41" s="421">
        <v>0.84556919527100005</v>
      </c>
    </row>
    <row r="42" spans="1:11" ht="14.4" customHeight="1" thickBot="1" x14ac:dyDescent="0.35">
      <c r="A42" s="439" t="s">
        <v>321</v>
      </c>
      <c r="B42" s="417">
        <v>14.762976476651</v>
      </c>
      <c r="C42" s="417">
        <v>13.03914</v>
      </c>
      <c r="D42" s="418">
        <v>-1.7238364766509999</v>
      </c>
      <c r="E42" s="419">
        <v>0.88323245794100003</v>
      </c>
      <c r="F42" s="417">
        <v>0</v>
      </c>
      <c r="G42" s="418">
        <v>0</v>
      </c>
      <c r="H42" s="420">
        <v>0</v>
      </c>
      <c r="I42" s="417">
        <v>0</v>
      </c>
      <c r="J42" s="418">
        <v>0</v>
      </c>
      <c r="K42" s="428" t="s">
        <v>282</v>
      </c>
    </row>
    <row r="43" spans="1:11" ht="14.4" customHeight="1" thickBot="1" x14ac:dyDescent="0.35">
      <c r="A43" s="439" t="s">
        <v>322</v>
      </c>
      <c r="B43" s="417">
        <v>0</v>
      </c>
      <c r="C43" s="417">
        <v>0</v>
      </c>
      <c r="D43" s="418">
        <v>0</v>
      </c>
      <c r="E43" s="419">
        <v>1</v>
      </c>
      <c r="F43" s="417">
        <v>0.99998058253599997</v>
      </c>
      <c r="G43" s="418">
        <v>0.99998058253599997</v>
      </c>
      <c r="H43" s="420">
        <v>0</v>
      </c>
      <c r="I43" s="417">
        <v>0.72851999999999995</v>
      </c>
      <c r="J43" s="418">
        <v>-0.27146058253599997</v>
      </c>
      <c r="K43" s="421">
        <v>0.72853414628500002</v>
      </c>
    </row>
    <row r="44" spans="1:11" ht="14.4" customHeight="1" thickBot="1" x14ac:dyDescent="0.35">
      <c r="A44" s="439" t="s">
        <v>323</v>
      </c>
      <c r="B44" s="417">
        <v>0</v>
      </c>
      <c r="C44" s="417">
        <v>0</v>
      </c>
      <c r="D44" s="418">
        <v>0</v>
      </c>
      <c r="E44" s="419">
        <v>1</v>
      </c>
      <c r="F44" s="417">
        <v>11.998369075926</v>
      </c>
      <c r="G44" s="418">
        <v>11.998369075926</v>
      </c>
      <c r="H44" s="420">
        <v>0</v>
      </c>
      <c r="I44" s="417">
        <v>6.9814600000000002</v>
      </c>
      <c r="J44" s="418">
        <v>-5.0169090759259998</v>
      </c>
      <c r="K44" s="421">
        <v>0.58186741513100004</v>
      </c>
    </row>
    <row r="45" spans="1:11" ht="14.4" customHeight="1" thickBot="1" x14ac:dyDescent="0.35">
      <c r="A45" s="438" t="s">
        <v>324</v>
      </c>
      <c r="B45" s="422">
        <v>0</v>
      </c>
      <c r="C45" s="422">
        <v>0</v>
      </c>
      <c r="D45" s="423">
        <v>0</v>
      </c>
      <c r="E45" s="424" t="s">
        <v>282</v>
      </c>
      <c r="F45" s="422">
        <v>0</v>
      </c>
      <c r="G45" s="423">
        <v>0</v>
      </c>
      <c r="H45" s="425">
        <v>11.58882</v>
      </c>
      <c r="I45" s="422">
        <v>11.58882</v>
      </c>
      <c r="J45" s="423">
        <v>11.58882</v>
      </c>
      <c r="K45" s="426" t="s">
        <v>288</v>
      </c>
    </row>
    <row r="46" spans="1:11" ht="14.4" customHeight="1" thickBot="1" x14ac:dyDescent="0.35">
      <c r="A46" s="439" t="s">
        <v>325</v>
      </c>
      <c r="B46" s="417">
        <v>0</v>
      </c>
      <c r="C46" s="417">
        <v>0</v>
      </c>
      <c r="D46" s="418">
        <v>0</v>
      </c>
      <c r="E46" s="419">
        <v>1</v>
      </c>
      <c r="F46" s="417">
        <v>0</v>
      </c>
      <c r="G46" s="418">
        <v>0</v>
      </c>
      <c r="H46" s="420">
        <v>11.58882</v>
      </c>
      <c r="I46" s="417">
        <v>11.58882</v>
      </c>
      <c r="J46" s="418">
        <v>11.58882</v>
      </c>
      <c r="K46" s="428" t="s">
        <v>288</v>
      </c>
    </row>
    <row r="47" spans="1:11" ht="14.4" customHeight="1" thickBot="1" x14ac:dyDescent="0.35">
      <c r="A47" s="437" t="s">
        <v>42</v>
      </c>
      <c r="B47" s="417">
        <v>259.55638851803701</v>
      </c>
      <c r="C47" s="417">
        <v>253.464</v>
      </c>
      <c r="D47" s="418">
        <v>-6.0923885180359996</v>
      </c>
      <c r="E47" s="419">
        <v>0.97652768805699997</v>
      </c>
      <c r="F47" s="417">
        <v>255.98500559919199</v>
      </c>
      <c r="G47" s="418">
        <v>255.98500559919199</v>
      </c>
      <c r="H47" s="420">
        <v>20.219000000000001</v>
      </c>
      <c r="I47" s="417">
        <v>213.74</v>
      </c>
      <c r="J47" s="418">
        <v>-42.245005599191998</v>
      </c>
      <c r="K47" s="421">
        <v>0.83497078080599996</v>
      </c>
    </row>
    <row r="48" spans="1:11" ht="14.4" customHeight="1" thickBot="1" x14ac:dyDescent="0.35">
      <c r="A48" s="438" t="s">
        <v>326</v>
      </c>
      <c r="B48" s="422">
        <v>259.55638851803701</v>
      </c>
      <c r="C48" s="422">
        <v>253.464</v>
      </c>
      <c r="D48" s="423">
        <v>-6.0923885180359996</v>
      </c>
      <c r="E48" s="429">
        <v>0.97652768805699997</v>
      </c>
      <c r="F48" s="422">
        <v>255.98500559919199</v>
      </c>
      <c r="G48" s="423">
        <v>255.98500559919199</v>
      </c>
      <c r="H48" s="425">
        <v>20.219000000000001</v>
      </c>
      <c r="I48" s="422">
        <v>213.74</v>
      </c>
      <c r="J48" s="423">
        <v>-42.245005599191998</v>
      </c>
      <c r="K48" s="430">
        <v>0.83497078080599996</v>
      </c>
    </row>
    <row r="49" spans="1:11" ht="14.4" customHeight="1" thickBot="1" x14ac:dyDescent="0.35">
      <c r="A49" s="439" t="s">
        <v>327</v>
      </c>
      <c r="B49" s="417">
        <v>73.544772511204002</v>
      </c>
      <c r="C49" s="417">
        <v>74.358999999999995</v>
      </c>
      <c r="D49" s="418">
        <v>0.81422748879499995</v>
      </c>
      <c r="E49" s="419">
        <v>1.0110711810090001</v>
      </c>
      <c r="F49" s="417">
        <v>73.803256557899999</v>
      </c>
      <c r="G49" s="418">
        <v>73.803256557899999</v>
      </c>
      <c r="H49" s="420">
        <v>5.3490000000000002</v>
      </c>
      <c r="I49" s="417">
        <v>58.587000000000003</v>
      </c>
      <c r="J49" s="418">
        <v>-15.2162565579</v>
      </c>
      <c r="K49" s="421">
        <v>0.793826759582</v>
      </c>
    </row>
    <row r="50" spans="1:11" ht="14.4" customHeight="1" thickBot="1" x14ac:dyDescent="0.35">
      <c r="A50" s="439" t="s">
        <v>328</v>
      </c>
      <c r="B50" s="417">
        <v>78.003352435707995</v>
      </c>
      <c r="C50" s="417">
        <v>76.366</v>
      </c>
      <c r="D50" s="418">
        <v>-1.637352435708</v>
      </c>
      <c r="E50" s="419">
        <v>0.97900920428899996</v>
      </c>
      <c r="F50" s="417">
        <v>78.006303281255001</v>
      </c>
      <c r="G50" s="418">
        <v>78.006303281255001</v>
      </c>
      <c r="H50" s="420">
        <v>3.7709999999999999</v>
      </c>
      <c r="I50" s="417">
        <v>66.41</v>
      </c>
      <c r="J50" s="418">
        <v>-11.596303281255</v>
      </c>
      <c r="K50" s="421">
        <v>0.85134145840099995</v>
      </c>
    </row>
    <row r="51" spans="1:11" ht="14.4" customHeight="1" thickBot="1" x14ac:dyDescent="0.35">
      <c r="A51" s="439" t="s">
        <v>329</v>
      </c>
      <c r="B51" s="417">
        <v>108.008263571123</v>
      </c>
      <c r="C51" s="417">
        <v>102.739</v>
      </c>
      <c r="D51" s="418">
        <v>-5.2692635711219999</v>
      </c>
      <c r="E51" s="419">
        <v>0.95121425530799997</v>
      </c>
      <c r="F51" s="417">
        <v>104.175445760036</v>
      </c>
      <c r="G51" s="418">
        <v>104.175445760036</v>
      </c>
      <c r="H51" s="420">
        <v>11.099</v>
      </c>
      <c r="I51" s="417">
        <v>88.742999999999995</v>
      </c>
      <c r="J51" s="418">
        <v>-15.432445760036</v>
      </c>
      <c r="K51" s="421">
        <v>0.85186100575299994</v>
      </c>
    </row>
    <row r="52" spans="1:11" ht="14.4" customHeight="1" thickBot="1" x14ac:dyDescent="0.35">
      <c r="A52" s="440" t="s">
        <v>330</v>
      </c>
      <c r="B52" s="422">
        <v>930.66133483214401</v>
      </c>
      <c r="C52" s="422">
        <v>2073.7488400000002</v>
      </c>
      <c r="D52" s="423">
        <v>1143.0875051678599</v>
      </c>
      <c r="E52" s="429">
        <v>2.2282529233620001</v>
      </c>
      <c r="F52" s="422">
        <v>2082.4881862134298</v>
      </c>
      <c r="G52" s="423">
        <v>2082.4881862134298</v>
      </c>
      <c r="H52" s="425">
        <v>217.83274</v>
      </c>
      <c r="I52" s="422">
        <v>2180.4342999999999</v>
      </c>
      <c r="J52" s="423">
        <v>97.946113786574003</v>
      </c>
      <c r="K52" s="430">
        <v>1.0470332146100001</v>
      </c>
    </row>
    <row r="53" spans="1:11" ht="14.4" customHeight="1" thickBot="1" x14ac:dyDescent="0.35">
      <c r="A53" s="437" t="s">
        <v>45</v>
      </c>
      <c r="B53" s="417">
        <v>107.24972122446</v>
      </c>
      <c r="C53" s="417">
        <v>687.43282999999997</v>
      </c>
      <c r="D53" s="418">
        <v>580.18310877554097</v>
      </c>
      <c r="E53" s="419">
        <v>6.409646777181</v>
      </c>
      <c r="F53" s="417">
        <v>679.88707680600999</v>
      </c>
      <c r="G53" s="418">
        <v>679.88707680600999</v>
      </c>
      <c r="H53" s="420">
        <v>14.449630000000001</v>
      </c>
      <c r="I53" s="417">
        <v>921.14341999999999</v>
      </c>
      <c r="J53" s="418">
        <v>241.25634319399001</v>
      </c>
      <c r="K53" s="421">
        <v>1.354847667244</v>
      </c>
    </row>
    <row r="54" spans="1:11" ht="14.4" customHeight="1" thickBot="1" x14ac:dyDescent="0.35">
      <c r="A54" s="441" t="s">
        <v>331</v>
      </c>
      <c r="B54" s="417">
        <v>107.24972122446</v>
      </c>
      <c r="C54" s="417">
        <v>687.43282999999997</v>
      </c>
      <c r="D54" s="418">
        <v>580.18310877554097</v>
      </c>
      <c r="E54" s="419">
        <v>6.409646777181</v>
      </c>
      <c r="F54" s="417">
        <v>679.88707680600999</v>
      </c>
      <c r="G54" s="418">
        <v>679.88707680600999</v>
      </c>
      <c r="H54" s="420">
        <v>14.449630000000001</v>
      </c>
      <c r="I54" s="417">
        <v>921.14341999999999</v>
      </c>
      <c r="J54" s="418">
        <v>241.25634319399001</v>
      </c>
      <c r="K54" s="421">
        <v>1.354847667244</v>
      </c>
    </row>
    <row r="55" spans="1:11" ht="14.4" customHeight="1" thickBot="1" x14ac:dyDescent="0.35">
      <c r="A55" s="439" t="s">
        <v>332</v>
      </c>
      <c r="B55" s="417">
        <v>32.669930261422003</v>
      </c>
      <c r="C55" s="417">
        <v>635.48226999999997</v>
      </c>
      <c r="D55" s="418">
        <v>602.81233973857798</v>
      </c>
      <c r="E55" s="419">
        <v>19.451595547187001</v>
      </c>
      <c r="F55" s="417">
        <v>586.00353261079397</v>
      </c>
      <c r="G55" s="418">
        <v>586.00353261079397</v>
      </c>
      <c r="H55" s="420">
        <v>0</v>
      </c>
      <c r="I55" s="417">
        <v>809.90670999999998</v>
      </c>
      <c r="J55" s="418">
        <v>223.90317738920601</v>
      </c>
      <c r="K55" s="421">
        <v>1.382085030087</v>
      </c>
    </row>
    <row r="56" spans="1:11" ht="14.4" customHeight="1" thickBot="1" x14ac:dyDescent="0.35">
      <c r="A56" s="439" t="s">
        <v>333</v>
      </c>
      <c r="B56" s="417">
        <v>0</v>
      </c>
      <c r="C56" s="417">
        <v>0</v>
      </c>
      <c r="D56" s="418">
        <v>0</v>
      </c>
      <c r="E56" s="427" t="s">
        <v>282</v>
      </c>
      <c r="F56" s="417">
        <v>0</v>
      </c>
      <c r="G56" s="418">
        <v>0</v>
      </c>
      <c r="H56" s="420">
        <v>0</v>
      </c>
      <c r="I56" s="417">
        <v>4.9249999999999998</v>
      </c>
      <c r="J56" s="418">
        <v>4.9249999999999998</v>
      </c>
      <c r="K56" s="428" t="s">
        <v>288</v>
      </c>
    </row>
    <row r="57" spans="1:11" ht="14.4" customHeight="1" thickBot="1" x14ac:dyDescent="0.35">
      <c r="A57" s="439" t="s">
        <v>334</v>
      </c>
      <c r="B57" s="417">
        <v>21.583872254721001</v>
      </c>
      <c r="C57" s="417">
        <v>0</v>
      </c>
      <c r="D57" s="418">
        <v>-21.583872254721001</v>
      </c>
      <c r="E57" s="419">
        <v>0</v>
      </c>
      <c r="F57" s="417">
        <v>0</v>
      </c>
      <c r="G57" s="418">
        <v>0</v>
      </c>
      <c r="H57" s="420">
        <v>0</v>
      </c>
      <c r="I57" s="417">
        <v>4.2446000000000002</v>
      </c>
      <c r="J57" s="418">
        <v>4.2446000000000002</v>
      </c>
      <c r="K57" s="428" t="s">
        <v>288</v>
      </c>
    </row>
    <row r="58" spans="1:11" ht="14.4" customHeight="1" thickBot="1" x14ac:dyDescent="0.35">
      <c r="A58" s="439" t="s">
        <v>335</v>
      </c>
      <c r="B58" s="417">
        <v>24.997983976722001</v>
      </c>
      <c r="C58" s="417">
        <v>13.61553</v>
      </c>
      <c r="D58" s="418">
        <v>-11.382453976721999</v>
      </c>
      <c r="E58" s="419">
        <v>0.54466512230200004</v>
      </c>
      <c r="F58" s="417">
        <v>54.999907143310999</v>
      </c>
      <c r="G58" s="418">
        <v>54.999907143310999</v>
      </c>
      <c r="H58" s="420">
        <v>1.32</v>
      </c>
      <c r="I58" s="417">
        <v>47.810650000000003</v>
      </c>
      <c r="J58" s="418">
        <v>-7.189257143311</v>
      </c>
      <c r="K58" s="421">
        <v>0.86928601307300002</v>
      </c>
    </row>
    <row r="59" spans="1:11" ht="14.4" customHeight="1" thickBot="1" x14ac:dyDescent="0.35">
      <c r="A59" s="439" t="s">
        <v>336</v>
      </c>
      <c r="B59" s="417">
        <v>27.997934731592999</v>
      </c>
      <c r="C59" s="417">
        <v>38.335030000000003</v>
      </c>
      <c r="D59" s="418">
        <v>10.337095268406999</v>
      </c>
      <c r="E59" s="419">
        <v>1.369209206589</v>
      </c>
      <c r="F59" s="417">
        <v>38.883637051904003</v>
      </c>
      <c r="G59" s="418">
        <v>38.883637051904003</v>
      </c>
      <c r="H59" s="420">
        <v>13.129630000000001</v>
      </c>
      <c r="I59" s="417">
        <v>54.256459999999997</v>
      </c>
      <c r="J59" s="418">
        <v>15.372822948094999</v>
      </c>
      <c r="K59" s="421">
        <v>1.395354553062</v>
      </c>
    </row>
    <row r="60" spans="1:11" ht="14.4" customHeight="1" thickBot="1" x14ac:dyDescent="0.35">
      <c r="A60" s="442" t="s">
        <v>46</v>
      </c>
      <c r="B60" s="422">
        <v>0</v>
      </c>
      <c r="C60" s="422">
        <v>106.889</v>
      </c>
      <c r="D60" s="423">
        <v>106.889</v>
      </c>
      <c r="E60" s="424" t="s">
        <v>282</v>
      </c>
      <c r="F60" s="422">
        <v>0</v>
      </c>
      <c r="G60" s="423">
        <v>0</v>
      </c>
      <c r="H60" s="425">
        <v>18.576000000000001</v>
      </c>
      <c r="I60" s="422">
        <v>201.32900000000001</v>
      </c>
      <c r="J60" s="423">
        <v>201.32900000000001</v>
      </c>
      <c r="K60" s="426" t="s">
        <v>282</v>
      </c>
    </row>
    <row r="61" spans="1:11" ht="14.4" customHeight="1" thickBot="1" x14ac:dyDescent="0.35">
      <c r="A61" s="438" t="s">
        <v>337</v>
      </c>
      <c r="B61" s="422">
        <v>0</v>
      </c>
      <c r="C61" s="422">
        <v>56.401000000000003</v>
      </c>
      <c r="D61" s="423">
        <v>56.401000000000003</v>
      </c>
      <c r="E61" s="424" t="s">
        <v>282</v>
      </c>
      <c r="F61" s="422">
        <v>0</v>
      </c>
      <c r="G61" s="423">
        <v>0</v>
      </c>
      <c r="H61" s="425">
        <v>18.576000000000001</v>
      </c>
      <c r="I61" s="422">
        <v>65.248999999999995</v>
      </c>
      <c r="J61" s="423">
        <v>65.248999999999995</v>
      </c>
      <c r="K61" s="426" t="s">
        <v>282</v>
      </c>
    </row>
    <row r="62" spans="1:11" ht="14.4" customHeight="1" thickBot="1" x14ac:dyDescent="0.35">
      <c r="A62" s="439" t="s">
        <v>338</v>
      </c>
      <c r="B62" s="417">
        <v>0</v>
      </c>
      <c r="C62" s="417">
        <v>55.201000000000001</v>
      </c>
      <c r="D62" s="418">
        <v>55.201000000000001</v>
      </c>
      <c r="E62" s="427" t="s">
        <v>282</v>
      </c>
      <c r="F62" s="417">
        <v>0</v>
      </c>
      <c r="G62" s="418">
        <v>0</v>
      </c>
      <c r="H62" s="420">
        <v>18.576000000000001</v>
      </c>
      <c r="I62" s="417">
        <v>64.448999999999998</v>
      </c>
      <c r="J62" s="418">
        <v>64.448999999999998</v>
      </c>
      <c r="K62" s="428" t="s">
        <v>282</v>
      </c>
    </row>
    <row r="63" spans="1:11" ht="14.4" customHeight="1" thickBot="1" x14ac:dyDescent="0.35">
      <c r="A63" s="439" t="s">
        <v>339</v>
      </c>
      <c r="B63" s="417">
        <v>0</v>
      </c>
      <c r="C63" s="417">
        <v>1.2</v>
      </c>
      <c r="D63" s="418">
        <v>1.2</v>
      </c>
      <c r="E63" s="427" t="s">
        <v>282</v>
      </c>
      <c r="F63" s="417">
        <v>0</v>
      </c>
      <c r="G63" s="418">
        <v>0</v>
      </c>
      <c r="H63" s="420">
        <v>0</v>
      </c>
      <c r="I63" s="417">
        <v>0.8</v>
      </c>
      <c r="J63" s="418">
        <v>0.8</v>
      </c>
      <c r="K63" s="428" t="s">
        <v>282</v>
      </c>
    </row>
    <row r="64" spans="1:11" ht="14.4" customHeight="1" thickBot="1" x14ac:dyDescent="0.35">
      <c r="A64" s="438" t="s">
        <v>340</v>
      </c>
      <c r="B64" s="422">
        <v>0</v>
      </c>
      <c r="C64" s="422">
        <v>50.488</v>
      </c>
      <c r="D64" s="423">
        <v>50.488</v>
      </c>
      <c r="E64" s="424" t="s">
        <v>282</v>
      </c>
      <c r="F64" s="422">
        <v>0</v>
      </c>
      <c r="G64" s="423">
        <v>0</v>
      </c>
      <c r="H64" s="425">
        <v>0</v>
      </c>
      <c r="I64" s="422">
        <v>136.08000000000001</v>
      </c>
      <c r="J64" s="423">
        <v>136.08000000000001</v>
      </c>
      <c r="K64" s="426" t="s">
        <v>282</v>
      </c>
    </row>
    <row r="65" spans="1:11" ht="14.4" customHeight="1" thickBot="1" x14ac:dyDescent="0.35">
      <c r="A65" s="439" t="s">
        <v>341</v>
      </c>
      <c r="B65" s="417">
        <v>0</v>
      </c>
      <c r="C65" s="417">
        <v>50.488</v>
      </c>
      <c r="D65" s="418">
        <v>50.488</v>
      </c>
      <c r="E65" s="427" t="s">
        <v>282</v>
      </c>
      <c r="F65" s="417">
        <v>0</v>
      </c>
      <c r="G65" s="418">
        <v>0</v>
      </c>
      <c r="H65" s="420">
        <v>0</v>
      </c>
      <c r="I65" s="417">
        <v>136.08000000000001</v>
      </c>
      <c r="J65" s="418">
        <v>136.08000000000001</v>
      </c>
      <c r="K65" s="428" t="s">
        <v>282</v>
      </c>
    </row>
    <row r="66" spans="1:11" ht="14.4" customHeight="1" thickBot="1" x14ac:dyDescent="0.35">
      <c r="A66" s="437" t="s">
        <v>47</v>
      </c>
      <c r="B66" s="417">
        <v>823.41161360768501</v>
      </c>
      <c r="C66" s="417">
        <v>1279.4270100000001</v>
      </c>
      <c r="D66" s="418">
        <v>456.01539639231601</v>
      </c>
      <c r="E66" s="419">
        <v>1.553812198973</v>
      </c>
      <c r="F66" s="417">
        <v>1402.6011094074199</v>
      </c>
      <c r="G66" s="418">
        <v>1402.6011094074199</v>
      </c>
      <c r="H66" s="420">
        <v>184.80710999999999</v>
      </c>
      <c r="I66" s="417">
        <v>1057.9618800000001</v>
      </c>
      <c r="J66" s="418">
        <v>-344.63922940741497</v>
      </c>
      <c r="K66" s="421">
        <v>0.754285643226</v>
      </c>
    </row>
    <row r="67" spans="1:11" ht="14.4" customHeight="1" thickBot="1" x14ac:dyDescent="0.35">
      <c r="A67" s="438" t="s">
        <v>342</v>
      </c>
      <c r="B67" s="422">
        <v>26.294098037716999</v>
      </c>
      <c r="C67" s="422">
        <v>55.501080000000002</v>
      </c>
      <c r="D67" s="423">
        <v>29.206981962282001</v>
      </c>
      <c r="E67" s="429">
        <v>2.1107809030140001</v>
      </c>
      <c r="F67" s="422">
        <v>22.183714264195</v>
      </c>
      <c r="G67" s="423">
        <v>22.183714264195</v>
      </c>
      <c r="H67" s="425">
        <v>0</v>
      </c>
      <c r="I67" s="422">
        <v>0.20599999999999999</v>
      </c>
      <c r="J67" s="423">
        <v>-21.977714264195001</v>
      </c>
      <c r="K67" s="430">
        <v>9.2860914780000005E-3</v>
      </c>
    </row>
    <row r="68" spans="1:11" ht="14.4" customHeight="1" thickBot="1" x14ac:dyDescent="0.35">
      <c r="A68" s="439" t="s">
        <v>343</v>
      </c>
      <c r="B68" s="417">
        <v>26.294098037716999</v>
      </c>
      <c r="C68" s="417">
        <v>55.501080000000002</v>
      </c>
      <c r="D68" s="418">
        <v>29.206981962282001</v>
      </c>
      <c r="E68" s="419">
        <v>2.1107809030140001</v>
      </c>
      <c r="F68" s="417">
        <v>22.183714264195</v>
      </c>
      <c r="G68" s="418">
        <v>22.183714264195</v>
      </c>
      <c r="H68" s="420">
        <v>0</v>
      </c>
      <c r="I68" s="417">
        <v>0.20599999999999999</v>
      </c>
      <c r="J68" s="418">
        <v>-21.977714264195001</v>
      </c>
      <c r="K68" s="421">
        <v>9.2860914780000005E-3</v>
      </c>
    </row>
    <row r="69" spans="1:11" ht="14.4" customHeight="1" thickBot="1" x14ac:dyDescent="0.35">
      <c r="A69" s="438" t="s">
        <v>344</v>
      </c>
      <c r="B69" s="422">
        <v>69.914047366019005</v>
      </c>
      <c r="C69" s="422">
        <v>80.575019999999995</v>
      </c>
      <c r="D69" s="423">
        <v>10.66097263398</v>
      </c>
      <c r="E69" s="429">
        <v>1.1524868468580001</v>
      </c>
      <c r="F69" s="422">
        <v>80.446835715874002</v>
      </c>
      <c r="G69" s="423">
        <v>80.446835715874002</v>
      </c>
      <c r="H69" s="425">
        <v>3.5990099999999998</v>
      </c>
      <c r="I69" s="422">
        <v>56.006900000000002</v>
      </c>
      <c r="J69" s="423">
        <v>-24.439935715874</v>
      </c>
      <c r="K69" s="430">
        <v>0.69619767516700004</v>
      </c>
    </row>
    <row r="70" spans="1:11" ht="14.4" customHeight="1" thickBot="1" x14ac:dyDescent="0.35">
      <c r="A70" s="439" t="s">
        <v>345</v>
      </c>
      <c r="B70" s="417">
        <v>53.25177214024</v>
      </c>
      <c r="C70" s="417">
        <v>56.9422</v>
      </c>
      <c r="D70" s="418">
        <v>3.6904278597590001</v>
      </c>
      <c r="E70" s="419">
        <v>1.0693015032440001</v>
      </c>
      <c r="F70" s="417">
        <v>58.251086377274</v>
      </c>
      <c r="G70" s="418">
        <v>58.251086377274</v>
      </c>
      <c r="H70" s="420">
        <v>1.9409000000000001</v>
      </c>
      <c r="I70" s="417">
        <v>38.164499999999997</v>
      </c>
      <c r="J70" s="418">
        <v>-20.086586377273999</v>
      </c>
      <c r="K70" s="421">
        <v>0.65517233022599997</v>
      </c>
    </row>
    <row r="71" spans="1:11" ht="14.4" customHeight="1" thickBot="1" x14ac:dyDescent="0.35">
      <c r="A71" s="439" t="s">
        <v>346</v>
      </c>
      <c r="B71" s="417">
        <v>16.662275225778998</v>
      </c>
      <c r="C71" s="417">
        <v>23.632819999999999</v>
      </c>
      <c r="D71" s="418">
        <v>6.9705447742209996</v>
      </c>
      <c r="E71" s="419">
        <v>1.418342914143</v>
      </c>
      <c r="F71" s="417">
        <v>22.195749338599999</v>
      </c>
      <c r="G71" s="418">
        <v>22.195749338599999</v>
      </c>
      <c r="H71" s="420">
        <v>1.65811</v>
      </c>
      <c r="I71" s="417">
        <v>17.842400000000001</v>
      </c>
      <c r="J71" s="418">
        <v>-4.3533493386000002</v>
      </c>
      <c r="K71" s="421">
        <v>0.80386562885500001</v>
      </c>
    </row>
    <row r="72" spans="1:11" ht="14.4" customHeight="1" thickBot="1" x14ac:dyDescent="0.35">
      <c r="A72" s="438" t="s">
        <v>347</v>
      </c>
      <c r="B72" s="422">
        <v>20.029938410267</v>
      </c>
      <c r="C72" s="422">
        <v>30.831679999999999</v>
      </c>
      <c r="D72" s="423">
        <v>10.801741589732</v>
      </c>
      <c r="E72" s="429">
        <v>1.53927982046</v>
      </c>
      <c r="F72" s="422">
        <v>29.441547892029</v>
      </c>
      <c r="G72" s="423">
        <v>29.441547892029</v>
      </c>
      <c r="H72" s="425">
        <v>0</v>
      </c>
      <c r="I72" s="422">
        <v>37.290289999999999</v>
      </c>
      <c r="J72" s="423">
        <v>7.8487421079709998</v>
      </c>
      <c r="K72" s="430">
        <v>1.2665872778409999</v>
      </c>
    </row>
    <row r="73" spans="1:11" ht="14.4" customHeight="1" thickBot="1" x14ac:dyDescent="0.35">
      <c r="A73" s="439" t="s">
        <v>348</v>
      </c>
      <c r="B73" s="417">
        <v>3.7371913255770002</v>
      </c>
      <c r="C73" s="417">
        <v>3.78</v>
      </c>
      <c r="D73" s="418">
        <v>4.2808674422000002E-2</v>
      </c>
      <c r="E73" s="419">
        <v>1.0114547719639999</v>
      </c>
      <c r="F73" s="417">
        <v>4.678425385862</v>
      </c>
      <c r="G73" s="418">
        <v>4.678425385862</v>
      </c>
      <c r="H73" s="420">
        <v>0</v>
      </c>
      <c r="I73" s="417">
        <v>4.32</v>
      </c>
      <c r="J73" s="418">
        <v>-0.35842538586200001</v>
      </c>
      <c r="K73" s="421">
        <v>0.92338760238700002</v>
      </c>
    </row>
    <row r="74" spans="1:11" ht="14.4" customHeight="1" thickBot="1" x14ac:dyDescent="0.35">
      <c r="A74" s="439" t="s">
        <v>349</v>
      </c>
      <c r="B74" s="417">
        <v>16.292747084689999</v>
      </c>
      <c r="C74" s="417">
        <v>27.051680000000001</v>
      </c>
      <c r="D74" s="418">
        <v>10.758932915309</v>
      </c>
      <c r="E74" s="419">
        <v>1.6603510666050001</v>
      </c>
      <c r="F74" s="417">
        <v>24.763122506165999</v>
      </c>
      <c r="G74" s="418">
        <v>24.763122506165999</v>
      </c>
      <c r="H74" s="420">
        <v>0</v>
      </c>
      <c r="I74" s="417">
        <v>32.970289999999999</v>
      </c>
      <c r="J74" s="418">
        <v>8.2071674938329995</v>
      </c>
      <c r="K74" s="421">
        <v>1.3314270036739999</v>
      </c>
    </row>
    <row r="75" spans="1:11" ht="14.4" customHeight="1" thickBot="1" x14ac:dyDescent="0.35">
      <c r="A75" s="438" t="s">
        <v>350</v>
      </c>
      <c r="B75" s="422">
        <v>333.94389081759402</v>
      </c>
      <c r="C75" s="422">
        <v>354.00261999999998</v>
      </c>
      <c r="D75" s="423">
        <v>20.058729182404999</v>
      </c>
      <c r="E75" s="429">
        <v>1.0600661660049999</v>
      </c>
      <c r="F75" s="422">
        <v>353.36730038098898</v>
      </c>
      <c r="G75" s="423">
        <v>353.36730038098898</v>
      </c>
      <c r="H75" s="425">
        <v>25.414380000000001</v>
      </c>
      <c r="I75" s="422">
        <v>319.05781999999999</v>
      </c>
      <c r="J75" s="423">
        <v>-34.309480380989001</v>
      </c>
      <c r="K75" s="430">
        <v>0.90290703088799995</v>
      </c>
    </row>
    <row r="76" spans="1:11" ht="14.4" customHeight="1" thickBot="1" x14ac:dyDescent="0.35">
      <c r="A76" s="439" t="s">
        <v>351</v>
      </c>
      <c r="B76" s="417">
        <v>297.00030157967899</v>
      </c>
      <c r="C76" s="417">
        <v>320.02782100000002</v>
      </c>
      <c r="D76" s="418">
        <v>23.027519420320999</v>
      </c>
      <c r="E76" s="419">
        <v>1.077533656692</v>
      </c>
      <c r="F76" s="417">
        <v>320.08345529921701</v>
      </c>
      <c r="G76" s="418">
        <v>320.08345529921701</v>
      </c>
      <c r="H76" s="420">
        <v>22.062550000000002</v>
      </c>
      <c r="I76" s="417">
        <v>280.51175000000001</v>
      </c>
      <c r="J76" s="418">
        <v>-39.571705299217001</v>
      </c>
      <c r="K76" s="421">
        <v>0.87637066320000001</v>
      </c>
    </row>
    <row r="77" spans="1:11" ht="14.4" customHeight="1" thickBot="1" x14ac:dyDescent="0.35">
      <c r="A77" s="439" t="s">
        <v>352</v>
      </c>
      <c r="B77" s="417">
        <v>0.17856760082299999</v>
      </c>
      <c r="C77" s="417">
        <v>0.36399999999999999</v>
      </c>
      <c r="D77" s="418">
        <v>0.18543239917599999</v>
      </c>
      <c r="E77" s="419">
        <v>2.0384436948300002</v>
      </c>
      <c r="F77" s="417">
        <v>0.31176629998099997</v>
      </c>
      <c r="G77" s="418">
        <v>0.31176629998099997</v>
      </c>
      <c r="H77" s="420">
        <v>0</v>
      </c>
      <c r="I77" s="417">
        <v>1.637</v>
      </c>
      <c r="J77" s="418">
        <v>1.3252337000179999</v>
      </c>
      <c r="K77" s="421">
        <v>5.2507278692300003</v>
      </c>
    </row>
    <row r="78" spans="1:11" ht="14.4" customHeight="1" thickBot="1" x14ac:dyDescent="0.35">
      <c r="A78" s="439" t="s">
        <v>353</v>
      </c>
      <c r="B78" s="417">
        <v>36.765021637091003</v>
      </c>
      <c r="C78" s="417">
        <v>33.610799</v>
      </c>
      <c r="D78" s="418">
        <v>-3.1542226370909998</v>
      </c>
      <c r="E78" s="419">
        <v>0.91420588111599999</v>
      </c>
      <c r="F78" s="417">
        <v>32.972078781790003</v>
      </c>
      <c r="G78" s="418">
        <v>32.972078781790003</v>
      </c>
      <c r="H78" s="420">
        <v>3.3518300000000001</v>
      </c>
      <c r="I78" s="417">
        <v>36.90907</v>
      </c>
      <c r="J78" s="418">
        <v>3.9369912182090001</v>
      </c>
      <c r="K78" s="421">
        <v>1.1194037914399999</v>
      </c>
    </row>
    <row r="79" spans="1:11" ht="14.4" customHeight="1" thickBot="1" x14ac:dyDescent="0.35">
      <c r="A79" s="438" t="s">
        <v>354</v>
      </c>
      <c r="B79" s="422">
        <v>373.15439503096701</v>
      </c>
      <c r="C79" s="422">
        <v>723.67143999999996</v>
      </c>
      <c r="D79" s="423">
        <v>350.51704496903398</v>
      </c>
      <c r="E79" s="429">
        <v>1.9393351643079999</v>
      </c>
      <c r="F79" s="422">
        <v>717.16171115433099</v>
      </c>
      <c r="G79" s="423">
        <v>717.16171115433099</v>
      </c>
      <c r="H79" s="425">
        <v>155.79372000000001</v>
      </c>
      <c r="I79" s="422">
        <v>607.89778000000001</v>
      </c>
      <c r="J79" s="423">
        <v>-109.263931154331</v>
      </c>
      <c r="K79" s="430">
        <v>0.84764394214700001</v>
      </c>
    </row>
    <row r="80" spans="1:11" ht="14.4" customHeight="1" thickBot="1" x14ac:dyDescent="0.35">
      <c r="A80" s="439" t="s">
        <v>355</v>
      </c>
      <c r="B80" s="417">
        <v>237.58369627406501</v>
      </c>
      <c r="C80" s="417">
        <v>533.69094000000098</v>
      </c>
      <c r="D80" s="418">
        <v>296.10724372593597</v>
      </c>
      <c r="E80" s="419">
        <v>2.2463281292850001</v>
      </c>
      <c r="F80" s="417">
        <v>527.64078254500305</v>
      </c>
      <c r="G80" s="418">
        <v>527.64078254500305</v>
      </c>
      <c r="H80" s="420">
        <v>134.52171999999999</v>
      </c>
      <c r="I80" s="417">
        <v>389.12099000000001</v>
      </c>
      <c r="J80" s="418">
        <v>-138.51979254500301</v>
      </c>
      <c r="K80" s="421">
        <v>0.737473301671</v>
      </c>
    </row>
    <row r="81" spans="1:11" ht="14.4" customHeight="1" thickBot="1" x14ac:dyDescent="0.35">
      <c r="A81" s="439" t="s">
        <v>356</v>
      </c>
      <c r="B81" s="417">
        <v>29.984533709773</v>
      </c>
      <c r="C81" s="417">
        <v>20.439399999999999</v>
      </c>
      <c r="D81" s="418">
        <v>-9.5451337097729994</v>
      </c>
      <c r="E81" s="419">
        <v>0.68166476083399996</v>
      </c>
      <c r="F81" s="417">
        <v>29.010568085477001</v>
      </c>
      <c r="G81" s="418">
        <v>29.010568085477001</v>
      </c>
      <c r="H81" s="420">
        <v>10.079000000000001</v>
      </c>
      <c r="I81" s="417">
        <v>40.023000000000003</v>
      </c>
      <c r="J81" s="418">
        <v>11.012431914522001</v>
      </c>
      <c r="K81" s="421">
        <v>1.379600698685</v>
      </c>
    </row>
    <row r="82" spans="1:11" ht="14.4" customHeight="1" thickBot="1" x14ac:dyDescent="0.35">
      <c r="A82" s="439" t="s">
        <v>357</v>
      </c>
      <c r="B82" s="417">
        <v>105.58616504712801</v>
      </c>
      <c r="C82" s="417">
        <v>168.12278000000001</v>
      </c>
      <c r="D82" s="418">
        <v>62.536614952870998</v>
      </c>
      <c r="E82" s="419">
        <v>1.592280389433</v>
      </c>
      <c r="F82" s="417">
        <v>158.837481986006</v>
      </c>
      <c r="G82" s="418">
        <v>158.837481986006</v>
      </c>
      <c r="H82" s="420">
        <v>11.193</v>
      </c>
      <c r="I82" s="417">
        <v>178.18993</v>
      </c>
      <c r="J82" s="418">
        <v>19.352448013993001</v>
      </c>
      <c r="K82" s="421">
        <v>1.121838043338</v>
      </c>
    </row>
    <row r="83" spans="1:11" ht="14.4" customHeight="1" thickBot="1" x14ac:dyDescent="0.35">
      <c r="A83" s="439" t="s">
        <v>358</v>
      </c>
      <c r="B83" s="417">
        <v>0</v>
      </c>
      <c r="C83" s="417">
        <v>1.41832</v>
      </c>
      <c r="D83" s="418">
        <v>1.41832</v>
      </c>
      <c r="E83" s="427" t="s">
        <v>288</v>
      </c>
      <c r="F83" s="417">
        <v>1.6728785378440001</v>
      </c>
      <c r="G83" s="418">
        <v>1.6728785378440001</v>
      </c>
      <c r="H83" s="420">
        <v>0</v>
      </c>
      <c r="I83" s="417">
        <v>0.56386000000000003</v>
      </c>
      <c r="J83" s="418">
        <v>-1.1090185378440001</v>
      </c>
      <c r="K83" s="421">
        <v>0.33705973700000003</v>
      </c>
    </row>
    <row r="84" spans="1:11" ht="14.4" customHeight="1" thickBot="1" x14ac:dyDescent="0.35">
      <c r="A84" s="438" t="s">
        <v>359</v>
      </c>
      <c r="B84" s="422">
        <v>7.5243945118999997E-2</v>
      </c>
      <c r="C84" s="422">
        <v>34.845170000000003</v>
      </c>
      <c r="D84" s="423">
        <v>34.769926054880003</v>
      </c>
      <c r="E84" s="429">
        <v>463.09599988193003</v>
      </c>
      <c r="F84" s="422">
        <v>199.99999999999699</v>
      </c>
      <c r="G84" s="423">
        <v>199.99999999999699</v>
      </c>
      <c r="H84" s="425">
        <v>0</v>
      </c>
      <c r="I84" s="422">
        <v>37.50309</v>
      </c>
      <c r="J84" s="423">
        <v>-162.496909999997</v>
      </c>
      <c r="K84" s="430">
        <v>0.18751545</v>
      </c>
    </row>
    <row r="85" spans="1:11" ht="14.4" customHeight="1" thickBot="1" x14ac:dyDescent="0.35">
      <c r="A85" s="439" t="s">
        <v>360</v>
      </c>
      <c r="B85" s="417">
        <v>0</v>
      </c>
      <c r="C85" s="417">
        <v>34.845170000000003</v>
      </c>
      <c r="D85" s="418">
        <v>34.845170000000003</v>
      </c>
      <c r="E85" s="427" t="s">
        <v>288</v>
      </c>
      <c r="F85" s="417">
        <v>149.99999999999699</v>
      </c>
      <c r="G85" s="418">
        <v>149.99999999999699</v>
      </c>
      <c r="H85" s="420">
        <v>0</v>
      </c>
      <c r="I85" s="417">
        <v>37.50309</v>
      </c>
      <c r="J85" s="418">
        <v>-112.496909999997</v>
      </c>
      <c r="K85" s="421">
        <v>0.25002059999999998</v>
      </c>
    </row>
    <row r="86" spans="1:11" ht="14.4" customHeight="1" thickBot="1" x14ac:dyDescent="0.35">
      <c r="A86" s="439" t="s">
        <v>361</v>
      </c>
      <c r="B86" s="417">
        <v>0</v>
      </c>
      <c r="C86" s="417">
        <v>0</v>
      </c>
      <c r="D86" s="418">
        <v>0</v>
      </c>
      <c r="E86" s="427" t="s">
        <v>282</v>
      </c>
      <c r="F86" s="417">
        <v>49.999999999998998</v>
      </c>
      <c r="G86" s="418">
        <v>49.999999999998998</v>
      </c>
      <c r="H86" s="420">
        <v>0</v>
      </c>
      <c r="I86" s="417">
        <v>0</v>
      </c>
      <c r="J86" s="418">
        <v>-49.999999999998998</v>
      </c>
      <c r="K86" s="421">
        <v>0</v>
      </c>
    </row>
    <row r="87" spans="1:11" ht="14.4" customHeight="1" thickBot="1" x14ac:dyDescent="0.35">
      <c r="A87" s="436" t="s">
        <v>48</v>
      </c>
      <c r="B87" s="417">
        <v>13788.9962865823</v>
      </c>
      <c r="C87" s="417">
        <v>15172.78686</v>
      </c>
      <c r="D87" s="418">
        <v>1383.79057341772</v>
      </c>
      <c r="E87" s="419">
        <v>1.100354699113</v>
      </c>
      <c r="F87" s="417">
        <v>15104.0746745999</v>
      </c>
      <c r="G87" s="418">
        <v>15104.0746745999</v>
      </c>
      <c r="H87" s="420">
        <v>1225.3664000000001</v>
      </c>
      <c r="I87" s="417">
        <v>14736.4894</v>
      </c>
      <c r="J87" s="418">
        <v>-367.58527459994002</v>
      </c>
      <c r="K87" s="421">
        <v>0.97566317152600002</v>
      </c>
    </row>
    <row r="88" spans="1:11" ht="14.4" customHeight="1" thickBot="1" x14ac:dyDescent="0.35">
      <c r="A88" s="442" t="s">
        <v>362</v>
      </c>
      <c r="B88" s="422">
        <v>10226.9999999994</v>
      </c>
      <c r="C88" s="422">
        <v>11244.948</v>
      </c>
      <c r="D88" s="423">
        <v>1017.94800000057</v>
      </c>
      <c r="E88" s="429">
        <v>1.099535347609</v>
      </c>
      <c r="F88" s="422">
        <v>11196.9999999998</v>
      </c>
      <c r="G88" s="423">
        <v>11196.9999999998</v>
      </c>
      <c r="H88" s="425">
        <v>924.82899999999995</v>
      </c>
      <c r="I88" s="422">
        <v>10938.906999999999</v>
      </c>
      <c r="J88" s="423">
        <v>-258.09299999979299</v>
      </c>
      <c r="K88" s="430">
        <v>0.976949807984</v>
      </c>
    </row>
    <row r="89" spans="1:11" ht="14.4" customHeight="1" thickBot="1" x14ac:dyDescent="0.35">
      <c r="A89" s="438" t="s">
        <v>363</v>
      </c>
      <c r="B89" s="422">
        <v>10226.9999999994</v>
      </c>
      <c r="C89" s="422">
        <v>11221.867</v>
      </c>
      <c r="D89" s="423">
        <v>994.86700000056805</v>
      </c>
      <c r="E89" s="429">
        <v>1.097278478537</v>
      </c>
      <c r="F89" s="422">
        <v>11160.9999999998</v>
      </c>
      <c r="G89" s="423">
        <v>11160.9999999998</v>
      </c>
      <c r="H89" s="425">
        <v>924.82899999999995</v>
      </c>
      <c r="I89" s="422">
        <v>10912.656000000001</v>
      </c>
      <c r="J89" s="423">
        <v>-248.34399999979399</v>
      </c>
      <c r="K89" s="430">
        <v>0.97774894722600003</v>
      </c>
    </row>
    <row r="90" spans="1:11" ht="14.4" customHeight="1" thickBot="1" x14ac:dyDescent="0.35">
      <c r="A90" s="439" t="s">
        <v>364</v>
      </c>
      <c r="B90" s="417">
        <v>10226.9999999994</v>
      </c>
      <c r="C90" s="417">
        <v>11221.867</v>
      </c>
      <c r="D90" s="418">
        <v>994.86700000056805</v>
      </c>
      <c r="E90" s="419">
        <v>1.097278478537</v>
      </c>
      <c r="F90" s="417">
        <v>11160.9999999998</v>
      </c>
      <c r="G90" s="418">
        <v>11160.9999999998</v>
      </c>
      <c r="H90" s="420">
        <v>924.82899999999995</v>
      </c>
      <c r="I90" s="417">
        <v>10912.656000000001</v>
      </c>
      <c r="J90" s="418">
        <v>-248.34399999979399</v>
      </c>
      <c r="K90" s="421">
        <v>0.97774894722600003</v>
      </c>
    </row>
    <row r="91" spans="1:11" ht="14.4" customHeight="1" thickBot="1" x14ac:dyDescent="0.35">
      <c r="A91" s="438" t="s">
        <v>365</v>
      </c>
      <c r="B91" s="422">
        <v>0</v>
      </c>
      <c r="C91" s="422">
        <v>1.5</v>
      </c>
      <c r="D91" s="423">
        <v>1.5</v>
      </c>
      <c r="E91" s="424" t="s">
        <v>288</v>
      </c>
      <c r="F91" s="422">
        <v>0</v>
      </c>
      <c r="G91" s="423">
        <v>0</v>
      </c>
      <c r="H91" s="425">
        <v>0</v>
      </c>
      <c r="I91" s="422">
        <v>12.4</v>
      </c>
      <c r="J91" s="423">
        <v>12.4</v>
      </c>
      <c r="K91" s="426" t="s">
        <v>282</v>
      </c>
    </row>
    <row r="92" spans="1:11" ht="14.4" customHeight="1" thickBot="1" x14ac:dyDescent="0.35">
      <c r="A92" s="439" t="s">
        <v>366</v>
      </c>
      <c r="B92" s="417">
        <v>0</v>
      </c>
      <c r="C92" s="417">
        <v>1.5</v>
      </c>
      <c r="D92" s="418">
        <v>1.5</v>
      </c>
      <c r="E92" s="427" t="s">
        <v>288</v>
      </c>
      <c r="F92" s="417">
        <v>0</v>
      </c>
      <c r="G92" s="418">
        <v>0</v>
      </c>
      <c r="H92" s="420">
        <v>0</v>
      </c>
      <c r="I92" s="417">
        <v>12.4</v>
      </c>
      <c r="J92" s="418">
        <v>12.4</v>
      </c>
      <c r="K92" s="428" t="s">
        <v>282</v>
      </c>
    </row>
    <row r="93" spans="1:11" ht="14.4" customHeight="1" thickBot="1" x14ac:dyDescent="0.35">
      <c r="A93" s="438" t="s">
        <v>367</v>
      </c>
      <c r="B93" s="422">
        <v>0</v>
      </c>
      <c r="C93" s="422">
        <v>21.581</v>
      </c>
      <c r="D93" s="423">
        <v>21.581</v>
      </c>
      <c r="E93" s="424" t="s">
        <v>282</v>
      </c>
      <c r="F93" s="422">
        <v>35.999999999998998</v>
      </c>
      <c r="G93" s="423">
        <v>35.999999999998998</v>
      </c>
      <c r="H93" s="425">
        <v>0</v>
      </c>
      <c r="I93" s="422">
        <v>13.851000000000001</v>
      </c>
      <c r="J93" s="423">
        <v>-22.148999999998999</v>
      </c>
      <c r="K93" s="430">
        <v>0.38474999999999998</v>
      </c>
    </row>
    <row r="94" spans="1:11" ht="14.4" customHeight="1" thickBot="1" x14ac:dyDescent="0.35">
      <c r="A94" s="439" t="s">
        <v>368</v>
      </c>
      <c r="B94" s="417">
        <v>0</v>
      </c>
      <c r="C94" s="417">
        <v>21.581</v>
      </c>
      <c r="D94" s="418">
        <v>21.581</v>
      </c>
      <c r="E94" s="427" t="s">
        <v>282</v>
      </c>
      <c r="F94" s="417">
        <v>35.999999999998998</v>
      </c>
      <c r="G94" s="418">
        <v>35.999999999998998</v>
      </c>
      <c r="H94" s="420">
        <v>0</v>
      </c>
      <c r="I94" s="417">
        <v>13.851000000000001</v>
      </c>
      <c r="J94" s="418">
        <v>-22.148999999998999</v>
      </c>
      <c r="K94" s="421">
        <v>0.38474999999999998</v>
      </c>
    </row>
    <row r="95" spans="1:11" ht="14.4" customHeight="1" thickBot="1" x14ac:dyDescent="0.35">
      <c r="A95" s="437" t="s">
        <v>369</v>
      </c>
      <c r="B95" s="417">
        <v>3459.9962865828602</v>
      </c>
      <c r="C95" s="417">
        <v>3815.3982000000001</v>
      </c>
      <c r="D95" s="418">
        <v>355.401913417142</v>
      </c>
      <c r="E95" s="419">
        <v>1.1027174262570001</v>
      </c>
      <c r="F95" s="417">
        <v>3795.07467460015</v>
      </c>
      <c r="G95" s="418">
        <v>3795.07467460015</v>
      </c>
      <c r="H95" s="420">
        <v>291.28899999999999</v>
      </c>
      <c r="I95" s="417">
        <v>3688.2677800000001</v>
      </c>
      <c r="J95" s="418">
        <v>-106.80689460014899</v>
      </c>
      <c r="K95" s="421">
        <v>0.971856444534</v>
      </c>
    </row>
    <row r="96" spans="1:11" ht="14.4" customHeight="1" thickBot="1" x14ac:dyDescent="0.35">
      <c r="A96" s="438" t="s">
        <v>370</v>
      </c>
      <c r="B96" s="422">
        <v>915.99999294962402</v>
      </c>
      <c r="C96" s="422">
        <v>1009.95647</v>
      </c>
      <c r="D96" s="423">
        <v>93.956477050375995</v>
      </c>
      <c r="E96" s="429">
        <v>1.1025725739879999</v>
      </c>
      <c r="F96" s="422">
        <v>1004.07467460021</v>
      </c>
      <c r="G96" s="423">
        <v>1004.07467460021</v>
      </c>
      <c r="H96" s="425">
        <v>83.236000000000004</v>
      </c>
      <c r="I96" s="422">
        <v>982.43313000000001</v>
      </c>
      <c r="J96" s="423">
        <v>-21.641544600206998</v>
      </c>
      <c r="K96" s="430">
        <v>0.97844627979599996</v>
      </c>
    </row>
    <row r="97" spans="1:11" ht="14.4" customHeight="1" thickBot="1" x14ac:dyDescent="0.35">
      <c r="A97" s="439" t="s">
        <v>371</v>
      </c>
      <c r="B97" s="417">
        <v>915.99999294962402</v>
      </c>
      <c r="C97" s="417">
        <v>1009.95647</v>
      </c>
      <c r="D97" s="418">
        <v>93.956477050375995</v>
      </c>
      <c r="E97" s="419">
        <v>1.1025725739879999</v>
      </c>
      <c r="F97" s="417">
        <v>1004.07467460021</v>
      </c>
      <c r="G97" s="418">
        <v>1004.07467460021</v>
      </c>
      <c r="H97" s="420">
        <v>83.236000000000004</v>
      </c>
      <c r="I97" s="417">
        <v>982.43313000000001</v>
      </c>
      <c r="J97" s="418">
        <v>-21.641544600206998</v>
      </c>
      <c r="K97" s="421">
        <v>0.97844627979599996</v>
      </c>
    </row>
    <row r="98" spans="1:11" ht="14.4" customHeight="1" thickBot="1" x14ac:dyDescent="0.35">
      <c r="A98" s="438" t="s">
        <v>372</v>
      </c>
      <c r="B98" s="422">
        <v>2543.9962936332399</v>
      </c>
      <c r="C98" s="422">
        <v>2805.44173</v>
      </c>
      <c r="D98" s="423">
        <v>261.44543636676599</v>
      </c>
      <c r="E98" s="429">
        <v>1.102769582259</v>
      </c>
      <c r="F98" s="422">
        <v>2790.99999999994</v>
      </c>
      <c r="G98" s="423">
        <v>2790.99999999994</v>
      </c>
      <c r="H98" s="425">
        <v>208.053</v>
      </c>
      <c r="I98" s="422">
        <v>2705.8346499999998</v>
      </c>
      <c r="J98" s="423">
        <v>-85.165349999941995</v>
      </c>
      <c r="K98" s="430">
        <v>0.96948572196299998</v>
      </c>
    </row>
    <row r="99" spans="1:11" ht="14.4" customHeight="1" thickBot="1" x14ac:dyDescent="0.35">
      <c r="A99" s="439" t="s">
        <v>373</v>
      </c>
      <c r="B99" s="417">
        <v>2543.9962936332399</v>
      </c>
      <c r="C99" s="417">
        <v>2805.44173</v>
      </c>
      <c r="D99" s="418">
        <v>261.44543636676599</v>
      </c>
      <c r="E99" s="419">
        <v>1.102769582259</v>
      </c>
      <c r="F99" s="417">
        <v>2790.99999999994</v>
      </c>
      <c r="G99" s="418">
        <v>2790.99999999994</v>
      </c>
      <c r="H99" s="420">
        <v>208.053</v>
      </c>
      <c r="I99" s="417">
        <v>2705.8346499999998</v>
      </c>
      <c r="J99" s="418">
        <v>-85.165349999941995</v>
      </c>
      <c r="K99" s="421">
        <v>0.96948572196299998</v>
      </c>
    </row>
    <row r="100" spans="1:11" ht="14.4" customHeight="1" thickBot="1" x14ac:dyDescent="0.35">
      <c r="A100" s="437" t="s">
        <v>374</v>
      </c>
      <c r="B100" s="417">
        <v>101.999999999994</v>
      </c>
      <c r="C100" s="417">
        <v>112.44065999999999</v>
      </c>
      <c r="D100" s="418">
        <v>10.440660000005</v>
      </c>
      <c r="E100" s="419">
        <v>1.1023594117640001</v>
      </c>
      <c r="F100" s="417">
        <v>111.999999999998</v>
      </c>
      <c r="G100" s="418">
        <v>111.999999999998</v>
      </c>
      <c r="H100" s="420">
        <v>9.2484000000000002</v>
      </c>
      <c r="I100" s="417">
        <v>109.31462000000001</v>
      </c>
      <c r="J100" s="418">
        <v>-2.6853799999970001</v>
      </c>
      <c r="K100" s="421">
        <v>0.97602339285700002</v>
      </c>
    </row>
    <row r="101" spans="1:11" ht="14.4" customHeight="1" thickBot="1" x14ac:dyDescent="0.35">
      <c r="A101" s="438" t="s">
        <v>375</v>
      </c>
      <c r="B101" s="422">
        <v>101.999999999994</v>
      </c>
      <c r="C101" s="422">
        <v>112.44065999999999</v>
      </c>
      <c r="D101" s="423">
        <v>10.440660000005</v>
      </c>
      <c r="E101" s="429">
        <v>1.1023594117640001</v>
      </c>
      <c r="F101" s="422">
        <v>111.999999999998</v>
      </c>
      <c r="G101" s="423">
        <v>111.999999999998</v>
      </c>
      <c r="H101" s="425">
        <v>9.2484000000000002</v>
      </c>
      <c r="I101" s="422">
        <v>109.31462000000001</v>
      </c>
      <c r="J101" s="423">
        <v>-2.6853799999970001</v>
      </c>
      <c r="K101" s="430">
        <v>0.97602339285700002</v>
      </c>
    </row>
    <row r="102" spans="1:11" ht="14.4" customHeight="1" thickBot="1" x14ac:dyDescent="0.35">
      <c r="A102" s="439" t="s">
        <v>376</v>
      </c>
      <c r="B102" s="417">
        <v>101.999999999994</v>
      </c>
      <c r="C102" s="417">
        <v>112.44065999999999</v>
      </c>
      <c r="D102" s="418">
        <v>10.440660000005</v>
      </c>
      <c r="E102" s="419">
        <v>1.1023594117640001</v>
      </c>
      <c r="F102" s="417">
        <v>111.999999999998</v>
      </c>
      <c r="G102" s="418">
        <v>111.999999999998</v>
      </c>
      <c r="H102" s="420">
        <v>9.2484000000000002</v>
      </c>
      <c r="I102" s="417">
        <v>109.31462000000001</v>
      </c>
      <c r="J102" s="418">
        <v>-2.6853799999970001</v>
      </c>
      <c r="K102" s="421">
        <v>0.97602339285700002</v>
      </c>
    </row>
    <row r="103" spans="1:11" ht="14.4" customHeight="1" thickBot="1" x14ac:dyDescent="0.35">
      <c r="A103" s="436" t="s">
        <v>377</v>
      </c>
      <c r="B103" s="417">
        <v>0</v>
      </c>
      <c r="C103" s="417">
        <v>79.657390000000007</v>
      </c>
      <c r="D103" s="418">
        <v>79.657390000000007</v>
      </c>
      <c r="E103" s="427" t="s">
        <v>282</v>
      </c>
      <c r="F103" s="417">
        <v>0</v>
      </c>
      <c r="G103" s="418">
        <v>0</v>
      </c>
      <c r="H103" s="420">
        <v>24.231000000000002</v>
      </c>
      <c r="I103" s="417">
        <v>182.87844000000001</v>
      </c>
      <c r="J103" s="418">
        <v>182.87844000000001</v>
      </c>
      <c r="K103" s="428" t="s">
        <v>282</v>
      </c>
    </row>
    <row r="104" spans="1:11" ht="14.4" customHeight="1" thickBot="1" x14ac:dyDescent="0.35">
      <c r="A104" s="437" t="s">
        <v>378</v>
      </c>
      <c r="B104" s="417">
        <v>0</v>
      </c>
      <c r="C104" s="417">
        <v>2.3916400000000002</v>
      </c>
      <c r="D104" s="418">
        <v>2.3916400000000002</v>
      </c>
      <c r="E104" s="427" t="s">
        <v>288</v>
      </c>
      <c r="F104" s="417">
        <v>0</v>
      </c>
      <c r="G104" s="418">
        <v>0</v>
      </c>
      <c r="H104" s="420">
        <v>0</v>
      </c>
      <c r="I104" s="417">
        <v>0</v>
      </c>
      <c r="J104" s="418">
        <v>0</v>
      </c>
      <c r="K104" s="428" t="s">
        <v>282</v>
      </c>
    </row>
    <row r="105" spans="1:11" ht="14.4" customHeight="1" thickBot="1" x14ac:dyDescent="0.35">
      <c r="A105" s="438" t="s">
        <v>379</v>
      </c>
      <c r="B105" s="422">
        <v>0</v>
      </c>
      <c r="C105" s="422">
        <v>2.3916400000000002</v>
      </c>
      <c r="D105" s="423">
        <v>2.3916400000000002</v>
      </c>
      <c r="E105" s="424" t="s">
        <v>288</v>
      </c>
      <c r="F105" s="422">
        <v>0</v>
      </c>
      <c r="G105" s="423">
        <v>0</v>
      </c>
      <c r="H105" s="425">
        <v>0</v>
      </c>
      <c r="I105" s="422">
        <v>0</v>
      </c>
      <c r="J105" s="423">
        <v>0</v>
      </c>
      <c r="K105" s="426" t="s">
        <v>282</v>
      </c>
    </row>
    <row r="106" spans="1:11" ht="14.4" customHeight="1" thickBot="1" x14ac:dyDescent="0.35">
      <c r="A106" s="439" t="s">
        <v>380</v>
      </c>
      <c r="B106" s="417">
        <v>0</v>
      </c>
      <c r="C106" s="417">
        <v>2.3916400000000002</v>
      </c>
      <c r="D106" s="418">
        <v>2.3916400000000002</v>
      </c>
      <c r="E106" s="427" t="s">
        <v>288</v>
      </c>
      <c r="F106" s="417">
        <v>0</v>
      </c>
      <c r="G106" s="418">
        <v>0</v>
      </c>
      <c r="H106" s="420">
        <v>0</v>
      </c>
      <c r="I106" s="417">
        <v>0</v>
      </c>
      <c r="J106" s="418">
        <v>0</v>
      </c>
      <c r="K106" s="428" t="s">
        <v>282</v>
      </c>
    </row>
    <row r="107" spans="1:11" ht="14.4" customHeight="1" thickBot="1" x14ac:dyDescent="0.35">
      <c r="A107" s="437" t="s">
        <v>381</v>
      </c>
      <c r="B107" s="417">
        <v>0</v>
      </c>
      <c r="C107" s="417">
        <v>77.265749999999997</v>
      </c>
      <c r="D107" s="418">
        <v>77.265749999999997</v>
      </c>
      <c r="E107" s="427" t="s">
        <v>282</v>
      </c>
      <c r="F107" s="417">
        <v>0</v>
      </c>
      <c r="G107" s="418">
        <v>0</v>
      </c>
      <c r="H107" s="420">
        <v>24.231000000000002</v>
      </c>
      <c r="I107" s="417">
        <v>182.87844000000001</v>
      </c>
      <c r="J107" s="418">
        <v>182.87844000000001</v>
      </c>
      <c r="K107" s="428" t="s">
        <v>282</v>
      </c>
    </row>
    <row r="108" spans="1:11" ht="14.4" customHeight="1" thickBot="1" x14ac:dyDescent="0.35">
      <c r="A108" s="438" t="s">
        <v>382</v>
      </c>
      <c r="B108" s="422">
        <v>0</v>
      </c>
      <c r="C108" s="422">
        <v>36.530749999999998</v>
      </c>
      <c r="D108" s="423">
        <v>36.530749999999998</v>
      </c>
      <c r="E108" s="424" t="s">
        <v>282</v>
      </c>
      <c r="F108" s="422">
        <v>0</v>
      </c>
      <c r="G108" s="423">
        <v>0</v>
      </c>
      <c r="H108" s="425">
        <v>16.5</v>
      </c>
      <c r="I108" s="422">
        <v>111.54331999999999</v>
      </c>
      <c r="J108" s="423">
        <v>111.54331999999999</v>
      </c>
      <c r="K108" s="426" t="s">
        <v>282</v>
      </c>
    </row>
    <row r="109" spans="1:11" ht="14.4" customHeight="1" thickBot="1" x14ac:dyDescent="0.35">
      <c r="A109" s="439" t="s">
        <v>383</v>
      </c>
      <c r="B109" s="417">
        <v>0</v>
      </c>
      <c r="C109" s="417">
        <v>1.7669999999999999</v>
      </c>
      <c r="D109" s="418">
        <v>1.7669999999999999</v>
      </c>
      <c r="E109" s="427" t="s">
        <v>282</v>
      </c>
      <c r="F109" s="417">
        <v>0</v>
      </c>
      <c r="G109" s="418">
        <v>0</v>
      </c>
      <c r="H109" s="420">
        <v>0</v>
      </c>
      <c r="I109" s="417">
        <v>3.2342499999999998</v>
      </c>
      <c r="J109" s="418">
        <v>3.2342499999999998</v>
      </c>
      <c r="K109" s="428" t="s">
        <v>282</v>
      </c>
    </row>
    <row r="110" spans="1:11" ht="14.4" customHeight="1" thickBot="1" x14ac:dyDescent="0.35">
      <c r="A110" s="439" t="s">
        <v>384</v>
      </c>
      <c r="B110" s="417">
        <v>0</v>
      </c>
      <c r="C110" s="417">
        <v>7.829999999999</v>
      </c>
      <c r="D110" s="418">
        <v>7.829999999999</v>
      </c>
      <c r="E110" s="427" t="s">
        <v>282</v>
      </c>
      <c r="F110" s="417">
        <v>0</v>
      </c>
      <c r="G110" s="418">
        <v>0</v>
      </c>
      <c r="H110" s="420">
        <v>0</v>
      </c>
      <c r="I110" s="417">
        <v>8.2349999999999994</v>
      </c>
      <c r="J110" s="418">
        <v>8.2349999999999994</v>
      </c>
      <c r="K110" s="428" t="s">
        <v>282</v>
      </c>
    </row>
    <row r="111" spans="1:11" ht="14.4" customHeight="1" thickBot="1" x14ac:dyDescent="0.35">
      <c r="A111" s="439" t="s">
        <v>385</v>
      </c>
      <c r="B111" s="417">
        <v>0</v>
      </c>
      <c r="C111" s="417">
        <v>26.93375</v>
      </c>
      <c r="D111" s="418">
        <v>26.93375</v>
      </c>
      <c r="E111" s="427" t="s">
        <v>282</v>
      </c>
      <c r="F111" s="417">
        <v>0</v>
      </c>
      <c r="G111" s="418">
        <v>0</v>
      </c>
      <c r="H111" s="420">
        <v>16.5</v>
      </c>
      <c r="I111" s="417">
        <v>94.032979999999995</v>
      </c>
      <c r="J111" s="418">
        <v>94.032979999999995</v>
      </c>
      <c r="K111" s="428" t="s">
        <v>282</v>
      </c>
    </row>
    <row r="112" spans="1:11" ht="14.4" customHeight="1" thickBot="1" x14ac:dyDescent="0.35">
      <c r="A112" s="439" t="s">
        <v>386</v>
      </c>
      <c r="B112" s="417">
        <v>0</v>
      </c>
      <c r="C112" s="417">
        <v>0</v>
      </c>
      <c r="D112" s="418">
        <v>0</v>
      </c>
      <c r="E112" s="427" t="s">
        <v>282</v>
      </c>
      <c r="F112" s="417">
        <v>0</v>
      </c>
      <c r="G112" s="418">
        <v>0</v>
      </c>
      <c r="H112" s="420">
        <v>0</v>
      </c>
      <c r="I112" s="417">
        <v>0.60499999999999998</v>
      </c>
      <c r="J112" s="418">
        <v>0.60499999999999998</v>
      </c>
      <c r="K112" s="428" t="s">
        <v>288</v>
      </c>
    </row>
    <row r="113" spans="1:11" ht="14.4" customHeight="1" thickBot="1" x14ac:dyDescent="0.35">
      <c r="A113" s="439" t="s">
        <v>387</v>
      </c>
      <c r="B113" s="417">
        <v>0</v>
      </c>
      <c r="C113" s="417">
        <v>0</v>
      </c>
      <c r="D113" s="418">
        <v>0</v>
      </c>
      <c r="E113" s="419">
        <v>1</v>
      </c>
      <c r="F113" s="417">
        <v>0</v>
      </c>
      <c r="G113" s="418">
        <v>0</v>
      </c>
      <c r="H113" s="420">
        <v>0</v>
      </c>
      <c r="I113" s="417">
        <v>5.4360900000000001</v>
      </c>
      <c r="J113" s="418">
        <v>5.4360900000000001</v>
      </c>
      <c r="K113" s="428" t="s">
        <v>288</v>
      </c>
    </row>
    <row r="114" spans="1:11" ht="14.4" customHeight="1" thickBot="1" x14ac:dyDescent="0.35">
      <c r="A114" s="438" t="s">
        <v>388</v>
      </c>
      <c r="B114" s="422">
        <v>0</v>
      </c>
      <c r="C114" s="422">
        <v>0</v>
      </c>
      <c r="D114" s="423">
        <v>0</v>
      </c>
      <c r="E114" s="429">
        <v>1</v>
      </c>
      <c r="F114" s="422">
        <v>0</v>
      </c>
      <c r="G114" s="423">
        <v>0</v>
      </c>
      <c r="H114" s="425">
        <v>0</v>
      </c>
      <c r="I114" s="422">
        <v>2.3001200000000002</v>
      </c>
      <c r="J114" s="423">
        <v>2.3001200000000002</v>
      </c>
      <c r="K114" s="426" t="s">
        <v>288</v>
      </c>
    </row>
    <row r="115" spans="1:11" ht="14.4" customHeight="1" thickBot="1" x14ac:dyDescent="0.35">
      <c r="A115" s="439" t="s">
        <v>389</v>
      </c>
      <c r="B115" s="417">
        <v>0</v>
      </c>
      <c r="C115" s="417">
        <v>0</v>
      </c>
      <c r="D115" s="418">
        <v>0</v>
      </c>
      <c r="E115" s="419">
        <v>1</v>
      </c>
      <c r="F115" s="417">
        <v>0</v>
      </c>
      <c r="G115" s="418">
        <v>0</v>
      </c>
      <c r="H115" s="420">
        <v>0</v>
      </c>
      <c r="I115" s="417">
        <v>2.3001200000000002</v>
      </c>
      <c r="J115" s="418">
        <v>2.3001200000000002</v>
      </c>
      <c r="K115" s="428" t="s">
        <v>288</v>
      </c>
    </row>
    <row r="116" spans="1:11" ht="14.4" customHeight="1" thickBot="1" x14ac:dyDescent="0.35">
      <c r="A116" s="441" t="s">
        <v>390</v>
      </c>
      <c r="B116" s="417">
        <v>0</v>
      </c>
      <c r="C116" s="417">
        <v>22.85</v>
      </c>
      <c r="D116" s="418">
        <v>22.85</v>
      </c>
      <c r="E116" s="427" t="s">
        <v>282</v>
      </c>
      <c r="F116" s="417">
        <v>0</v>
      </c>
      <c r="G116" s="418">
        <v>0</v>
      </c>
      <c r="H116" s="420">
        <v>2</v>
      </c>
      <c r="I116" s="417">
        <v>13.6</v>
      </c>
      <c r="J116" s="418">
        <v>13.6</v>
      </c>
      <c r="K116" s="428" t="s">
        <v>282</v>
      </c>
    </row>
    <row r="117" spans="1:11" ht="14.4" customHeight="1" thickBot="1" x14ac:dyDescent="0.35">
      <c r="A117" s="439" t="s">
        <v>391</v>
      </c>
      <c r="B117" s="417">
        <v>0</v>
      </c>
      <c r="C117" s="417">
        <v>22.85</v>
      </c>
      <c r="D117" s="418">
        <v>22.85</v>
      </c>
      <c r="E117" s="427" t="s">
        <v>282</v>
      </c>
      <c r="F117" s="417">
        <v>0</v>
      </c>
      <c r="G117" s="418">
        <v>0</v>
      </c>
      <c r="H117" s="420">
        <v>2</v>
      </c>
      <c r="I117" s="417">
        <v>13.6</v>
      </c>
      <c r="J117" s="418">
        <v>13.6</v>
      </c>
      <c r="K117" s="428" t="s">
        <v>282</v>
      </c>
    </row>
    <row r="118" spans="1:11" ht="14.4" customHeight="1" thickBot="1" x14ac:dyDescent="0.35">
      <c r="A118" s="441" t="s">
        <v>392</v>
      </c>
      <c r="B118" s="417">
        <v>0</v>
      </c>
      <c r="C118" s="417">
        <v>13.859</v>
      </c>
      <c r="D118" s="418">
        <v>13.859</v>
      </c>
      <c r="E118" s="427" t="s">
        <v>288</v>
      </c>
      <c r="F118" s="417">
        <v>0</v>
      </c>
      <c r="G118" s="418">
        <v>0</v>
      </c>
      <c r="H118" s="420">
        <v>5.7309999999999999</v>
      </c>
      <c r="I118" s="417">
        <v>16.981999999999999</v>
      </c>
      <c r="J118" s="418">
        <v>16.981999999999999</v>
      </c>
      <c r="K118" s="428" t="s">
        <v>282</v>
      </c>
    </row>
    <row r="119" spans="1:11" ht="14.4" customHeight="1" thickBot="1" x14ac:dyDescent="0.35">
      <c r="A119" s="439" t="s">
        <v>393</v>
      </c>
      <c r="B119" s="417">
        <v>0</v>
      </c>
      <c r="C119" s="417">
        <v>13.859</v>
      </c>
      <c r="D119" s="418">
        <v>13.859</v>
      </c>
      <c r="E119" s="427" t="s">
        <v>288</v>
      </c>
      <c r="F119" s="417">
        <v>0</v>
      </c>
      <c r="G119" s="418">
        <v>0</v>
      </c>
      <c r="H119" s="420">
        <v>5.7309999999999999</v>
      </c>
      <c r="I119" s="417">
        <v>16.981999999999999</v>
      </c>
      <c r="J119" s="418">
        <v>16.981999999999999</v>
      </c>
      <c r="K119" s="428" t="s">
        <v>282</v>
      </c>
    </row>
    <row r="120" spans="1:11" ht="14.4" customHeight="1" thickBot="1" x14ac:dyDescent="0.35">
      <c r="A120" s="441" t="s">
        <v>394</v>
      </c>
      <c r="B120" s="417">
        <v>0</v>
      </c>
      <c r="C120" s="417">
        <v>0</v>
      </c>
      <c r="D120" s="418">
        <v>0</v>
      </c>
      <c r="E120" s="419">
        <v>1</v>
      </c>
      <c r="F120" s="417">
        <v>0</v>
      </c>
      <c r="G120" s="418">
        <v>0</v>
      </c>
      <c r="H120" s="420">
        <v>0</v>
      </c>
      <c r="I120" s="417">
        <v>38.453000000000003</v>
      </c>
      <c r="J120" s="418">
        <v>38.453000000000003</v>
      </c>
      <c r="K120" s="428" t="s">
        <v>288</v>
      </c>
    </row>
    <row r="121" spans="1:11" ht="14.4" customHeight="1" thickBot="1" x14ac:dyDescent="0.35">
      <c r="A121" s="439" t="s">
        <v>395</v>
      </c>
      <c r="B121" s="417">
        <v>0</v>
      </c>
      <c r="C121" s="417">
        <v>0</v>
      </c>
      <c r="D121" s="418">
        <v>0</v>
      </c>
      <c r="E121" s="419">
        <v>1</v>
      </c>
      <c r="F121" s="417">
        <v>0</v>
      </c>
      <c r="G121" s="418">
        <v>0</v>
      </c>
      <c r="H121" s="420">
        <v>0</v>
      </c>
      <c r="I121" s="417">
        <v>38.453000000000003</v>
      </c>
      <c r="J121" s="418">
        <v>38.453000000000003</v>
      </c>
      <c r="K121" s="428" t="s">
        <v>288</v>
      </c>
    </row>
    <row r="122" spans="1:11" ht="14.4" customHeight="1" thickBot="1" x14ac:dyDescent="0.35">
      <c r="A122" s="438" t="s">
        <v>396</v>
      </c>
      <c r="B122" s="422">
        <v>0</v>
      </c>
      <c r="C122" s="422">
        <v>4.0259999999999998</v>
      </c>
      <c r="D122" s="423">
        <v>4.0259999999999998</v>
      </c>
      <c r="E122" s="424" t="s">
        <v>282</v>
      </c>
      <c r="F122" s="422">
        <v>0</v>
      </c>
      <c r="G122" s="423">
        <v>0</v>
      </c>
      <c r="H122" s="425">
        <v>0</v>
      </c>
      <c r="I122" s="422">
        <v>0</v>
      </c>
      <c r="J122" s="423">
        <v>0</v>
      </c>
      <c r="K122" s="426" t="s">
        <v>282</v>
      </c>
    </row>
    <row r="123" spans="1:11" ht="14.4" customHeight="1" thickBot="1" x14ac:dyDescent="0.35">
      <c r="A123" s="439" t="s">
        <v>397</v>
      </c>
      <c r="B123" s="417">
        <v>0</v>
      </c>
      <c r="C123" s="417">
        <v>4.0259999999999998</v>
      </c>
      <c r="D123" s="418">
        <v>4.0259999999999998</v>
      </c>
      <c r="E123" s="427" t="s">
        <v>288</v>
      </c>
      <c r="F123" s="417">
        <v>0</v>
      </c>
      <c r="G123" s="418">
        <v>0</v>
      </c>
      <c r="H123" s="420">
        <v>0</v>
      </c>
      <c r="I123" s="417">
        <v>0</v>
      </c>
      <c r="J123" s="418">
        <v>0</v>
      </c>
      <c r="K123" s="428" t="s">
        <v>282</v>
      </c>
    </row>
    <row r="124" spans="1:11" ht="14.4" customHeight="1" thickBot="1" x14ac:dyDescent="0.35">
      <c r="A124" s="436" t="s">
        <v>398</v>
      </c>
      <c r="B124" s="417">
        <v>2768.9999999998499</v>
      </c>
      <c r="C124" s="417">
        <v>2971.6813000000002</v>
      </c>
      <c r="D124" s="418">
        <v>202.68130000015299</v>
      </c>
      <c r="E124" s="419">
        <v>1.0731965691580001</v>
      </c>
      <c r="F124" s="417">
        <v>2871.9811064957298</v>
      </c>
      <c r="G124" s="418">
        <v>2871.9811064957298</v>
      </c>
      <c r="H124" s="420">
        <v>171.208</v>
      </c>
      <c r="I124" s="417">
        <v>2496.9569299999998</v>
      </c>
      <c r="J124" s="418">
        <v>-375.02417649573198</v>
      </c>
      <c r="K124" s="421">
        <v>0.86941969233399996</v>
      </c>
    </row>
    <row r="125" spans="1:11" ht="14.4" customHeight="1" thickBot="1" x14ac:dyDescent="0.35">
      <c r="A125" s="437" t="s">
        <v>399</v>
      </c>
      <c r="B125" s="417">
        <v>2768.9999999998499</v>
      </c>
      <c r="C125" s="417">
        <v>2813.3939999999998</v>
      </c>
      <c r="D125" s="418">
        <v>44.394000000153</v>
      </c>
      <c r="E125" s="419">
        <v>1.0160325027079999</v>
      </c>
      <c r="F125" s="417">
        <v>2821.9811064957298</v>
      </c>
      <c r="G125" s="418">
        <v>2821.9811064957298</v>
      </c>
      <c r="H125" s="420">
        <v>171.208</v>
      </c>
      <c r="I125" s="417">
        <v>2440.8539999999998</v>
      </c>
      <c r="J125" s="418">
        <v>-381.12710649573199</v>
      </c>
      <c r="K125" s="421">
        <v>0.86494342374599997</v>
      </c>
    </row>
    <row r="126" spans="1:11" ht="14.4" customHeight="1" thickBot="1" x14ac:dyDescent="0.35">
      <c r="A126" s="438" t="s">
        <v>400</v>
      </c>
      <c r="B126" s="422">
        <v>2768.9999999998499</v>
      </c>
      <c r="C126" s="422">
        <v>2813.3939999999998</v>
      </c>
      <c r="D126" s="423">
        <v>44.394000000153</v>
      </c>
      <c r="E126" s="429">
        <v>1.0160325027079999</v>
      </c>
      <c r="F126" s="422">
        <v>2821.9811064957298</v>
      </c>
      <c r="G126" s="423">
        <v>2821.9811064957298</v>
      </c>
      <c r="H126" s="425">
        <v>171.208</v>
      </c>
      <c r="I126" s="422">
        <v>2440.8539999999998</v>
      </c>
      <c r="J126" s="423">
        <v>-381.12710649573199</v>
      </c>
      <c r="K126" s="430">
        <v>0.86494342374599997</v>
      </c>
    </row>
    <row r="127" spans="1:11" ht="14.4" customHeight="1" thickBot="1" x14ac:dyDescent="0.35">
      <c r="A127" s="439" t="s">
        <v>401</v>
      </c>
      <c r="B127" s="417">
        <v>48.999999999997002</v>
      </c>
      <c r="C127" s="417">
        <v>49.436</v>
      </c>
      <c r="D127" s="418">
        <v>0.43600000000200001</v>
      </c>
      <c r="E127" s="419">
        <v>1.0088979591830001</v>
      </c>
      <c r="F127" s="417">
        <v>41.999999999998998</v>
      </c>
      <c r="G127" s="418">
        <v>41.999999999998998</v>
      </c>
      <c r="H127" s="420">
        <v>3.528</v>
      </c>
      <c r="I127" s="417">
        <v>42.335999999999999</v>
      </c>
      <c r="J127" s="418">
        <v>0.33600000000000002</v>
      </c>
      <c r="K127" s="421">
        <v>1.008</v>
      </c>
    </row>
    <row r="128" spans="1:11" ht="14.4" customHeight="1" thickBot="1" x14ac:dyDescent="0.35">
      <c r="A128" s="439" t="s">
        <v>402</v>
      </c>
      <c r="B128" s="417">
        <v>414.99999999997698</v>
      </c>
      <c r="C128" s="417">
        <v>464.714</v>
      </c>
      <c r="D128" s="418">
        <v>49.714000000022999</v>
      </c>
      <c r="E128" s="419">
        <v>1.1197927710840001</v>
      </c>
      <c r="F128" s="417">
        <v>473.98116808502499</v>
      </c>
      <c r="G128" s="418">
        <v>473.98116808502499</v>
      </c>
      <c r="H128" s="420">
        <v>35.131999999999998</v>
      </c>
      <c r="I128" s="417">
        <v>452.29300000000001</v>
      </c>
      <c r="J128" s="418">
        <v>-21.688168085024</v>
      </c>
      <c r="K128" s="421">
        <v>0.95424255319499995</v>
      </c>
    </row>
    <row r="129" spans="1:11" ht="14.4" customHeight="1" thickBot="1" x14ac:dyDescent="0.35">
      <c r="A129" s="439" t="s">
        <v>403</v>
      </c>
      <c r="B129" s="417">
        <v>2299.9999999998699</v>
      </c>
      <c r="C129" s="417">
        <v>2294.0770000000002</v>
      </c>
      <c r="D129" s="418">
        <v>-5.9229999998730003</v>
      </c>
      <c r="E129" s="419">
        <v>0.99742478260800005</v>
      </c>
      <c r="F129" s="417">
        <v>2300.99999999996</v>
      </c>
      <c r="G129" s="418">
        <v>2300.99999999996</v>
      </c>
      <c r="H129" s="420">
        <v>132.15700000000001</v>
      </c>
      <c r="I129" s="417">
        <v>1941.19</v>
      </c>
      <c r="J129" s="418">
        <v>-359.80999999995799</v>
      </c>
      <c r="K129" s="421">
        <v>0.84362885701799994</v>
      </c>
    </row>
    <row r="130" spans="1:11" ht="14.4" customHeight="1" thickBot="1" x14ac:dyDescent="0.35">
      <c r="A130" s="439" t="s">
        <v>404</v>
      </c>
      <c r="B130" s="417">
        <v>4.9999999999989999</v>
      </c>
      <c r="C130" s="417">
        <v>5.1669999999999998</v>
      </c>
      <c r="D130" s="418">
        <v>0.16700000000000001</v>
      </c>
      <c r="E130" s="419">
        <v>1.0334000000000001</v>
      </c>
      <c r="F130" s="417">
        <v>4.9999384107499996</v>
      </c>
      <c r="G130" s="418">
        <v>4.9999384107499996</v>
      </c>
      <c r="H130" s="420">
        <v>0.39100000000000001</v>
      </c>
      <c r="I130" s="417">
        <v>5.0350000000000001</v>
      </c>
      <c r="J130" s="418">
        <v>3.5061589248999998E-2</v>
      </c>
      <c r="K130" s="421">
        <v>1.0070124042269999</v>
      </c>
    </row>
    <row r="131" spans="1:11" ht="14.4" customHeight="1" thickBot="1" x14ac:dyDescent="0.35">
      <c r="A131" s="437" t="s">
        <v>405</v>
      </c>
      <c r="B131" s="417">
        <v>0</v>
      </c>
      <c r="C131" s="417">
        <v>158.28730000000101</v>
      </c>
      <c r="D131" s="418">
        <v>158.28730000000101</v>
      </c>
      <c r="E131" s="427" t="s">
        <v>282</v>
      </c>
      <c r="F131" s="417">
        <v>50</v>
      </c>
      <c r="G131" s="418">
        <v>50</v>
      </c>
      <c r="H131" s="420">
        <v>0</v>
      </c>
      <c r="I131" s="417">
        <v>56.102930000000001</v>
      </c>
      <c r="J131" s="418">
        <v>6.1029299999999997</v>
      </c>
      <c r="K131" s="421">
        <v>1.1220585999999999</v>
      </c>
    </row>
    <row r="132" spans="1:11" ht="14.4" customHeight="1" thickBot="1" x14ac:dyDescent="0.35">
      <c r="A132" s="438" t="s">
        <v>406</v>
      </c>
      <c r="B132" s="422">
        <v>0</v>
      </c>
      <c r="C132" s="422">
        <v>141.040300000001</v>
      </c>
      <c r="D132" s="423">
        <v>141.040300000001</v>
      </c>
      <c r="E132" s="424" t="s">
        <v>282</v>
      </c>
      <c r="F132" s="422">
        <v>50</v>
      </c>
      <c r="G132" s="423">
        <v>50</v>
      </c>
      <c r="H132" s="425">
        <v>0</v>
      </c>
      <c r="I132" s="422">
        <v>50.21293</v>
      </c>
      <c r="J132" s="423">
        <v>0.21293000000000001</v>
      </c>
      <c r="K132" s="430">
        <v>1.0042586</v>
      </c>
    </row>
    <row r="133" spans="1:11" ht="14.4" customHeight="1" thickBot="1" x14ac:dyDescent="0.35">
      <c r="A133" s="439" t="s">
        <v>407</v>
      </c>
      <c r="B133" s="417">
        <v>0</v>
      </c>
      <c r="C133" s="417">
        <v>141.040300000001</v>
      </c>
      <c r="D133" s="418">
        <v>141.040300000001</v>
      </c>
      <c r="E133" s="427" t="s">
        <v>282</v>
      </c>
      <c r="F133" s="417">
        <v>50</v>
      </c>
      <c r="G133" s="418">
        <v>50</v>
      </c>
      <c r="H133" s="420">
        <v>0</v>
      </c>
      <c r="I133" s="417">
        <v>50.21293</v>
      </c>
      <c r="J133" s="418">
        <v>0.21293000000000001</v>
      </c>
      <c r="K133" s="421">
        <v>1.0042586</v>
      </c>
    </row>
    <row r="134" spans="1:11" ht="14.4" customHeight="1" thickBot="1" x14ac:dyDescent="0.35">
      <c r="A134" s="438" t="s">
        <v>408</v>
      </c>
      <c r="B134" s="422">
        <v>0</v>
      </c>
      <c r="C134" s="422">
        <v>17.247</v>
      </c>
      <c r="D134" s="423">
        <v>17.247</v>
      </c>
      <c r="E134" s="424" t="s">
        <v>282</v>
      </c>
      <c r="F134" s="422">
        <v>0</v>
      </c>
      <c r="G134" s="423">
        <v>0</v>
      </c>
      <c r="H134" s="425">
        <v>0</v>
      </c>
      <c r="I134" s="422">
        <v>5.89</v>
      </c>
      <c r="J134" s="423">
        <v>5.89</v>
      </c>
      <c r="K134" s="426" t="s">
        <v>282</v>
      </c>
    </row>
    <row r="135" spans="1:11" ht="14.4" customHeight="1" thickBot="1" x14ac:dyDescent="0.35">
      <c r="A135" s="439" t="s">
        <v>409</v>
      </c>
      <c r="B135" s="417">
        <v>0</v>
      </c>
      <c r="C135" s="417">
        <v>17.247</v>
      </c>
      <c r="D135" s="418">
        <v>17.247</v>
      </c>
      <c r="E135" s="427" t="s">
        <v>282</v>
      </c>
      <c r="F135" s="417">
        <v>0</v>
      </c>
      <c r="G135" s="418">
        <v>0</v>
      </c>
      <c r="H135" s="420">
        <v>0</v>
      </c>
      <c r="I135" s="417">
        <v>5.89</v>
      </c>
      <c r="J135" s="418">
        <v>5.89</v>
      </c>
      <c r="K135" s="428" t="s">
        <v>282</v>
      </c>
    </row>
    <row r="136" spans="1:11" ht="14.4" customHeight="1" thickBot="1" x14ac:dyDescent="0.35">
      <c r="A136" s="436" t="s">
        <v>410</v>
      </c>
      <c r="B136" s="417">
        <v>0</v>
      </c>
      <c r="C136" s="417">
        <v>1.0579700000000001</v>
      </c>
      <c r="D136" s="418">
        <v>1.0579700000000001</v>
      </c>
      <c r="E136" s="427" t="s">
        <v>282</v>
      </c>
      <c r="F136" s="417">
        <v>0</v>
      </c>
      <c r="G136" s="418">
        <v>0</v>
      </c>
      <c r="H136" s="420">
        <v>0</v>
      </c>
      <c r="I136" s="417">
        <v>1.43598</v>
      </c>
      <c r="J136" s="418">
        <v>1.43598</v>
      </c>
      <c r="K136" s="428" t="s">
        <v>282</v>
      </c>
    </row>
    <row r="137" spans="1:11" ht="14.4" customHeight="1" thickBot="1" x14ac:dyDescent="0.35">
      <c r="A137" s="437" t="s">
        <v>411</v>
      </c>
      <c r="B137" s="417">
        <v>0</v>
      </c>
      <c r="C137" s="417">
        <v>1.0579700000000001</v>
      </c>
      <c r="D137" s="418">
        <v>1.0579700000000001</v>
      </c>
      <c r="E137" s="427" t="s">
        <v>282</v>
      </c>
      <c r="F137" s="417">
        <v>0</v>
      </c>
      <c r="G137" s="418">
        <v>0</v>
      </c>
      <c r="H137" s="420">
        <v>0</v>
      </c>
      <c r="I137" s="417">
        <v>1.43598</v>
      </c>
      <c r="J137" s="418">
        <v>1.43598</v>
      </c>
      <c r="K137" s="428" t="s">
        <v>282</v>
      </c>
    </row>
    <row r="138" spans="1:11" ht="14.4" customHeight="1" thickBot="1" x14ac:dyDescent="0.35">
      <c r="A138" s="438" t="s">
        <v>412</v>
      </c>
      <c r="B138" s="422">
        <v>0</v>
      </c>
      <c r="C138" s="422">
        <v>1.0579700000000001</v>
      </c>
      <c r="D138" s="423">
        <v>1.0579700000000001</v>
      </c>
      <c r="E138" s="424" t="s">
        <v>282</v>
      </c>
      <c r="F138" s="422">
        <v>0</v>
      </c>
      <c r="G138" s="423">
        <v>0</v>
      </c>
      <c r="H138" s="425">
        <v>0</v>
      </c>
      <c r="I138" s="422">
        <v>1.43598</v>
      </c>
      <c r="J138" s="423">
        <v>1.43598</v>
      </c>
      <c r="K138" s="426" t="s">
        <v>282</v>
      </c>
    </row>
    <row r="139" spans="1:11" ht="14.4" customHeight="1" thickBot="1" x14ac:dyDescent="0.35">
      <c r="A139" s="439" t="s">
        <v>413</v>
      </c>
      <c r="B139" s="417">
        <v>0</v>
      </c>
      <c r="C139" s="417">
        <v>1.0579700000000001</v>
      </c>
      <c r="D139" s="418">
        <v>1.0579700000000001</v>
      </c>
      <c r="E139" s="427" t="s">
        <v>282</v>
      </c>
      <c r="F139" s="417">
        <v>0</v>
      </c>
      <c r="G139" s="418">
        <v>0</v>
      </c>
      <c r="H139" s="420">
        <v>0</v>
      </c>
      <c r="I139" s="417">
        <v>1.43598</v>
      </c>
      <c r="J139" s="418">
        <v>1.43598</v>
      </c>
      <c r="K139" s="428" t="s">
        <v>282</v>
      </c>
    </row>
    <row r="140" spans="1:11" ht="14.4" customHeight="1" thickBot="1" x14ac:dyDescent="0.35">
      <c r="A140" s="435" t="s">
        <v>414</v>
      </c>
      <c r="B140" s="417">
        <v>49583.175138640603</v>
      </c>
      <c r="C140" s="417">
        <v>51664.219680000002</v>
      </c>
      <c r="D140" s="418">
        <v>2081.0445413594298</v>
      </c>
      <c r="E140" s="419">
        <v>1.0419707801189999</v>
      </c>
      <c r="F140" s="417">
        <v>52299.513625355699</v>
      </c>
      <c r="G140" s="418">
        <v>52299.513625355699</v>
      </c>
      <c r="H140" s="420">
        <v>3460.1478000000002</v>
      </c>
      <c r="I140" s="417">
        <v>60730.06609</v>
      </c>
      <c r="J140" s="418">
        <v>8430.55246464433</v>
      </c>
      <c r="K140" s="421">
        <v>1.161197530918</v>
      </c>
    </row>
    <row r="141" spans="1:11" ht="14.4" customHeight="1" thickBot="1" x14ac:dyDescent="0.35">
      <c r="A141" s="436" t="s">
        <v>415</v>
      </c>
      <c r="B141" s="417">
        <v>49416.8747250948</v>
      </c>
      <c r="C141" s="417">
        <v>51005.718200000003</v>
      </c>
      <c r="D141" s="418">
        <v>1588.8434749052401</v>
      </c>
      <c r="E141" s="419">
        <v>1.032151840514</v>
      </c>
      <c r="F141" s="417">
        <v>52281.843154549199</v>
      </c>
      <c r="G141" s="418">
        <v>52281.843154549199</v>
      </c>
      <c r="H141" s="420">
        <v>3448.5569799999998</v>
      </c>
      <c r="I141" s="417">
        <v>60666.476089999996</v>
      </c>
      <c r="J141" s="418">
        <v>8384.6329354507507</v>
      </c>
      <c r="K141" s="421">
        <v>1.160373705851</v>
      </c>
    </row>
    <row r="142" spans="1:11" ht="14.4" customHeight="1" thickBot="1" x14ac:dyDescent="0.35">
      <c r="A142" s="437" t="s">
        <v>416</v>
      </c>
      <c r="B142" s="417">
        <v>49416.8747250948</v>
      </c>
      <c r="C142" s="417">
        <v>51005.718200000003</v>
      </c>
      <c r="D142" s="418">
        <v>1588.8434749052401</v>
      </c>
      <c r="E142" s="419">
        <v>1.032151840514</v>
      </c>
      <c r="F142" s="417">
        <v>52281.843154549199</v>
      </c>
      <c r="G142" s="418">
        <v>52281.843154549199</v>
      </c>
      <c r="H142" s="420">
        <v>3448.5569799999998</v>
      </c>
      <c r="I142" s="417">
        <v>60666.476089999996</v>
      </c>
      <c r="J142" s="418">
        <v>8384.6329354507507</v>
      </c>
      <c r="K142" s="421">
        <v>1.160373705851</v>
      </c>
    </row>
    <row r="143" spans="1:11" ht="14.4" customHeight="1" thickBot="1" x14ac:dyDescent="0.35">
      <c r="A143" s="438" t="s">
        <v>417</v>
      </c>
      <c r="B143" s="422">
        <v>175.87510833331399</v>
      </c>
      <c r="C143" s="422">
        <v>678.56201999999996</v>
      </c>
      <c r="D143" s="423">
        <v>502.686911666686</v>
      </c>
      <c r="E143" s="429">
        <v>3.858203849483</v>
      </c>
      <c r="F143" s="422">
        <v>523.84315454924194</v>
      </c>
      <c r="G143" s="423">
        <v>523.84315454924194</v>
      </c>
      <c r="H143" s="425">
        <v>0</v>
      </c>
      <c r="I143" s="422">
        <v>370.05417999999997</v>
      </c>
      <c r="J143" s="423">
        <v>-153.788974549242</v>
      </c>
      <c r="K143" s="430">
        <v>0.70642171571000001</v>
      </c>
    </row>
    <row r="144" spans="1:11" ht="14.4" customHeight="1" thickBot="1" x14ac:dyDescent="0.35">
      <c r="A144" s="439" t="s">
        <v>418</v>
      </c>
      <c r="B144" s="417">
        <v>32.230134261220996</v>
      </c>
      <c r="C144" s="417">
        <v>382.94152000000003</v>
      </c>
      <c r="D144" s="418">
        <v>350.71138573877801</v>
      </c>
      <c r="E144" s="419">
        <v>11.881474550999</v>
      </c>
      <c r="F144" s="417">
        <v>286.764656544758</v>
      </c>
      <c r="G144" s="418">
        <v>286.764656544758</v>
      </c>
      <c r="H144" s="420">
        <v>0</v>
      </c>
      <c r="I144" s="417">
        <v>177.20684</v>
      </c>
      <c r="J144" s="418">
        <v>-109.557816544758</v>
      </c>
      <c r="K144" s="421">
        <v>0.61795216375299999</v>
      </c>
    </row>
    <row r="145" spans="1:11" ht="14.4" customHeight="1" thickBot="1" x14ac:dyDescent="0.35">
      <c r="A145" s="439" t="s">
        <v>419</v>
      </c>
      <c r="B145" s="417">
        <v>4.0272381247729996</v>
      </c>
      <c r="C145" s="417">
        <v>4.1294399999999998</v>
      </c>
      <c r="D145" s="418">
        <v>0.10220187522599999</v>
      </c>
      <c r="E145" s="419">
        <v>1.0253776588470001</v>
      </c>
      <c r="F145" s="417">
        <v>4.8157673596199997</v>
      </c>
      <c r="G145" s="418">
        <v>4.8157673596199997</v>
      </c>
      <c r="H145" s="420">
        <v>0</v>
      </c>
      <c r="I145" s="417">
        <v>0</v>
      </c>
      <c r="J145" s="418">
        <v>-4.8157673596199997</v>
      </c>
      <c r="K145" s="421">
        <v>0</v>
      </c>
    </row>
    <row r="146" spans="1:11" ht="14.4" customHeight="1" thickBot="1" x14ac:dyDescent="0.35">
      <c r="A146" s="439" t="s">
        <v>420</v>
      </c>
      <c r="B146" s="417">
        <v>139.61773594731901</v>
      </c>
      <c r="C146" s="417">
        <v>291.49106</v>
      </c>
      <c r="D146" s="418">
        <v>151.873324052681</v>
      </c>
      <c r="E146" s="419">
        <v>2.087779593489</v>
      </c>
      <c r="F146" s="417">
        <v>232.26273064486401</v>
      </c>
      <c r="G146" s="418">
        <v>232.26273064486401</v>
      </c>
      <c r="H146" s="420">
        <v>0</v>
      </c>
      <c r="I146" s="417">
        <v>192.84734</v>
      </c>
      <c r="J146" s="418">
        <v>-39.415390644863002</v>
      </c>
      <c r="K146" s="421">
        <v>0.83029825518900002</v>
      </c>
    </row>
    <row r="147" spans="1:11" ht="14.4" customHeight="1" thickBot="1" x14ac:dyDescent="0.35">
      <c r="A147" s="438" t="s">
        <v>421</v>
      </c>
      <c r="B147" s="422">
        <v>6.0000267389689999</v>
      </c>
      <c r="C147" s="422">
        <v>60.861170000000001</v>
      </c>
      <c r="D147" s="423">
        <v>54.861143261030001</v>
      </c>
      <c r="E147" s="429">
        <v>10.143483128951001</v>
      </c>
      <c r="F147" s="422">
        <v>0</v>
      </c>
      <c r="G147" s="423">
        <v>0</v>
      </c>
      <c r="H147" s="425">
        <v>0.27332000000000001</v>
      </c>
      <c r="I147" s="422">
        <v>6.6675000000000004</v>
      </c>
      <c r="J147" s="423">
        <v>6.6675000000000004</v>
      </c>
      <c r="K147" s="426" t="s">
        <v>282</v>
      </c>
    </row>
    <row r="148" spans="1:11" ht="14.4" customHeight="1" thickBot="1" x14ac:dyDescent="0.35">
      <c r="A148" s="439" t="s">
        <v>422</v>
      </c>
      <c r="B148" s="417">
        <v>2.000027896173</v>
      </c>
      <c r="C148" s="417">
        <v>59.094569999999997</v>
      </c>
      <c r="D148" s="418">
        <v>57.094542103826001</v>
      </c>
      <c r="E148" s="419">
        <v>29.546872877651001</v>
      </c>
      <c r="F148" s="417">
        <v>0</v>
      </c>
      <c r="G148" s="418">
        <v>0</v>
      </c>
      <c r="H148" s="420">
        <v>0.27332000000000001</v>
      </c>
      <c r="I148" s="417">
        <v>6.6675000000000004</v>
      </c>
      <c r="J148" s="418">
        <v>6.6675000000000004</v>
      </c>
      <c r="K148" s="428" t="s">
        <v>282</v>
      </c>
    </row>
    <row r="149" spans="1:11" ht="14.4" customHeight="1" thickBot="1" x14ac:dyDescent="0.35">
      <c r="A149" s="439" t="s">
        <v>423</v>
      </c>
      <c r="B149" s="417">
        <v>3.9999988427959998</v>
      </c>
      <c r="C149" s="417">
        <v>1.7665999999999999</v>
      </c>
      <c r="D149" s="418">
        <v>-2.2333988427959999</v>
      </c>
      <c r="E149" s="419">
        <v>0.44165012776899998</v>
      </c>
      <c r="F149" s="417">
        <v>0</v>
      </c>
      <c r="G149" s="418">
        <v>0</v>
      </c>
      <c r="H149" s="420">
        <v>0</v>
      </c>
      <c r="I149" s="417">
        <v>0</v>
      </c>
      <c r="J149" s="418">
        <v>0</v>
      </c>
      <c r="K149" s="428" t="s">
        <v>282</v>
      </c>
    </row>
    <row r="150" spans="1:11" ht="14.4" customHeight="1" thickBot="1" x14ac:dyDescent="0.35">
      <c r="A150" s="438" t="s">
        <v>424</v>
      </c>
      <c r="B150" s="422">
        <v>13.999758106966</v>
      </c>
      <c r="C150" s="422">
        <v>90.196690000000004</v>
      </c>
      <c r="D150" s="423">
        <v>76.196931893032996</v>
      </c>
      <c r="E150" s="429">
        <v>6.4427320322849999</v>
      </c>
      <c r="F150" s="422">
        <v>0</v>
      </c>
      <c r="G150" s="423">
        <v>0</v>
      </c>
      <c r="H150" s="425">
        <v>0</v>
      </c>
      <c r="I150" s="422">
        <v>77.154660000000007</v>
      </c>
      <c r="J150" s="423">
        <v>77.154660000000007</v>
      </c>
      <c r="K150" s="426" t="s">
        <v>282</v>
      </c>
    </row>
    <row r="151" spans="1:11" ht="14.4" customHeight="1" thickBot="1" x14ac:dyDescent="0.35">
      <c r="A151" s="439" t="s">
        <v>425</v>
      </c>
      <c r="B151" s="417">
        <v>12.999560239277001</v>
      </c>
      <c r="C151" s="417">
        <v>26.203769999999999</v>
      </c>
      <c r="D151" s="418">
        <v>13.204209760722</v>
      </c>
      <c r="E151" s="419">
        <v>2.0157428034240001</v>
      </c>
      <c r="F151" s="417">
        <v>0</v>
      </c>
      <c r="G151" s="418">
        <v>0</v>
      </c>
      <c r="H151" s="420">
        <v>0</v>
      </c>
      <c r="I151" s="417">
        <v>4.25549</v>
      </c>
      <c r="J151" s="418">
        <v>4.25549</v>
      </c>
      <c r="K151" s="428" t="s">
        <v>282</v>
      </c>
    </row>
    <row r="152" spans="1:11" ht="14.4" customHeight="1" thickBot="1" x14ac:dyDescent="0.35">
      <c r="A152" s="439" t="s">
        <v>426</v>
      </c>
      <c r="B152" s="417">
        <v>1.000197867689</v>
      </c>
      <c r="C152" s="417">
        <v>63.992919999999998</v>
      </c>
      <c r="D152" s="418">
        <v>62.99272213231</v>
      </c>
      <c r="E152" s="419">
        <v>63.980260373729998</v>
      </c>
      <c r="F152" s="417">
        <v>0</v>
      </c>
      <c r="G152" s="418">
        <v>0</v>
      </c>
      <c r="H152" s="420">
        <v>0</v>
      </c>
      <c r="I152" s="417">
        <v>72.899169999999998</v>
      </c>
      <c r="J152" s="418">
        <v>72.899169999999998</v>
      </c>
      <c r="K152" s="428" t="s">
        <v>282</v>
      </c>
    </row>
    <row r="153" spans="1:11" ht="14.4" customHeight="1" thickBot="1" x14ac:dyDescent="0.35">
      <c r="A153" s="438" t="s">
        <v>427</v>
      </c>
      <c r="B153" s="422">
        <v>0</v>
      </c>
      <c r="C153" s="422">
        <v>-1.06456</v>
      </c>
      <c r="D153" s="423">
        <v>-1.06456</v>
      </c>
      <c r="E153" s="424" t="s">
        <v>288</v>
      </c>
      <c r="F153" s="422">
        <v>0</v>
      </c>
      <c r="G153" s="423">
        <v>0</v>
      </c>
      <c r="H153" s="425">
        <v>0</v>
      </c>
      <c r="I153" s="422">
        <v>0</v>
      </c>
      <c r="J153" s="423">
        <v>0</v>
      </c>
      <c r="K153" s="426" t="s">
        <v>282</v>
      </c>
    </row>
    <row r="154" spans="1:11" ht="14.4" customHeight="1" thickBot="1" x14ac:dyDescent="0.35">
      <c r="A154" s="439" t="s">
        <v>428</v>
      </c>
      <c r="B154" s="417">
        <v>0</v>
      </c>
      <c r="C154" s="417">
        <v>-1.06456</v>
      </c>
      <c r="D154" s="418">
        <v>-1.06456</v>
      </c>
      <c r="E154" s="427" t="s">
        <v>288</v>
      </c>
      <c r="F154" s="417">
        <v>0</v>
      </c>
      <c r="G154" s="418">
        <v>0</v>
      </c>
      <c r="H154" s="420">
        <v>0</v>
      </c>
      <c r="I154" s="417">
        <v>0</v>
      </c>
      <c r="J154" s="418">
        <v>0</v>
      </c>
      <c r="K154" s="428" t="s">
        <v>282</v>
      </c>
    </row>
    <row r="155" spans="1:11" ht="14.4" customHeight="1" thickBot="1" x14ac:dyDescent="0.35">
      <c r="A155" s="438" t="s">
        <v>429</v>
      </c>
      <c r="B155" s="422">
        <v>49220.999831915498</v>
      </c>
      <c r="C155" s="422">
        <v>47636.517059999998</v>
      </c>
      <c r="D155" s="423">
        <v>-1584.4827719155101</v>
      </c>
      <c r="E155" s="429">
        <v>0.96780880564500005</v>
      </c>
      <c r="F155" s="422">
        <v>51758</v>
      </c>
      <c r="G155" s="423">
        <v>51758</v>
      </c>
      <c r="H155" s="425">
        <v>3448.2836600000001</v>
      </c>
      <c r="I155" s="422">
        <v>56698.47395</v>
      </c>
      <c r="J155" s="423">
        <v>4940.4739499999996</v>
      </c>
      <c r="K155" s="430">
        <v>1.0954533395799999</v>
      </c>
    </row>
    <row r="156" spans="1:11" ht="14.4" customHeight="1" thickBot="1" x14ac:dyDescent="0.35">
      <c r="A156" s="439" t="s">
        <v>430</v>
      </c>
      <c r="B156" s="417">
        <v>16832.999949252699</v>
      </c>
      <c r="C156" s="417">
        <v>17519.613160000001</v>
      </c>
      <c r="D156" s="418">
        <v>686.61321074733098</v>
      </c>
      <c r="E156" s="419">
        <v>1.040789711448</v>
      </c>
      <c r="F156" s="417">
        <v>18476</v>
      </c>
      <c r="G156" s="418">
        <v>18476</v>
      </c>
      <c r="H156" s="420">
        <v>1326.0770600000001</v>
      </c>
      <c r="I156" s="417">
        <v>20686.803810000001</v>
      </c>
      <c r="J156" s="418">
        <v>2210.8038099999899</v>
      </c>
      <c r="K156" s="421">
        <v>1.119658140831</v>
      </c>
    </row>
    <row r="157" spans="1:11" ht="14.4" customHeight="1" thickBot="1" x14ac:dyDescent="0.35">
      <c r="A157" s="439" t="s">
        <v>431</v>
      </c>
      <c r="B157" s="417">
        <v>32387.9998826628</v>
      </c>
      <c r="C157" s="417">
        <v>30116.903900000001</v>
      </c>
      <c r="D157" s="418">
        <v>-2271.09598266285</v>
      </c>
      <c r="E157" s="419">
        <v>0.92987847378900002</v>
      </c>
      <c r="F157" s="417">
        <v>33282</v>
      </c>
      <c r="G157" s="418">
        <v>33282</v>
      </c>
      <c r="H157" s="420">
        <v>2122.2066</v>
      </c>
      <c r="I157" s="417">
        <v>36011.670140000002</v>
      </c>
      <c r="J157" s="418">
        <v>2729.6701399999902</v>
      </c>
      <c r="K157" s="421">
        <v>1.08201640947</v>
      </c>
    </row>
    <row r="158" spans="1:11" ht="14.4" customHeight="1" thickBot="1" x14ac:dyDescent="0.35">
      <c r="A158" s="438" t="s">
        <v>432</v>
      </c>
      <c r="B158" s="422">
        <v>0</v>
      </c>
      <c r="C158" s="422">
        <v>2540.6458200000002</v>
      </c>
      <c r="D158" s="423">
        <v>2540.6458200000002</v>
      </c>
      <c r="E158" s="424" t="s">
        <v>282</v>
      </c>
      <c r="F158" s="422">
        <v>0</v>
      </c>
      <c r="G158" s="423">
        <v>0</v>
      </c>
      <c r="H158" s="425">
        <v>0</v>
      </c>
      <c r="I158" s="422">
        <v>3514.1257999999998</v>
      </c>
      <c r="J158" s="423">
        <v>3514.1257999999998</v>
      </c>
      <c r="K158" s="426" t="s">
        <v>282</v>
      </c>
    </row>
    <row r="159" spans="1:11" ht="14.4" customHeight="1" thickBot="1" x14ac:dyDescent="0.35">
      <c r="A159" s="439" t="s">
        <v>433</v>
      </c>
      <c r="B159" s="417">
        <v>0</v>
      </c>
      <c r="C159" s="417">
        <v>1387.2119700000001</v>
      </c>
      <c r="D159" s="418">
        <v>1387.2119700000001</v>
      </c>
      <c r="E159" s="427" t="s">
        <v>288</v>
      </c>
      <c r="F159" s="417">
        <v>0</v>
      </c>
      <c r="G159" s="418">
        <v>0</v>
      </c>
      <c r="H159" s="420">
        <v>0</v>
      </c>
      <c r="I159" s="417">
        <v>130.19875999999999</v>
      </c>
      <c r="J159" s="418">
        <v>130.19875999999999</v>
      </c>
      <c r="K159" s="428" t="s">
        <v>282</v>
      </c>
    </row>
    <row r="160" spans="1:11" ht="14.4" customHeight="1" thickBot="1" x14ac:dyDescent="0.35">
      <c r="A160" s="439" t="s">
        <v>434</v>
      </c>
      <c r="B160" s="417">
        <v>0</v>
      </c>
      <c r="C160" s="417">
        <v>1153.4338499999999</v>
      </c>
      <c r="D160" s="418">
        <v>1153.4338499999999</v>
      </c>
      <c r="E160" s="427" t="s">
        <v>282</v>
      </c>
      <c r="F160" s="417">
        <v>0</v>
      </c>
      <c r="G160" s="418">
        <v>0</v>
      </c>
      <c r="H160" s="420">
        <v>0</v>
      </c>
      <c r="I160" s="417">
        <v>3383.92704</v>
      </c>
      <c r="J160" s="418">
        <v>3383.92704</v>
      </c>
      <c r="K160" s="428" t="s">
        <v>282</v>
      </c>
    </row>
    <row r="161" spans="1:11" ht="14.4" customHeight="1" thickBot="1" x14ac:dyDescent="0.35">
      <c r="A161" s="436" t="s">
        <v>435</v>
      </c>
      <c r="B161" s="417">
        <v>123.30041354581</v>
      </c>
      <c r="C161" s="417">
        <v>658.50148000000002</v>
      </c>
      <c r="D161" s="418">
        <v>535.20106645419003</v>
      </c>
      <c r="E161" s="419">
        <v>5.3406266942920002</v>
      </c>
      <c r="F161" s="417">
        <v>17.670470806421999</v>
      </c>
      <c r="G161" s="418">
        <v>17.670470806421999</v>
      </c>
      <c r="H161" s="420">
        <v>11.590820000000001</v>
      </c>
      <c r="I161" s="417">
        <v>63.566580000000002</v>
      </c>
      <c r="J161" s="418">
        <v>45.896109193576997</v>
      </c>
      <c r="K161" s="421">
        <v>3.5973336928230002</v>
      </c>
    </row>
    <row r="162" spans="1:11" ht="14.4" customHeight="1" thickBot="1" x14ac:dyDescent="0.35">
      <c r="A162" s="437" t="s">
        <v>436</v>
      </c>
      <c r="B162" s="417">
        <v>107.582339403258</v>
      </c>
      <c r="C162" s="417">
        <v>624.51260000000002</v>
      </c>
      <c r="D162" s="418">
        <v>516.93026059674196</v>
      </c>
      <c r="E162" s="419">
        <v>5.804973227614</v>
      </c>
      <c r="F162" s="417">
        <v>0</v>
      </c>
      <c r="G162" s="418">
        <v>0</v>
      </c>
      <c r="H162" s="420">
        <v>11.58882</v>
      </c>
      <c r="I162" s="417">
        <v>11.58882</v>
      </c>
      <c r="J162" s="418">
        <v>11.58882</v>
      </c>
      <c r="K162" s="428" t="s">
        <v>282</v>
      </c>
    </row>
    <row r="163" spans="1:11" ht="14.4" customHeight="1" thickBot="1" x14ac:dyDescent="0.35">
      <c r="A163" s="438" t="s">
        <v>437</v>
      </c>
      <c r="B163" s="422">
        <v>0</v>
      </c>
      <c r="C163" s="422">
        <v>0</v>
      </c>
      <c r="D163" s="423">
        <v>0</v>
      </c>
      <c r="E163" s="429">
        <v>1</v>
      </c>
      <c r="F163" s="422">
        <v>0</v>
      </c>
      <c r="G163" s="423">
        <v>0</v>
      </c>
      <c r="H163" s="425">
        <v>11.58882</v>
      </c>
      <c r="I163" s="422">
        <v>11.58882</v>
      </c>
      <c r="J163" s="423">
        <v>11.58882</v>
      </c>
      <c r="K163" s="426" t="s">
        <v>288</v>
      </c>
    </row>
    <row r="164" spans="1:11" ht="14.4" customHeight="1" thickBot="1" x14ac:dyDescent="0.35">
      <c r="A164" s="439" t="s">
        <v>438</v>
      </c>
      <c r="B164" s="417">
        <v>0</v>
      </c>
      <c r="C164" s="417">
        <v>0</v>
      </c>
      <c r="D164" s="418">
        <v>0</v>
      </c>
      <c r="E164" s="419">
        <v>1</v>
      </c>
      <c r="F164" s="417">
        <v>0</v>
      </c>
      <c r="G164" s="418">
        <v>0</v>
      </c>
      <c r="H164" s="420">
        <v>11.58882</v>
      </c>
      <c r="I164" s="417">
        <v>11.58882</v>
      </c>
      <c r="J164" s="418">
        <v>11.58882</v>
      </c>
      <c r="K164" s="428" t="s">
        <v>288</v>
      </c>
    </row>
    <row r="165" spans="1:11" ht="14.4" customHeight="1" thickBot="1" x14ac:dyDescent="0.35">
      <c r="A165" s="438" t="s">
        <v>439</v>
      </c>
      <c r="B165" s="422">
        <v>107.582339403258</v>
      </c>
      <c r="C165" s="422">
        <v>624.51260000000002</v>
      </c>
      <c r="D165" s="423">
        <v>516.93026059674196</v>
      </c>
      <c r="E165" s="429">
        <v>5.804973227614</v>
      </c>
      <c r="F165" s="422">
        <v>0</v>
      </c>
      <c r="G165" s="423">
        <v>0</v>
      </c>
      <c r="H165" s="425">
        <v>0</v>
      </c>
      <c r="I165" s="422">
        <v>0</v>
      </c>
      <c r="J165" s="423">
        <v>0</v>
      </c>
      <c r="K165" s="426" t="s">
        <v>282</v>
      </c>
    </row>
    <row r="166" spans="1:11" ht="14.4" customHeight="1" thickBot="1" x14ac:dyDescent="0.35">
      <c r="A166" s="439" t="s">
        <v>440</v>
      </c>
      <c r="B166" s="417">
        <v>0</v>
      </c>
      <c r="C166" s="417">
        <v>575.29179999999997</v>
      </c>
      <c r="D166" s="418">
        <v>575.29179999999997</v>
      </c>
      <c r="E166" s="427" t="s">
        <v>282</v>
      </c>
      <c r="F166" s="417">
        <v>0</v>
      </c>
      <c r="G166" s="418">
        <v>0</v>
      </c>
      <c r="H166" s="420">
        <v>0</v>
      </c>
      <c r="I166" s="417">
        <v>0</v>
      </c>
      <c r="J166" s="418">
        <v>0</v>
      </c>
      <c r="K166" s="428" t="s">
        <v>282</v>
      </c>
    </row>
    <row r="167" spans="1:11" ht="14.4" customHeight="1" thickBot="1" x14ac:dyDescent="0.35">
      <c r="A167" s="439" t="s">
        <v>441</v>
      </c>
      <c r="B167" s="417">
        <v>0</v>
      </c>
      <c r="C167" s="417">
        <v>13.61553</v>
      </c>
      <c r="D167" s="418">
        <v>13.61553</v>
      </c>
      <c r="E167" s="427" t="s">
        <v>282</v>
      </c>
      <c r="F167" s="417">
        <v>0</v>
      </c>
      <c r="G167" s="418">
        <v>0</v>
      </c>
      <c r="H167" s="420">
        <v>0</v>
      </c>
      <c r="I167" s="417">
        <v>0</v>
      </c>
      <c r="J167" s="418">
        <v>0</v>
      </c>
      <c r="K167" s="428" t="s">
        <v>282</v>
      </c>
    </row>
    <row r="168" spans="1:11" ht="14.4" customHeight="1" thickBot="1" x14ac:dyDescent="0.35">
      <c r="A168" s="439" t="s">
        <v>442</v>
      </c>
      <c r="B168" s="417">
        <v>0</v>
      </c>
      <c r="C168" s="417">
        <v>35.605269999999997</v>
      </c>
      <c r="D168" s="418">
        <v>35.605269999999997</v>
      </c>
      <c r="E168" s="427" t="s">
        <v>282</v>
      </c>
      <c r="F168" s="417">
        <v>0</v>
      </c>
      <c r="G168" s="418">
        <v>0</v>
      </c>
      <c r="H168" s="420">
        <v>0</v>
      </c>
      <c r="I168" s="417">
        <v>0</v>
      </c>
      <c r="J168" s="418">
        <v>0</v>
      </c>
      <c r="K168" s="428" t="s">
        <v>282</v>
      </c>
    </row>
    <row r="169" spans="1:11" ht="14.4" customHeight="1" thickBot="1" x14ac:dyDescent="0.35">
      <c r="A169" s="442" t="s">
        <v>443</v>
      </c>
      <c r="B169" s="422">
        <v>15.718074142552</v>
      </c>
      <c r="C169" s="422">
        <v>33.988880000000002</v>
      </c>
      <c r="D169" s="423">
        <v>18.270805857447002</v>
      </c>
      <c r="E169" s="429">
        <v>2.1624074102040001</v>
      </c>
      <c r="F169" s="422">
        <v>17.670470806421999</v>
      </c>
      <c r="G169" s="423">
        <v>17.670470806421999</v>
      </c>
      <c r="H169" s="425">
        <v>2E-3</v>
      </c>
      <c r="I169" s="422">
        <v>51.977760000000004</v>
      </c>
      <c r="J169" s="423">
        <v>34.307289193576999</v>
      </c>
      <c r="K169" s="430">
        <v>2.9415039683659998</v>
      </c>
    </row>
    <row r="170" spans="1:11" ht="14.4" customHeight="1" thickBot="1" x14ac:dyDescent="0.35">
      <c r="A170" s="438" t="s">
        <v>444</v>
      </c>
      <c r="B170" s="422">
        <v>0</v>
      </c>
      <c r="C170" s="422">
        <v>-2.5999999999999998E-4</v>
      </c>
      <c r="D170" s="423">
        <v>-2.5999999999999998E-4</v>
      </c>
      <c r="E170" s="424" t="s">
        <v>282</v>
      </c>
      <c r="F170" s="422">
        <v>0</v>
      </c>
      <c r="G170" s="423">
        <v>0</v>
      </c>
      <c r="H170" s="425">
        <v>0</v>
      </c>
      <c r="I170" s="422">
        <v>1.2600000000000001E-3</v>
      </c>
      <c r="J170" s="423">
        <v>1.2600000000000001E-3</v>
      </c>
      <c r="K170" s="426" t="s">
        <v>282</v>
      </c>
    </row>
    <row r="171" spans="1:11" ht="14.4" customHeight="1" thickBot="1" x14ac:dyDescent="0.35">
      <c r="A171" s="439" t="s">
        <v>445</v>
      </c>
      <c r="B171" s="417">
        <v>0</v>
      </c>
      <c r="C171" s="417">
        <v>-2.5999999999999998E-4</v>
      </c>
      <c r="D171" s="418">
        <v>-2.5999999999999998E-4</v>
      </c>
      <c r="E171" s="427" t="s">
        <v>282</v>
      </c>
      <c r="F171" s="417">
        <v>0</v>
      </c>
      <c r="G171" s="418">
        <v>0</v>
      </c>
      <c r="H171" s="420">
        <v>0</v>
      </c>
      <c r="I171" s="417">
        <v>1.2600000000000001E-3</v>
      </c>
      <c r="J171" s="418">
        <v>1.2600000000000001E-3</v>
      </c>
      <c r="K171" s="428" t="s">
        <v>282</v>
      </c>
    </row>
    <row r="172" spans="1:11" ht="14.4" customHeight="1" thickBot="1" x14ac:dyDescent="0.35">
      <c r="A172" s="438" t="s">
        <v>446</v>
      </c>
      <c r="B172" s="422">
        <v>15.718074142552</v>
      </c>
      <c r="C172" s="422">
        <v>16.742139999999999</v>
      </c>
      <c r="D172" s="423">
        <v>1.0240658574470001</v>
      </c>
      <c r="E172" s="429">
        <v>1.0651521203009999</v>
      </c>
      <c r="F172" s="422">
        <v>17.670470806421999</v>
      </c>
      <c r="G172" s="423">
        <v>17.670470806421999</v>
      </c>
      <c r="H172" s="425">
        <v>2E-3</v>
      </c>
      <c r="I172" s="422">
        <v>46.086500000000001</v>
      </c>
      <c r="J172" s="423">
        <v>28.416029193577</v>
      </c>
      <c r="K172" s="430">
        <v>2.6081082108600002</v>
      </c>
    </row>
    <row r="173" spans="1:11" ht="14.4" customHeight="1" thickBot="1" x14ac:dyDescent="0.35">
      <c r="A173" s="439" t="s">
        <v>447</v>
      </c>
      <c r="B173" s="417">
        <v>0</v>
      </c>
      <c r="C173" s="417">
        <v>0.98199999999999998</v>
      </c>
      <c r="D173" s="418">
        <v>0.98199999999999998</v>
      </c>
      <c r="E173" s="427" t="s">
        <v>282</v>
      </c>
      <c r="F173" s="417">
        <v>0</v>
      </c>
      <c r="G173" s="418">
        <v>0</v>
      </c>
      <c r="H173" s="420">
        <v>2E-3</v>
      </c>
      <c r="I173" s="417">
        <v>0.191</v>
      </c>
      <c r="J173" s="418">
        <v>0.191</v>
      </c>
      <c r="K173" s="428" t="s">
        <v>282</v>
      </c>
    </row>
    <row r="174" spans="1:11" ht="14.4" customHeight="1" thickBot="1" x14ac:dyDescent="0.35">
      <c r="A174" s="439" t="s">
        <v>448</v>
      </c>
      <c r="B174" s="417">
        <v>9.7619833193519998</v>
      </c>
      <c r="C174" s="417">
        <v>0</v>
      </c>
      <c r="D174" s="418">
        <v>-9.7619833193519998</v>
      </c>
      <c r="E174" s="419">
        <v>0</v>
      </c>
      <c r="F174" s="417">
        <v>11.714379983222999</v>
      </c>
      <c r="G174" s="418">
        <v>11.714379983222999</v>
      </c>
      <c r="H174" s="420">
        <v>0</v>
      </c>
      <c r="I174" s="417">
        <v>0</v>
      </c>
      <c r="J174" s="418">
        <v>-11.714379983222999</v>
      </c>
      <c r="K174" s="421">
        <v>0</v>
      </c>
    </row>
    <row r="175" spans="1:11" ht="14.4" customHeight="1" thickBot="1" x14ac:dyDescent="0.35">
      <c r="A175" s="439" t="s">
        <v>449</v>
      </c>
      <c r="B175" s="417">
        <v>5.9560908231990002</v>
      </c>
      <c r="C175" s="417">
        <v>11.15706</v>
      </c>
      <c r="D175" s="418">
        <v>5.2009691768000001</v>
      </c>
      <c r="E175" s="419">
        <v>1.873218580976</v>
      </c>
      <c r="F175" s="417">
        <v>5.9560908231990002</v>
      </c>
      <c r="G175" s="418">
        <v>5.9560908231990002</v>
      </c>
      <c r="H175" s="420">
        <v>0</v>
      </c>
      <c r="I175" s="417">
        <v>26.81812</v>
      </c>
      <c r="J175" s="418">
        <v>20.8620291768</v>
      </c>
      <c r="K175" s="421">
        <v>4.5026378535970002</v>
      </c>
    </row>
    <row r="176" spans="1:11" ht="14.4" customHeight="1" thickBot="1" x14ac:dyDescent="0.35">
      <c r="A176" s="439" t="s">
        <v>450</v>
      </c>
      <c r="B176" s="417">
        <v>0</v>
      </c>
      <c r="C176" s="417">
        <v>4.6030800000000003</v>
      </c>
      <c r="D176" s="418">
        <v>4.6030800000000003</v>
      </c>
      <c r="E176" s="427" t="s">
        <v>288</v>
      </c>
      <c r="F176" s="417">
        <v>0</v>
      </c>
      <c r="G176" s="418">
        <v>0</v>
      </c>
      <c r="H176" s="420">
        <v>0</v>
      </c>
      <c r="I176" s="417">
        <v>19.077380000000002</v>
      </c>
      <c r="J176" s="418">
        <v>19.077380000000002</v>
      </c>
      <c r="K176" s="428" t="s">
        <v>282</v>
      </c>
    </row>
    <row r="177" spans="1:11" ht="14.4" customHeight="1" thickBot="1" x14ac:dyDescent="0.35">
      <c r="A177" s="438" t="s">
        <v>451</v>
      </c>
      <c r="B177" s="422">
        <v>0</v>
      </c>
      <c r="C177" s="422">
        <v>17.247</v>
      </c>
      <c r="D177" s="423">
        <v>17.247</v>
      </c>
      <c r="E177" s="424" t="s">
        <v>282</v>
      </c>
      <c r="F177" s="422">
        <v>0</v>
      </c>
      <c r="G177" s="423">
        <v>0</v>
      </c>
      <c r="H177" s="425">
        <v>0</v>
      </c>
      <c r="I177" s="422">
        <v>5.89</v>
      </c>
      <c r="J177" s="423">
        <v>5.89</v>
      </c>
      <c r="K177" s="426" t="s">
        <v>282</v>
      </c>
    </row>
    <row r="178" spans="1:11" ht="14.4" customHeight="1" thickBot="1" x14ac:dyDescent="0.35">
      <c r="A178" s="439" t="s">
        <v>452</v>
      </c>
      <c r="B178" s="417">
        <v>0</v>
      </c>
      <c r="C178" s="417">
        <v>17.247</v>
      </c>
      <c r="D178" s="418">
        <v>17.247</v>
      </c>
      <c r="E178" s="427" t="s">
        <v>282</v>
      </c>
      <c r="F178" s="417">
        <v>0</v>
      </c>
      <c r="G178" s="418">
        <v>0</v>
      </c>
      <c r="H178" s="420">
        <v>0</v>
      </c>
      <c r="I178" s="417">
        <v>5.89</v>
      </c>
      <c r="J178" s="418">
        <v>5.89</v>
      </c>
      <c r="K178" s="428" t="s">
        <v>282</v>
      </c>
    </row>
    <row r="179" spans="1:11" ht="14.4" customHeight="1" thickBot="1" x14ac:dyDescent="0.35">
      <c r="A179" s="436" t="s">
        <v>453</v>
      </c>
      <c r="B179" s="417">
        <v>0</v>
      </c>
      <c r="C179" s="417">
        <v>0</v>
      </c>
      <c r="D179" s="418">
        <v>0</v>
      </c>
      <c r="E179" s="419">
        <v>1</v>
      </c>
      <c r="F179" s="417">
        <v>0</v>
      </c>
      <c r="G179" s="418">
        <v>0</v>
      </c>
      <c r="H179" s="420">
        <v>0</v>
      </c>
      <c r="I179" s="417">
        <v>2.342E-2</v>
      </c>
      <c r="J179" s="418">
        <v>2.342E-2</v>
      </c>
      <c r="K179" s="428" t="s">
        <v>288</v>
      </c>
    </row>
    <row r="180" spans="1:11" ht="14.4" customHeight="1" thickBot="1" x14ac:dyDescent="0.35">
      <c r="A180" s="442" t="s">
        <v>454</v>
      </c>
      <c r="B180" s="422">
        <v>0</v>
      </c>
      <c r="C180" s="422">
        <v>0</v>
      </c>
      <c r="D180" s="423">
        <v>0</v>
      </c>
      <c r="E180" s="429">
        <v>1</v>
      </c>
      <c r="F180" s="422">
        <v>0</v>
      </c>
      <c r="G180" s="423">
        <v>0</v>
      </c>
      <c r="H180" s="425">
        <v>0</v>
      </c>
      <c r="I180" s="422">
        <v>2.342E-2</v>
      </c>
      <c r="J180" s="423">
        <v>2.342E-2</v>
      </c>
      <c r="K180" s="426" t="s">
        <v>288</v>
      </c>
    </row>
    <row r="181" spans="1:11" ht="14.4" customHeight="1" thickBot="1" x14ac:dyDescent="0.35">
      <c r="A181" s="438" t="s">
        <v>455</v>
      </c>
      <c r="B181" s="422">
        <v>0</v>
      </c>
      <c r="C181" s="422">
        <v>0</v>
      </c>
      <c r="D181" s="423">
        <v>0</v>
      </c>
      <c r="E181" s="429">
        <v>1</v>
      </c>
      <c r="F181" s="422">
        <v>0</v>
      </c>
      <c r="G181" s="423">
        <v>0</v>
      </c>
      <c r="H181" s="425">
        <v>0</v>
      </c>
      <c r="I181" s="422">
        <v>2.342E-2</v>
      </c>
      <c r="J181" s="423">
        <v>2.342E-2</v>
      </c>
      <c r="K181" s="426" t="s">
        <v>288</v>
      </c>
    </row>
    <row r="182" spans="1:11" ht="14.4" customHeight="1" thickBot="1" x14ac:dyDescent="0.35">
      <c r="A182" s="439" t="s">
        <v>456</v>
      </c>
      <c r="B182" s="417">
        <v>0</v>
      </c>
      <c r="C182" s="417">
        <v>0</v>
      </c>
      <c r="D182" s="418">
        <v>0</v>
      </c>
      <c r="E182" s="419">
        <v>1</v>
      </c>
      <c r="F182" s="417">
        <v>0</v>
      </c>
      <c r="G182" s="418">
        <v>0</v>
      </c>
      <c r="H182" s="420">
        <v>0</v>
      </c>
      <c r="I182" s="417">
        <v>2.342E-2</v>
      </c>
      <c r="J182" s="418">
        <v>2.342E-2</v>
      </c>
      <c r="K182" s="428" t="s">
        <v>288</v>
      </c>
    </row>
    <row r="183" spans="1:11" ht="14.4" customHeight="1" thickBot="1" x14ac:dyDescent="0.35">
      <c r="A183" s="435" t="s">
        <v>457</v>
      </c>
      <c r="B183" s="417">
        <v>2362.0921578286202</v>
      </c>
      <c r="C183" s="417">
        <v>2160.8901900000001</v>
      </c>
      <c r="D183" s="418">
        <v>-201.20196782862101</v>
      </c>
      <c r="E183" s="419">
        <v>0.91482044120799999</v>
      </c>
      <c r="F183" s="417">
        <v>2267.0007088176899</v>
      </c>
      <c r="G183" s="418">
        <v>2267.0007088176899</v>
      </c>
      <c r="H183" s="420">
        <v>247.22192000000001</v>
      </c>
      <c r="I183" s="417">
        <v>2187.9432099999999</v>
      </c>
      <c r="J183" s="418">
        <v>-79.057498817690998</v>
      </c>
      <c r="K183" s="421">
        <v>0.96512683100999996</v>
      </c>
    </row>
    <row r="184" spans="1:11" ht="14.4" customHeight="1" thickBot="1" x14ac:dyDescent="0.35">
      <c r="A184" s="440" t="s">
        <v>458</v>
      </c>
      <c r="B184" s="422">
        <v>2362.0921578286202</v>
      </c>
      <c r="C184" s="422">
        <v>2160.8901900000001</v>
      </c>
      <c r="D184" s="423">
        <v>-201.20196782862101</v>
      </c>
      <c r="E184" s="429">
        <v>0.91482044120799999</v>
      </c>
      <c r="F184" s="422">
        <v>2267.0007088176899</v>
      </c>
      <c r="G184" s="423">
        <v>2267.0007088176899</v>
      </c>
      <c r="H184" s="425">
        <v>247.22192000000001</v>
      </c>
      <c r="I184" s="422">
        <v>2187.9432099999999</v>
      </c>
      <c r="J184" s="423">
        <v>-79.057498817690998</v>
      </c>
      <c r="K184" s="430">
        <v>0.96512683100999996</v>
      </c>
    </row>
    <row r="185" spans="1:11" ht="14.4" customHeight="1" thickBot="1" x14ac:dyDescent="0.35">
      <c r="A185" s="442" t="s">
        <v>54</v>
      </c>
      <c r="B185" s="422">
        <v>2362.0921578286202</v>
      </c>
      <c r="C185" s="422">
        <v>2160.8901900000001</v>
      </c>
      <c r="D185" s="423">
        <v>-201.20196782862101</v>
      </c>
      <c r="E185" s="429">
        <v>0.91482044120799999</v>
      </c>
      <c r="F185" s="422">
        <v>2267.0007088176899</v>
      </c>
      <c r="G185" s="423">
        <v>2267.0007088176899</v>
      </c>
      <c r="H185" s="425">
        <v>247.22192000000001</v>
      </c>
      <c r="I185" s="422">
        <v>2187.9432099999999</v>
      </c>
      <c r="J185" s="423">
        <v>-79.057498817690998</v>
      </c>
      <c r="K185" s="430">
        <v>0.96512683100999996</v>
      </c>
    </row>
    <row r="186" spans="1:11" ht="14.4" customHeight="1" thickBot="1" x14ac:dyDescent="0.35">
      <c r="A186" s="438" t="s">
        <v>459</v>
      </c>
      <c r="B186" s="422">
        <v>29.999999999999002</v>
      </c>
      <c r="C186" s="422">
        <v>40.326000000000001</v>
      </c>
      <c r="D186" s="423">
        <v>10.326000000000001</v>
      </c>
      <c r="E186" s="429">
        <v>1.3442000000000001</v>
      </c>
      <c r="F186" s="422">
        <v>18</v>
      </c>
      <c r="G186" s="423">
        <v>18</v>
      </c>
      <c r="H186" s="425">
        <v>3.3605</v>
      </c>
      <c r="I186" s="422">
        <v>40.326000000000001</v>
      </c>
      <c r="J186" s="423">
        <v>22.326000000000001</v>
      </c>
      <c r="K186" s="430">
        <v>2.240333333333</v>
      </c>
    </row>
    <row r="187" spans="1:11" ht="14.4" customHeight="1" thickBot="1" x14ac:dyDescent="0.35">
      <c r="A187" s="439" t="s">
        <v>460</v>
      </c>
      <c r="B187" s="417">
        <v>29.999999999999002</v>
      </c>
      <c r="C187" s="417">
        <v>40.326000000000001</v>
      </c>
      <c r="D187" s="418">
        <v>10.326000000000001</v>
      </c>
      <c r="E187" s="419">
        <v>1.3442000000000001</v>
      </c>
      <c r="F187" s="417">
        <v>18</v>
      </c>
      <c r="G187" s="418">
        <v>18</v>
      </c>
      <c r="H187" s="420">
        <v>3.3605</v>
      </c>
      <c r="I187" s="417">
        <v>40.326000000000001</v>
      </c>
      <c r="J187" s="418">
        <v>22.326000000000001</v>
      </c>
      <c r="K187" s="421">
        <v>2.240333333333</v>
      </c>
    </row>
    <row r="188" spans="1:11" ht="14.4" customHeight="1" thickBot="1" x14ac:dyDescent="0.35">
      <c r="A188" s="438" t="s">
        <v>461</v>
      </c>
      <c r="B188" s="422">
        <v>28.827012321971001</v>
      </c>
      <c r="C188" s="422">
        <v>3.2149999999999999</v>
      </c>
      <c r="D188" s="423">
        <v>-25.612012321971001</v>
      </c>
      <c r="E188" s="429">
        <v>0.111527339846</v>
      </c>
      <c r="F188" s="422">
        <v>5.0007088176919998</v>
      </c>
      <c r="G188" s="423">
        <v>5.0007088176919998</v>
      </c>
      <c r="H188" s="425">
        <v>0.41454000000000002</v>
      </c>
      <c r="I188" s="422">
        <v>4.8557800000000002</v>
      </c>
      <c r="J188" s="423">
        <v>-0.144928817692</v>
      </c>
      <c r="K188" s="430">
        <v>0.97101834500299999</v>
      </c>
    </row>
    <row r="189" spans="1:11" ht="14.4" customHeight="1" thickBot="1" x14ac:dyDescent="0.35">
      <c r="A189" s="439" t="s">
        <v>462</v>
      </c>
      <c r="B189" s="417">
        <v>28.827012321971001</v>
      </c>
      <c r="C189" s="417">
        <v>3.2149999999999999</v>
      </c>
      <c r="D189" s="418">
        <v>-25.612012321971001</v>
      </c>
      <c r="E189" s="419">
        <v>0.111527339846</v>
      </c>
      <c r="F189" s="417">
        <v>5.0007088176919998</v>
      </c>
      <c r="G189" s="418">
        <v>5.0007088176919998</v>
      </c>
      <c r="H189" s="420">
        <v>0.41454000000000002</v>
      </c>
      <c r="I189" s="417">
        <v>4.8557800000000002</v>
      </c>
      <c r="J189" s="418">
        <v>-0.144928817692</v>
      </c>
      <c r="K189" s="421">
        <v>0.97101834500299999</v>
      </c>
    </row>
    <row r="190" spans="1:11" ht="14.4" customHeight="1" thickBot="1" x14ac:dyDescent="0.35">
      <c r="A190" s="438" t="s">
        <v>463</v>
      </c>
      <c r="B190" s="422">
        <v>44.265145506678998</v>
      </c>
      <c r="C190" s="422">
        <v>41.896900000000002</v>
      </c>
      <c r="D190" s="423">
        <v>-2.368245506679</v>
      </c>
      <c r="E190" s="429">
        <v>0.94649863951400004</v>
      </c>
      <c r="F190" s="422">
        <v>46</v>
      </c>
      <c r="G190" s="423">
        <v>46</v>
      </c>
      <c r="H190" s="425">
        <v>2.1897899999999999</v>
      </c>
      <c r="I190" s="422">
        <v>30.487279999999998</v>
      </c>
      <c r="J190" s="423">
        <v>-15.51272</v>
      </c>
      <c r="K190" s="430">
        <v>0.66276695652100004</v>
      </c>
    </row>
    <row r="191" spans="1:11" ht="14.4" customHeight="1" thickBot="1" x14ac:dyDescent="0.35">
      <c r="A191" s="439" t="s">
        <v>464</v>
      </c>
      <c r="B191" s="417">
        <v>44.265145506678998</v>
      </c>
      <c r="C191" s="417">
        <v>41.896900000000002</v>
      </c>
      <c r="D191" s="418">
        <v>-2.368245506679</v>
      </c>
      <c r="E191" s="419">
        <v>0.94649863951400004</v>
      </c>
      <c r="F191" s="417">
        <v>46</v>
      </c>
      <c r="G191" s="418">
        <v>46</v>
      </c>
      <c r="H191" s="420">
        <v>2.1897899999999999</v>
      </c>
      <c r="I191" s="417">
        <v>30.487279999999998</v>
      </c>
      <c r="J191" s="418">
        <v>-15.51272</v>
      </c>
      <c r="K191" s="421">
        <v>0.66276695652100004</v>
      </c>
    </row>
    <row r="192" spans="1:11" ht="14.4" customHeight="1" thickBot="1" x14ac:dyDescent="0.35">
      <c r="A192" s="438" t="s">
        <v>465</v>
      </c>
      <c r="B192" s="422">
        <v>391.999999999995</v>
      </c>
      <c r="C192" s="422">
        <v>348.14353</v>
      </c>
      <c r="D192" s="423">
        <v>-43.856469999994999</v>
      </c>
      <c r="E192" s="429">
        <v>0.88812124999999997</v>
      </c>
      <c r="F192" s="422">
        <v>490</v>
      </c>
      <c r="G192" s="423">
        <v>490</v>
      </c>
      <c r="H192" s="425">
        <v>52.015529999999998</v>
      </c>
      <c r="I192" s="422">
        <v>430.84690000000001</v>
      </c>
      <c r="J192" s="423">
        <v>-59.153100000000002</v>
      </c>
      <c r="K192" s="430">
        <v>0.87927938775500003</v>
      </c>
    </row>
    <row r="193" spans="1:11" ht="14.4" customHeight="1" thickBot="1" x14ac:dyDescent="0.35">
      <c r="A193" s="439" t="s">
        <v>466</v>
      </c>
      <c r="B193" s="417">
        <v>391.999999999995</v>
      </c>
      <c r="C193" s="417">
        <v>348.03757000000002</v>
      </c>
      <c r="D193" s="418">
        <v>-43.962429999995003</v>
      </c>
      <c r="E193" s="419">
        <v>0.88785094387700003</v>
      </c>
      <c r="F193" s="417">
        <v>484</v>
      </c>
      <c r="G193" s="418">
        <v>484</v>
      </c>
      <c r="H193" s="420">
        <v>51.239930000000001</v>
      </c>
      <c r="I193" s="417">
        <v>424.17054999999999</v>
      </c>
      <c r="J193" s="418">
        <v>-59.829450000000001</v>
      </c>
      <c r="K193" s="421">
        <v>0.87638543388400003</v>
      </c>
    </row>
    <row r="194" spans="1:11" ht="14.4" customHeight="1" thickBot="1" x14ac:dyDescent="0.35">
      <c r="A194" s="439" t="s">
        <v>467</v>
      </c>
      <c r="B194" s="417">
        <v>0</v>
      </c>
      <c r="C194" s="417">
        <v>0.10596</v>
      </c>
      <c r="D194" s="418">
        <v>0.10596</v>
      </c>
      <c r="E194" s="427" t="s">
        <v>282</v>
      </c>
      <c r="F194" s="417">
        <v>6</v>
      </c>
      <c r="G194" s="418">
        <v>6</v>
      </c>
      <c r="H194" s="420">
        <v>0.77559999999999996</v>
      </c>
      <c r="I194" s="417">
        <v>6.6763500000000002</v>
      </c>
      <c r="J194" s="418">
        <v>0.67635000000000001</v>
      </c>
      <c r="K194" s="421">
        <v>1.112725</v>
      </c>
    </row>
    <row r="195" spans="1:11" ht="14.4" customHeight="1" thickBot="1" x14ac:dyDescent="0.35">
      <c r="A195" s="438" t="s">
        <v>468</v>
      </c>
      <c r="B195" s="422">
        <v>0</v>
      </c>
      <c r="C195" s="422">
        <v>122.50700000000001</v>
      </c>
      <c r="D195" s="423">
        <v>122.50700000000001</v>
      </c>
      <c r="E195" s="424" t="s">
        <v>282</v>
      </c>
      <c r="F195" s="422">
        <v>0</v>
      </c>
      <c r="G195" s="423">
        <v>0</v>
      </c>
      <c r="H195" s="425">
        <v>0</v>
      </c>
      <c r="I195" s="422">
        <v>0</v>
      </c>
      <c r="J195" s="423">
        <v>0</v>
      </c>
      <c r="K195" s="430">
        <v>0</v>
      </c>
    </row>
    <row r="196" spans="1:11" ht="14.4" customHeight="1" thickBot="1" x14ac:dyDescent="0.35">
      <c r="A196" s="439" t="s">
        <v>469</v>
      </c>
      <c r="B196" s="417">
        <v>0</v>
      </c>
      <c r="C196" s="417">
        <v>122.50700000000001</v>
      </c>
      <c r="D196" s="418">
        <v>122.50700000000001</v>
      </c>
      <c r="E196" s="427" t="s">
        <v>282</v>
      </c>
      <c r="F196" s="417">
        <v>0</v>
      </c>
      <c r="G196" s="418">
        <v>0</v>
      </c>
      <c r="H196" s="420">
        <v>0</v>
      </c>
      <c r="I196" s="417">
        <v>0</v>
      </c>
      <c r="J196" s="418">
        <v>0</v>
      </c>
      <c r="K196" s="421">
        <v>0</v>
      </c>
    </row>
    <row r="197" spans="1:11" ht="14.4" customHeight="1" thickBot="1" x14ac:dyDescent="0.35">
      <c r="A197" s="438" t="s">
        <v>470</v>
      </c>
      <c r="B197" s="422">
        <v>1866.99999999998</v>
      </c>
      <c r="C197" s="422">
        <v>1604.8017600000001</v>
      </c>
      <c r="D197" s="423">
        <v>-262.19823999997499</v>
      </c>
      <c r="E197" s="429">
        <v>0.85956173540400005</v>
      </c>
      <c r="F197" s="422">
        <v>1708</v>
      </c>
      <c r="G197" s="423">
        <v>1708</v>
      </c>
      <c r="H197" s="425">
        <v>189.24155999999999</v>
      </c>
      <c r="I197" s="422">
        <v>1681.42725</v>
      </c>
      <c r="J197" s="423">
        <v>-26.572749999999001</v>
      </c>
      <c r="K197" s="430">
        <v>0.98444218384000004</v>
      </c>
    </row>
    <row r="198" spans="1:11" ht="14.4" customHeight="1" thickBot="1" x14ac:dyDescent="0.35">
      <c r="A198" s="439" t="s">
        <v>471</v>
      </c>
      <c r="B198" s="417">
        <v>1866.99999999998</v>
      </c>
      <c r="C198" s="417">
        <v>1604.8017600000001</v>
      </c>
      <c r="D198" s="418">
        <v>-262.19823999997499</v>
      </c>
      <c r="E198" s="419">
        <v>0.85956173540400005</v>
      </c>
      <c r="F198" s="417">
        <v>1708</v>
      </c>
      <c r="G198" s="418">
        <v>1708</v>
      </c>
      <c r="H198" s="420">
        <v>189.24155999999999</v>
      </c>
      <c r="I198" s="417">
        <v>1681.42725</v>
      </c>
      <c r="J198" s="418">
        <v>-26.572749999999001</v>
      </c>
      <c r="K198" s="421">
        <v>0.98444218384000004</v>
      </c>
    </row>
    <row r="199" spans="1:11" ht="14.4" customHeight="1" thickBot="1" x14ac:dyDescent="0.35">
      <c r="A199" s="443"/>
      <c r="B199" s="417">
        <v>27002.887364719802</v>
      </c>
      <c r="C199" s="417">
        <v>26296.03124</v>
      </c>
      <c r="D199" s="418">
        <v>-706.85612471978698</v>
      </c>
      <c r="E199" s="419">
        <v>0.97382294288799998</v>
      </c>
      <c r="F199" s="417">
        <v>25058.589737992701</v>
      </c>
      <c r="G199" s="418">
        <v>25058.589737992701</v>
      </c>
      <c r="H199" s="420">
        <v>725.12197000000003</v>
      </c>
      <c r="I199" s="417">
        <v>34057.584560000003</v>
      </c>
      <c r="J199" s="418">
        <v>8998.9948220072802</v>
      </c>
      <c r="K199" s="421">
        <v>1.3591181673070001</v>
      </c>
    </row>
    <row r="200" spans="1:11" ht="14.4" customHeight="1" thickBot="1" x14ac:dyDescent="0.35">
      <c r="A200" s="444" t="s">
        <v>66</v>
      </c>
      <c r="B200" s="431">
        <v>27002.887364719802</v>
      </c>
      <c r="C200" s="431">
        <v>26296.03124</v>
      </c>
      <c r="D200" s="432">
        <v>-706.85612471977799</v>
      </c>
      <c r="E200" s="433">
        <v>-1.020691866727</v>
      </c>
      <c r="F200" s="431">
        <v>25058.589737992701</v>
      </c>
      <c r="G200" s="432">
        <v>25058.589737992701</v>
      </c>
      <c r="H200" s="431">
        <v>725.12197000000003</v>
      </c>
      <c r="I200" s="431">
        <v>34057.584560000003</v>
      </c>
      <c r="J200" s="432">
        <v>8998.9948220072802</v>
      </c>
      <c r="K200" s="434">
        <v>1.3591181673070001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7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9" customWidth="1"/>
    <col min="2" max="2" width="61.109375" style="209" customWidth="1"/>
    <col min="3" max="3" width="9.5546875" style="130" customWidth="1"/>
    <col min="4" max="4" width="9.5546875" style="210" customWidth="1"/>
    <col min="5" max="5" width="2.21875" style="210" customWidth="1"/>
    <col min="6" max="6" width="9.5546875" style="211" customWidth="1"/>
    <col min="7" max="7" width="9.5546875" style="208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4" t="s">
        <v>139</v>
      </c>
      <c r="B1" s="355"/>
      <c r="C1" s="355"/>
      <c r="D1" s="355"/>
      <c r="E1" s="355"/>
      <c r="F1" s="355"/>
      <c r="G1" s="326"/>
      <c r="H1" s="356"/>
      <c r="I1" s="356"/>
    </row>
    <row r="2" spans="1:10" ht="14.4" customHeight="1" thickBot="1" x14ac:dyDescent="0.35">
      <c r="A2" s="235" t="s">
        <v>281</v>
      </c>
      <c r="B2" s="207"/>
      <c r="C2" s="207"/>
      <c r="D2" s="207"/>
      <c r="E2" s="207"/>
      <c r="F2" s="207"/>
    </row>
    <row r="3" spans="1:10" ht="14.4" customHeight="1" thickBot="1" x14ac:dyDescent="0.35">
      <c r="A3" s="235"/>
      <c r="B3" s="207"/>
      <c r="C3" s="293">
        <v>2012</v>
      </c>
      <c r="D3" s="294">
        <v>2013</v>
      </c>
      <c r="E3" s="7"/>
      <c r="F3" s="349">
        <v>2014</v>
      </c>
      <c r="G3" s="350"/>
      <c r="H3" s="350"/>
      <c r="I3" s="351"/>
    </row>
    <row r="4" spans="1:10" ht="14.4" customHeight="1" thickBot="1" x14ac:dyDescent="0.35">
      <c r="A4" s="298" t="s">
        <v>0</v>
      </c>
      <c r="B4" s="299" t="s">
        <v>266</v>
      </c>
      <c r="C4" s="352" t="s">
        <v>73</v>
      </c>
      <c r="D4" s="353"/>
      <c r="E4" s="300"/>
      <c r="F4" s="295" t="s">
        <v>73</v>
      </c>
      <c r="G4" s="296" t="s">
        <v>74</v>
      </c>
      <c r="H4" s="296" t="s">
        <v>68</v>
      </c>
      <c r="I4" s="297" t="s">
        <v>75</v>
      </c>
    </row>
    <row r="5" spans="1:10" ht="14.4" customHeight="1" x14ac:dyDescent="0.3">
      <c r="A5" s="445" t="s">
        <v>472</v>
      </c>
      <c r="B5" s="446" t="s">
        <v>473</v>
      </c>
      <c r="C5" s="447" t="s">
        <v>474</v>
      </c>
      <c r="D5" s="447" t="s">
        <v>474</v>
      </c>
      <c r="E5" s="447"/>
      <c r="F5" s="447" t="s">
        <v>474</v>
      </c>
      <c r="G5" s="447" t="s">
        <v>474</v>
      </c>
      <c r="H5" s="447" t="s">
        <v>474</v>
      </c>
      <c r="I5" s="448" t="s">
        <v>474</v>
      </c>
      <c r="J5" s="449" t="s">
        <v>69</v>
      </c>
    </row>
    <row r="6" spans="1:10" ht="14.4" customHeight="1" x14ac:dyDescent="0.3">
      <c r="A6" s="445" t="s">
        <v>472</v>
      </c>
      <c r="B6" s="446" t="s">
        <v>291</v>
      </c>
      <c r="C6" s="447">
        <v>83.640010000000004</v>
      </c>
      <c r="D6" s="447">
        <v>88.754489999998981</v>
      </c>
      <c r="E6" s="447"/>
      <c r="F6" s="447">
        <v>59.789429999999996</v>
      </c>
      <c r="G6" s="447">
        <v>87.821719923201996</v>
      </c>
      <c r="H6" s="447">
        <v>-28.032289923202001</v>
      </c>
      <c r="I6" s="448">
        <v>0.6808045897106596</v>
      </c>
      <c r="J6" s="449" t="s">
        <v>1</v>
      </c>
    </row>
    <row r="7" spans="1:10" ht="14.4" customHeight="1" x14ac:dyDescent="0.3">
      <c r="A7" s="445" t="s">
        <v>472</v>
      </c>
      <c r="B7" s="446" t="s">
        <v>292</v>
      </c>
      <c r="C7" s="447">
        <v>0.40994000000000003</v>
      </c>
      <c r="D7" s="447">
        <v>0.22676999999999997</v>
      </c>
      <c r="E7" s="447"/>
      <c r="F7" s="447">
        <v>0</v>
      </c>
      <c r="G7" s="447">
        <v>0.22952717266899997</v>
      </c>
      <c r="H7" s="447">
        <v>-0.22952717266899997</v>
      </c>
      <c r="I7" s="448">
        <v>0</v>
      </c>
      <c r="J7" s="449" t="s">
        <v>1</v>
      </c>
    </row>
    <row r="8" spans="1:10" ht="14.4" customHeight="1" x14ac:dyDescent="0.3">
      <c r="A8" s="445" t="s">
        <v>472</v>
      </c>
      <c r="B8" s="446" t="s">
        <v>293</v>
      </c>
      <c r="C8" s="447">
        <v>7.0271999999999997</v>
      </c>
      <c r="D8" s="447">
        <v>6.0179</v>
      </c>
      <c r="E8" s="447"/>
      <c r="F8" s="447">
        <v>2.7152399999999997</v>
      </c>
      <c r="G8" s="447">
        <v>5.7574524209589999</v>
      </c>
      <c r="H8" s="447">
        <v>-3.0422124209590002</v>
      </c>
      <c r="I8" s="448">
        <v>0.47160441832148586</v>
      </c>
      <c r="J8" s="449" t="s">
        <v>1</v>
      </c>
    </row>
    <row r="9" spans="1:10" ht="14.4" customHeight="1" x14ac:dyDescent="0.3">
      <c r="A9" s="445" t="s">
        <v>472</v>
      </c>
      <c r="B9" s="446" t="s">
        <v>475</v>
      </c>
      <c r="C9" s="447">
        <v>91.077150000000003</v>
      </c>
      <c r="D9" s="447">
        <v>94.99915999999898</v>
      </c>
      <c r="E9" s="447"/>
      <c r="F9" s="447">
        <v>62.504669999999997</v>
      </c>
      <c r="G9" s="447">
        <v>93.808699516829989</v>
      </c>
      <c r="H9" s="447">
        <v>-31.304029516829992</v>
      </c>
      <c r="I9" s="448">
        <v>0.66629929123776188</v>
      </c>
      <c r="J9" s="449" t="s">
        <v>476</v>
      </c>
    </row>
    <row r="11" spans="1:10" ht="14.4" customHeight="1" x14ac:dyDescent="0.3">
      <c r="A11" s="445" t="s">
        <v>472</v>
      </c>
      <c r="B11" s="446" t="s">
        <v>473</v>
      </c>
      <c r="C11" s="447" t="s">
        <v>474</v>
      </c>
      <c r="D11" s="447" t="s">
        <v>474</v>
      </c>
      <c r="E11" s="447"/>
      <c r="F11" s="447" t="s">
        <v>474</v>
      </c>
      <c r="G11" s="447" t="s">
        <v>474</v>
      </c>
      <c r="H11" s="447" t="s">
        <v>474</v>
      </c>
      <c r="I11" s="448" t="s">
        <v>474</v>
      </c>
      <c r="J11" s="449" t="s">
        <v>69</v>
      </c>
    </row>
    <row r="12" spans="1:10" ht="14.4" customHeight="1" x14ac:dyDescent="0.3">
      <c r="A12" s="445" t="s">
        <v>477</v>
      </c>
      <c r="B12" s="446" t="s">
        <v>478</v>
      </c>
      <c r="C12" s="447" t="s">
        <v>474</v>
      </c>
      <c r="D12" s="447" t="s">
        <v>474</v>
      </c>
      <c r="E12" s="447"/>
      <c r="F12" s="447" t="s">
        <v>474</v>
      </c>
      <c r="G12" s="447" t="s">
        <v>474</v>
      </c>
      <c r="H12" s="447" t="s">
        <v>474</v>
      </c>
      <c r="I12" s="448" t="s">
        <v>474</v>
      </c>
      <c r="J12" s="449" t="s">
        <v>0</v>
      </c>
    </row>
    <row r="13" spans="1:10" ht="14.4" customHeight="1" x14ac:dyDescent="0.3">
      <c r="A13" s="445" t="s">
        <v>477</v>
      </c>
      <c r="B13" s="446" t="s">
        <v>291</v>
      </c>
      <c r="C13" s="447">
        <v>0</v>
      </c>
      <c r="D13" s="447" t="s">
        <v>474</v>
      </c>
      <c r="E13" s="447"/>
      <c r="F13" s="447" t="s">
        <v>474</v>
      </c>
      <c r="G13" s="447" t="s">
        <v>474</v>
      </c>
      <c r="H13" s="447" t="s">
        <v>474</v>
      </c>
      <c r="I13" s="448" t="s">
        <v>474</v>
      </c>
      <c r="J13" s="449" t="s">
        <v>1</v>
      </c>
    </row>
    <row r="14" spans="1:10" ht="14.4" customHeight="1" x14ac:dyDescent="0.3">
      <c r="A14" s="445" t="s">
        <v>477</v>
      </c>
      <c r="B14" s="446" t="s">
        <v>479</v>
      </c>
      <c r="C14" s="447">
        <v>0</v>
      </c>
      <c r="D14" s="447" t="s">
        <v>474</v>
      </c>
      <c r="E14" s="447"/>
      <c r="F14" s="447" t="s">
        <v>474</v>
      </c>
      <c r="G14" s="447" t="s">
        <v>474</v>
      </c>
      <c r="H14" s="447" t="s">
        <v>474</v>
      </c>
      <c r="I14" s="448" t="s">
        <v>474</v>
      </c>
      <c r="J14" s="449" t="s">
        <v>480</v>
      </c>
    </row>
    <row r="15" spans="1:10" ht="14.4" customHeight="1" x14ac:dyDescent="0.3">
      <c r="A15" s="445" t="s">
        <v>474</v>
      </c>
      <c r="B15" s="446" t="s">
        <v>474</v>
      </c>
      <c r="C15" s="447" t="s">
        <v>474</v>
      </c>
      <c r="D15" s="447" t="s">
        <v>474</v>
      </c>
      <c r="E15" s="447"/>
      <c r="F15" s="447" t="s">
        <v>474</v>
      </c>
      <c r="G15" s="447" t="s">
        <v>474</v>
      </c>
      <c r="H15" s="447" t="s">
        <v>474</v>
      </c>
      <c r="I15" s="448" t="s">
        <v>474</v>
      </c>
      <c r="J15" s="449" t="s">
        <v>481</v>
      </c>
    </row>
    <row r="16" spans="1:10" ht="14.4" customHeight="1" x14ac:dyDescent="0.3">
      <c r="A16" s="445" t="s">
        <v>482</v>
      </c>
      <c r="B16" s="446" t="s">
        <v>483</v>
      </c>
      <c r="C16" s="447" t="s">
        <v>474</v>
      </c>
      <c r="D16" s="447" t="s">
        <v>474</v>
      </c>
      <c r="E16" s="447"/>
      <c r="F16" s="447" t="s">
        <v>474</v>
      </c>
      <c r="G16" s="447" t="s">
        <v>474</v>
      </c>
      <c r="H16" s="447" t="s">
        <v>474</v>
      </c>
      <c r="I16" s="448" t="s">
        <v>474</v>
      </c>
      <c r="J16" s="449" t="s">
        <v>0</v>
      </c>
    </row>
    <row r="17" spans="1:10" ht="14.4" customHeight="1" x14ac:dyDescent="0.3">
      <c r="A17" s="445" t="s">
        <v>482</v>
      </c>
      <c r="B17" s="446" t="s">
        <v>291</v>
      </c>
      <c r="C17" s="447">
        <v>46.970310000000005</v>
      </c>
      <c r="D17" s="447">
        <v>47.025899999998991</v>
      </c>
      <c r="E17" s="447"/>
      <c r="F17" s="447">
        <v>28.564539999999997</v>
      </c>
      <c r="G17" s="447">
        <v>47.061521679922997</v>
      </c>
      <c r="H17" s="447">
        <v>-18.496981679923</v>
      </c>
      <c r="I17" s="448">
        <v>0.60696167442851656</v>
      </c>
      <c r="J17" s="449" t="s">
        <v>1</v>
      </c>
    </row>
    <row r="18" spans="1:10" ht="14.4" customHeight="1" x14ac:dyDescent="0.3">
      <c r="A18" s="445" t="s">
        <v>482</v>
      </c>
      <c r="B18" s="446" t="s">
        <v>292</v>
      </c>
      <c r="C18" s="447">
        <v>0.40994000000000003</v>
      </c>
      <c r="D18" s="447">
        <v>3.7690000000000001E-2</v>
      </c>
      <c r="E18" s="447"/>
      <c r="F18" s="447">
        <v>0</v>
      </c>
      <c r="G18" s="447">
        <v>3.8148252139999998E-2</v>
      </c>
      <c r="H18" s="447">
        <v>-3.8148252139999998E-2</v>
      </c>
      <c r="I18" s="448">
        <v>0</v>
      </c>
      <c r="J18" s="449" t="s">
        <v>1</v>
      </c>
    </row>
    <row r="19" spans="1:10" ht="14.4" customHeight="1" x14ac:dyDescent="0.3">
      <c r="A19" s="445" t="s">
        <v>482</v>
      </c>
      <c r="B19" s="446" t="s">
        <v>484</v>
      </c>
      <c r="C19" s="447">
        <v>47.380250000000004</v>
      </c>
      <c r="D19" s="447">
        <v>47.063589999998989</v>
      </c>
      <c r="E19" s="447"/>
      <c r="F19" s="447">
        <v>28.564539999999997</v>
      </c>
      <c r="G19" s="447">
        <v>47.099669932062994</v>
      </c>
      <c r="H19" s="447">
        <v>-18.535129932062997</v>
      </c>
      <c r="I19" s="448">
        <v>0.60647006743787713</v>
      </c>
      <c r="J19" s="449" t="s">
        <v>480</v>
      </c>
    </row>
    <row r="20" spans="1:10" ht="14.4" customHeight="1" x14ac:dyDescent="0.3">
      <c r="A20" s="445" t="s">
        <v>474</v>
      </c>
      <c r="B20" s="446" t="s">
        <v>474</v>
      </c>
      <c r="C20" s="447" t="s">
        <v>474</v>
      </c>
      <c r="D20" s="447" t="s">
        <v>474</v>
      </c>
      <c r="E20" s="447"/>
      <c r="F20" s="447" t="s">
        <v>474</v>
      </c>
      <c r="G20" s="447" t="s">
        <v>474</v>
      </c>
      <c r="H20" s="447" t="s">
        <v>474</v>
      </c>
      <c r="I20" s="448" t="s">
        <v>474</v>
      </c>
      <c r="J20" s="449" t="s">
        <v>481</v>
      </c>
    </row>
    <row r="21" spans="1:10" ht="14.4" customHeight="1" x14ac:dyDescent="0.3">
      <c r="A21" s="445" t="s">
        <v>485</v>
      </c>
      <c r="B21" s="446" t="s">
        <v>486</v>
      </c>
      <c r="C21" s="447" t="s">
        <v>474</v>
      </c>
      <c r="D21" s="447" t="s">
        <v>474</v>
      </c>
      <c r="E21" s="447"/>
      <c r="F21" s="447" t="s">
        <v>474</v>
      </c>
      <c r="G21" s="447" t="s">
        <v>474</v>
      </c>
      <c r="H21" s="447" t="s">
        <v>474</v>
      </c>
      <c r="I21" s="448" t="s">
        <v>474</v>
      </c>
      <c r="J21" s="449" t="s">
        <v>0</v>
      </c>
    </row>
    <row r="22" spans="1:10" ht="14.4" customHeight="1" x14ac:dyDescent="0.3">
      <c r="A22" s="445" t="s">
        <v>485</v>
      </c>
      <c r="B22" s="446" t="s">
        <v>291</v>
      </c>
      <c r="C22" s="447">
        <v>36.669699999999999</v>
      </c>
      <c r="D22" s="447">
        <v>41.728589999999997</v>
      </c>
      <c r="E22" s="447"/>
      <c r="F22" s="447">
        <v>31.224890000000002</v>
      </c>
      <c r="G22" s="447">
        <v>40.760198243279</v>
      </c>
      <c r="H22" s="447">
        <v>-9.5353082432789975</v>
      </c>
      <c r="I22" s="448">
        <v>0.76606325154830945</v>
      </c>
      <c r="J22" s="449" t="s">
        <v>1</v>
      </c>
    </row>
    <row r="23" spans="1:10" ht="14.4" customHeight="1" x14ac:dyDescent="0.3">
      <c r="A23" s="445" t="s">
        <v>485</v>
      </c>
      <c r="B23" s="446" t="s">
        <v>292</v>
      </c>
      <c r="C23" s="447" t="s">
        <v>474</v>
      </c>
      <c r="D23" s="447">
        <v>0.18907999999999997</v>
      </c>
      <c r="E23" s="447"/>
      <c r="F23" s="447">
        <v>0</v>
      </c>
      <c r="G23" s="447">
        <v>0.19137892052899996</v>
      </c>
      <c r="H23" s="447">
        <v>-0.19137892052899996</v>
      </c>
      <c r="I23" s="448">
        <v>0</v>
      </c>
      <c r="J23" s="449" t="s">
        <v>1</v>
      </c>
    </row>
    <row r="24" spans="1:10" ht="14.4" customHeight="1" x14ac:dyDescent="0.3">
      <c r="A24" s="445" t="s">
        <v>485</v>
      </c>
      <c r="B24" s="446" t="s">
        <v>293</v>
      </c>
      <c r="C24" s="447">
        <v>7.0271999999999997</v>
      </c>
      <c r="D24" s="447">
        <v>6.0179</v>
      </c>
      <c r="E24" s="447"/>
      <c r="F24" s="447">
        <v>2.7152399999999997</v>
      </c>
      <c r="G24" s="447">
        <v>5.7574524209589999</v>
      </c>
      <c r="H24" s="447">
        <v>-3.0422124209590002</v>
      </c>
      <c r="I24" s="448">
        <v>0.47160441832148586</v>
      </c>
      <c r="J24" s="449" t="s">
        <v>1</v>
      </c>
    </row>
    <row r="25" spans="1:10" ht="14.4" customHeight="1" x14ac:dyDescent="0.3">
      <c r="A25" s="445" t="s">
        <v>485</v>
      </c>
      <c r="B25" s="446" t="s">
        <v>487</v>
      </c>
      <c r="C25" s="447">
        <v>43.696899999999999</v>
      </c>
      <c r="D25" s="447">
        <v>47.935569999999991</v>
      </c>
      <c r="E25" s="447"/>
      <c r="F25" s="447">
        <v>33.940130000000003</v>
      </c>
      <c r="G25" s="447">
        <v>46.709029584766995</v>
      </c>
      <c r="H25" s="447">
        <v>-12.768899584766991</v>
      </c>
      <c r="I25" s="448">
        <v>0.72662888314572793</v>
      </c>
      <c r="J25" s="449" t="s">
        <v>480</v>
      </c>
    </row>
    <row r="26" spans="1:10" ht="14.4" customHeight="1" x14ac:dyDescent="0.3">
      <c r="A26" s="445" t="s">
        <v>474</v>
      </c>
      <c r="B26" s="446" t="s">
        <v>474</v>
      </c>
      <c r="C26" s="447" t="s">
        <v>474</v>
      </c>
      <c r="D26" s="447" t="s">
        <v>474</v>
      </c>
      <c r="E26" s="447"/>
      <c r="F26" s="447" t="s">
        <v>474</v>
      </c>
      <c r="G26" s="447" t="s">
        <v>474</v>
      </c>
      <c r="H26" s="447" t="s">
        <v>474</v>
      </c>
      <c r="I26" s="448" t="s">
        <v>474</v>
      </c>
      <c r="J26" s="449" t="s">
        <v>481</v>
      </c>
    </row>
    <row r="27" spans="1:10" ht="14.4" customHeight="1" x14ac:dyDescent="0.3">
      <c r="A27" s="445" t="s">
        <v>472</v>
      </c>
      <c r="B27" s="446" t="s">
        <v>475</v>
      </c>
      <c r="C27" s="447">
        <v>91.077149999999989</v>
      </c>
      <c r="D27" s="447">
        <v>94.99915999999898</v>
      </c>
      <c r="E27" s="447"/>
      <c r="F27" s="447">
        <v>62.504669999999997</v>
      </c>
      <c r="G27" s="447">
        <v>93.808699516830004</v>
      </c>
      <c r="H27" s="447">
        <v>-31.304029516830006</v>
      </c>
      <c r="I27" s="448">
        <v>0.66629929123776177</v>
      </c>
      <c r="J27" s="449" t="s">
        <v>476</v>
      </c>
    </row>
  </sheetData>
  <mergeCells count="3">
    <mergeCell ref="F3:I3"/>
    <mergeCell ref="C4:D4"/>
    <mergeCell ref="A1:I1"/>
  </mergeCells>
  <conditionalFormatting sqref="F10 F28:F65537">
    <cfRule type="cellIs" dxfId="54" priority="18" stopIfTrue="1" operator="greaterThan">
      <formula>1</formula>
    </cfRule>
  </conditionalFormatting>
  <conditionalFormatting sqref="H5:H9">
    <cfRule type="expression" dxfId="53" priority="14">
      <formula>$H5&gt;0</formula>
    </cfRule>
  </conditionalFormatting>
  <conditionalFormatting sqref="I5:I9">
    <cfRule type="expression" dxfId="52" priority="15">
      <formula>$I5&gt;1</formula>
    </cfRule>
  </conditionalFormatting>
  <conditionalFormatting sqref="B5:B9">
    <cfRule type="expression" dxfId="51" priority="11">
      <formula>OR($J5="NS",$J5="SumaNS",$J5="Účet")</formula>
    </cfRule>
  </conditionalFormatting>
  <conditionalFormatting sqref="B5:D9 F5:I9">
    <cfRule type="expression" dxfId="50" priority="17">
      <formula>AND($J5&lt;&gt;"",$J5&lt;&gt;"mezeraKL")</formula>
    </cfRule>
  </conditionalFormatting>
  <conditionalFormatting sqref="B5:D9 F5:I9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48" priority="13">
      <formula>OR($J5="SumaNS",$J5="NS")</formula>
    </cfRule>
  </conditionalFormatting>
  <conditionalFormatting sqref="A5:A9">
    <cfRule type="expression" dxfId="47" priority="9">
      <formula>AND($J5&lt;&gt;"mezeraKL",$J5&lt;&gt;"")</formula>
    </cfRule>
  </conditionalFormatting>
  <conditionalFormatting sqref="A5:A9">
    <cfRule type="expression" dxfId="46" priority="10">
      <formula>AND($J5&lt;&gt;"",$J5&lt;&gt;"mezeraKL")</formula>
    </cfRule>
  </conditionalFormatting>
  <conditionalFormatting sqref="H11:H27">
    <cfRule type="expression" dxfId="45" priority="5">
      <formula>$H11&gt;0</formula>
    </cfRule>
  </conditionalFormatting>
  <conditionalFormatting sqref="A11:A27">
    <cfRule type="expression" dxfId="44" priority="2">
      <formula>AND($J11&lt;&gt;"mezeraKL",$J11&lt;&gt;"")</formula>
    </cfRule>
  </conditionalFormatting>
  <conditionalFormatting sqref="I11:I27">
    <cfRule type="expression" dxfId="43" priority="6">
      <formula>$I11&gt;1</formula>
    </cfRule>
  </conditionalFormatting>
  <conditionalFormatting sqref="B11:B27">
    <cfRule type="expression" dxfId="42" priority="1">
      <formula>OR($J11="NS",$J11="SumaNS",$J11="Účet")</formula>
    </cfRule>
  </conditionalFormatting>
  <conditionalFormatting sqref="A11:D27 F11:I27">
    <cfRule type="expression" dxfId="41" priority="8">
      <formula>AND($J11&lt;&gt;"",$J11&lt;&gt;"mezeraKL")</formula>
    </cfRule>
  </conditionalFormatting>
  <conditionalFormatting sqref="B11:D27 F11:I27">
    <cfRule type="expression" dxfId="40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27 F11:I27">
    <cfRule type="expression" dxfId="39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54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10" bestFit="1" customWidth="1" collapsed="1"/>
    <col min="4" max="4" width="18.77734375" style="214" customWidth="1"/>
    <col min="5" max="5" width="9" style="210" bestFit="1" customWidth="1"/>
    <col min="6" max="6" width="18.77734375" style="214" customWidth="1"/>
    <col min="7" max="7" width="5" style="210" customWidth="1"/>
    <col min="8" max="8" width="12.44140625" style="210" hidden="1" customWidth="1" outlineLevel="1"/>
    <col min="9" max="9" width="8.5546875" style="210" hidden="1" customWidth="1" outlineLevel="1"/>
    <col min="10" max="10" width="25.77734375" style="210" customWidth="1" collapsed="1"/>
    <col min="11" max="11" width="8.77734375" style="210" customWidth="1"/>
    <col min="12" max="13" width="7.77734375" style="208" customWidth="1"/>
    <col min="14" max="14" width="11.109375" style="208" customWidth="1"/>
    <col min="15" max="16384" width="8.88671875" style="130"/>
  </cols>
  <sheetData>
    <row r="1" spans="1:14" ht="18.600000000000001" customHeight="1" thickBot="1" x14ac:dyDescent="0.4">
      <c r="A1" s="361" t="s">
        <v>166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</row>
    <row r="2" spans="1:14" ht="14.4" customHeight="1" thickBot="1" x14ac:dyDescent="0.35">
      <c r="A2" s="235" t="s">
        <v>281</v>
      </c>
      <c r="B2" s="62"/>
      <c r="C2" s="212"/>
      <c r="D2" s="212"/>
      <c r="E2" s="212"/>
      <c r="F2" s="212"/>
      <c r="G2" s="212"/>
      <c r="H2" s="212"/>
      <c r="I2" s="212"/>
      <c r="J2" s="212"/>
      <c r="K2" s="212"/>
      <c r="L2" s="213"/>
      <c r="M2" s="213"/>
      <c r="N2" s="213"/>
    </row>
    <row r="3" spans="1:14" ht="14.4" customHeight="1" thickBot="1" x14ac:dyDescent="0.35">
      <c r="A3" s="62"/>
      <c r="B3" s="62"/>
      <c r="C3" s="357"/>
      <c r="D3" s="358"/>
      <c r="E3" s="358"/>
      <c r="F3" s="358"/>
      <c r="G3" s="358"/>
      <c r="H3" s="358"/>
      <c r="I3" s="358"/>
      <c r="J3" s="359" t="s">
        <v>129</v>
      </c>
      <c r="K3" s="360"/>
      <c r="L3" s="98">
        <f>IF(M3&lt;&gt;0,N3/M3,0)</f>
        <v>184.49456310823044</v>
      </c>
      <c r="M3" s="98">
        <f>SUBTOTAL(9,M5:M1048576)</f>
        <v>219.6</v>
      </c>
      <c r="N3" s="99">
        <f>SUBTOTAL(9,N5:N1048576)</f>
        <v>40515.0060585674</v>
      </c>
    </row>
    <row r="4" spans="1:14" s="209" customFormat="1" ht="14.4" customHeight="1" thickBot="1" x14ac:dyDescent="0.35">
      <c r="A4" s="450" t="s">
        <v>4</v>
      </c>
      <c r="B4" s="451" t="s">
        <v>5</v>
      </c>
      <c r="C4" s="451" t="s">
        <v>0</v>
      </c>
      <c r="D4" s="451" t="s">
        <v>6</v>
      </c>
      <c r="E4" s="451" t="s">
        <v>7</v>
      </c>
      <c r="F4" s="451" t="s">
        <v>1</v>
      </c>
      <c r="G4" s="451" t="s">
        <v>8</v>
      </c>
      <c r="H4" s="451" t="s">
        <v>9</v>
      </c>
      <c r="I4" s="451" t="s">
        <v>10</v>
      </c>
      <c r="J4" s="452" t="s">
        <v>11</v>
      </c>
      <c r="K4" s="452" t="s">
        <v>12</v>
      </c>
      <c r="L4" s="453" t="s">
        <v>144</v>
      </c>
      <c r="M4" s="453" t="s">
        <v>13</v>
      </c>
      <c r="N4" s="454" t="s">
        <v>161</v>
      </c>
    </row>
    <row r="5" spans="1:14" ht="14.4" customHeight="1" x14ac:dyDescent="0.3">
      <c r="A5" s="457" t="s">
        <v>472</v>
      </c>
      <c r="B5" s="458" t="s">
        <v>668</v>
      </c>
      <c r="C5" s="459" t="s">
        <v>482</v>
      </c>
      <c r="D5" s="460" t="s">
        <v>669</v>
      </c>
      <c r="E5" s="459" t="s">
        <v>488</v>
      </c>
      <c r="F5" s="460" t="s">
        <v>671</v>
      </c>
      <c r="G5" s="459" t="s">
        <v>489</v>
      </c>
      <c r="H5" s="459" t="s">
        <v>490</v>
      </c>
      <c r="I5" s="459" t="s">
        <v>490</v>
      </c>
      <c r="J5" s="459" t="s">
        <v>491</v>
      </c>
      <c r="K5" s="459" t="s">
        <v>492</v>
      </c>
      <c r="L5" s="461">
        <v>149.5</v>
      </c>
      <c r="M5" s="461">
        <v>0.1</v>
      </c>
      <c r="N5" s="462">
        <v>14.950000000000001</v>
      </c>
    </row>
    <row r="6" spans="1:14" ht="14.4" customHeight="1" x14ac:dyDescent="0.3">
      <c r="A6" s="463" t="s">
        <v>472</v>
      </c>
      <c r="B6" s="464" t="s">
        <v>668</v>
      </c>
      <c r="C6" s="465" t="s">
        <v>482</v>
      </c>
      <c r="D6" s="466" t="s">
        <v>669</v>
      </c>
      <c r="E6" s="465" t="s">
        <v>488</v>
      </c>
      <c r="F6" s="466" t="s">
        <v>671</v>
      </c>
      <c r="G6" s="465" t="s">
        <v>489</v>
      </c>
      <c r="H6" s="465" t="s">
        <v>493</v>
      </c>
      <c r="I6" s="465" t="s">
        <v>494</v>
      </c>
      <c r="J6" s="465" t="s">
        <v>495</v>
      </c>
      <c r="K6" s="465" t="s">
        <v>496</v>
      </c>
      <c r="L6" s="467">
        <v>84.569816911816559</v>
      </c>
      <c r="M6" s="467">
        <v>1</v>
      </c>
      <c r="N6" s="468">
        <v>84.569816911816559</v>
      </c>
    </row>
    <row r="7" spans="1:14" ht="14.4" customHeight="1" x14ac:dyDescent="0.3">
      <c r="A7" s="463" t="s">
        <v>472</v>
      </c>
      <c r="B7" s="464" t="s">
        <v>668</v>
      </c>
      <c r="C7" s="465" t="s">
        <v>482</v>
      </c>
      <c r="D7" s="466" t="s">
        <v>669</v>
      </c>
      <c r="E7" s="465" t="s">
        <v>488</v>
      </c>
      <c r="F7" s="466" t="s">
        <v>671</v>
      </c>
      <c r="G7" s="465" t="s">
        <v>489</v>
      </c>
      <c r="H7" s="465" t="s">
        <v>497</v>
      </c>
      <c r="I7" s="465" t="s">
        <v>498</v>
      </c>
      <c r="J7" s="465" t="s">
        <v>499</v>
      </c>
      <c r="K7" s="465" t="s">
        <v>500</v>
      </c>
      <c r="L7" s="467">
        <v>100.19454545454546</v>
      </c>
      <c r="M7" s="467">
        <v>11</v>
      </c>
      <c r="N7" s="468">
        <v>1102.1400000000001</v>
      </c>
    </row>
    <row r="8" spans="1:14" ht="14.4" customHeight="1" x14ac:dyDescent="0.3">
      <c r="A8" s="463" t="s">
        <v>472</v>
      </c>
      <c r="B8" s="464" t="s">
        <v>668</v>
      </c>
      <c r="C8" s="465" t="s">
        <v>482</v>
      </c>
      <c r="D8" s="466" t="s">
        <v>669</v>
      </c>
      <c r="E8" s="465" t="s">
        <v>488</v>
      </c>
      <c r="F8" s="466" t="s">
        <v>671</v>
      </c>
      <c r="G8" s="465" t="s">
        <v>489</v>
      </c>
      <c r="H8" s="465" t="s">
        <v>501</v>
      </c>
      <c r="I8" s="465" t="s">
        <v>502</v>
      </c>
      <c r="J8" s="465" t="s">
        <v>503</v>
      </c>
      <c r="K8" s="465" t="s">
        <v>504</v>
      </c>
      <c r="L8" s="467">
        <v>170.20250000000004</v>
      </c>
      <c r="M8" s="467">
        <v>4</v>
      </c>
      <c r="N8" s="468">
        <v>680.81000000000017</v>
      </c>
    </row>
    <row r="9" spans="1:14" ht="14.4" customHeight="1" x14ac:dyDescent="0.3">
      <c r="A9" s="463" t="s">
        <v>472</v>
      </c>
      <c r="B9" s="464" t="s">
        <v>668</v>
      </c>
      <c r="C9" s="465" t="s">
        <v>482</v>
      </c>
      <c r="D9" s="466" t="s">
        <v>669</v>
      </c>
      <c r="E9" s="465" t="s">
        <v>488</v>
      </c>
      <c r="F9" s="466" t="s">
        <v>671</v>
      </c>
      <c r="G9" s="465" t="s">
        <v>489</v>
      </c>
      <c r="H9" s="465" t="s">
        <v>505</v>
      </c>
      <c r="I9" s="465" t="s">
        <v>506</v>
      </c>
      <c r="J9" s="465" t="s">
        <v>507</v>
      </c>
      <c r="K9" s="465" t="s">
        <v>508</v>
      </c>
      <c r="L9" s="467">
        <v>192.54</v>
      </c>
      <c r="M9" s="467">
        <v>1</v>
      </c>
      <c r="N9" s="468">
        <v>192.54</v>
      </c>
    </row>
    <row r="10" spans="1:14" ht="14.4" customHeight="1" x14ac:dyDescent="0.3">
      <c r="A10" s="463" t="s">
        <v>472</v>
      </c>
      <c r="B10" s="464" t="s">
        <v>668</v>
      </c>
      <c r="C10" s="465" t="s">
        <v>482</v>
      </c>
      <c r="D10" s="466" t="s">
        <v>669</v>
      </c>
      <c r="E10" s="465" t="s">
        <v>488</v>
      </c>
      <c r="F10" s="466" t="s">
        <v>671</v>
      </c>
      <c r="G10" s="465" t="s">
        <v>489</v>
      </c>
      <c r="H10" s="465" t="s">
        <v>509</v>
      </c>
      <c r="I10" s="465" t="s">
        <v>510</v>
      </c>
      <c r="J10" s="465" t="s">
        <v>511</v>
      </c>
      <c r="K10" s="465" t="s">
        <v>512</v>
      </c>
      <c r="L10" s="467">
        <v>42.090079703386337</v>
      </c>
      <c r="M10" s="467">
        <v>1</v>
      </c>
      <c r="N10" s="468">
        <v>42.090079703386337</v>
      </c>
    </row>
    <row r="11" spans="1:14" ht="14.4" customHeight="1" x14ac:dyDescent="0.3">
      <c r="A11" s="463" t="s">
        <v>472</v>
      </c>
      <c r="B11" s="464" t="s">
        <v>668</v>
      </c>
      <c r="C11" s="465" t="s">
        <v>482</v>
      </c>
      <c r="D11" s="466" t="s">
        <v>669</v>
      </c>
      <c r="E11" s="465" t="s">
        <v>488</v>
      </c>
      <c r="F11" s="466" t="s">
        <v>671</v>
      </c>
      <c r="G11" s="465" t="s">
        <v>489</v>
      </c>
      <c r="H11" s="465" t="s">
        <v>513</v>
      </c>
      <c r="I11" s="465" t="s">
        <v>514</v>
      </c>
      <c r="J11" s="465" t="s">
        <v>515</v>
      </c>
      <c r="K11" s="465" t="s">
        <v>516</v>
      </c>
      <c r="L11" s="467">
        <v>66.42</v>
      </c>
      <c r="M11" s="467">
        <v>2</v>
      </c>
      <c r="N11" s="468">
        <v>132.84</v>
      </c>
    </row>
    <row r="12" spans="1:14" ht="14.4" customHeight="1" x14ac:dyDescent="0.3">
      <c r="A12" s="463" t="s">
        <v>472</v>
      </c>
      <c r="B12" s="464" t="s">
        <v>668</v>
      </c>
      <c r="C12" s="465" t="s">
        <v>482</v>
      </c>
      <c r="D12" s="466" t="s">
        <v>669</v>
      </c>
      <c r="E12" s="465" t="s">
        <v>488</v>
      </c>
      <c r="F12" s="466" t="s">
        <v>671</v>
      </c>
      <c r="G12" s="465" t="s">
        <v>489</v>
      </c>
      <c r="H12" s="465" t="s">
        <v>517</v>
      </c>
      <c r="I12" s="465" t="s">
        <v>518</v>
      </c>
      <c r="J12" s="465" t="s">
        <v>519</v>
      </c>
      <c r="K12" s="465" t="s">
        <v>520</v>
      </c>
      <c r="L12" s="467">
        <v>127.18000000000005</v>
      </c>
      <c r="M12" s="467">
        <v>3</v>
      </c>
      <c r="N12" s="468">
        <v>381.54000000000013</v>
      </c>
    </row>
    <row r="13" spans="1:14" ht="14.4" customHeight="1" x14ac:dyDescent="0.3">
      <c r="A13" s="463" t="s">
        <v>472</v>
      </c>
      <c r="B13" s="464" t="s">
        <v>668</v>
      </c>
      <c r="C13" s="465" t="s">
        <v>482</v>
      </c>
      <c r="D13" s="466" t="s">
        <v>669</v>
      </c>
      <c r="E13" s="465" t="s">
        <v>488</v>
      </c>
      <c r="F13" s="466" t="s">
        <v>671</v>
      </c>
      <c r="G13" s="465" t="s">
        <v>489</v>
      </c>
      <c r="H13" s="465" t="s">
        <v>521</v>
      </c>
      <c r="I13" s="465" t="s">
        <v>522</v>
      </c>
      <c r="J13" s="465" t="s">
        <v>523</v>
      </c>
      <c r="K13" s="465" t="s">
        <v>524</v>
      </c>
      <c r="L13" s="467">
        <v>22.48</v>
      </c>
      <c r="M13" s="467">
        <v>2</v>
      </c>
      <c r="N13" s="468">
        <v>44.96</v>
      </c>
    </row>
    <row r="14" spans="1:14" ht="14.4" customHeight="1" x14ac:dyDescent="0.3">
      <c r="A14" s="463" t="s">
        <v>472</v>
      </c>
      <c r="B14" s="464" t="s">
        <v>668</v>
      </c>
      <c r="C14" s="465" t="s">
        <v>482</v>
      </c>
      <c r="D14" s="466" t="s">
        <v>669</v>
      </c>
      <c r="E14" s="465" t="s">
        <v>488</v>
      </c>
      <c r="F14" s="466" t="s">
        <v>671</v>
      </c>
      <c r="G14" s="465" t="s">
        <v>489</v>
      </c>
      <c r="H14" s="465" t="s">
        <v>525</v>
      </c>
      <c r="I14" s="465" t="s">
        <v>526</v>
      </c>
      <c r="J14" s="465" t="s">
        <v>527</v>
      </c>
      <c r="K14" s="465"/>
      <c r="L14" s="467">
        <v>103.5</v>
      </c>
      <c r="M14" s="467">
        <v>1</v>
      </c>
      <c r="N14" s="468">
        <v>103.5</v>
      </c>
    </row>
    <row r="15" spans="1:14" ht="14.4" customHeight="1" x14ac:dyDescent="0.3">
      <c r="A15" s="463" t="s">
        <v>472</v>
      </c>
      <c r="B15" s="464" t="s">
        <v>668</v>
      </c>
      <c r="C15" s="465" t="s">
        <v>482</v>
      </c>
      <c r="D15" s="466" t="s">
        <v>669</v>
      </c>
      <c r="E15" s="465" t="s">
        <v>488</v>
      </c>
      <c r="F15" s="466" t="s">
        <v>671</v>
      </c>
      <c r="G15" s="465" t="s">
        <v>489</v>
      </c>
      <c r="H15" s="465" t="s">
        <v>528</v>
      </c>
      <c r="I15" s="465" t="s">
        <v>529</v>
      </c>
      <c r="J15" s="465" t="s">
        <v>530</v>
      </c>
      <c r="K15" s="465" t="s">
        <v>531</v>
      </c>
      <c r="L15" s="467">
        <v>49.65000000000002</v>
      </c>
      <c r="M15" s="467">
        <v>2</v>
      </c>
      <c r="N15" s="468">
        <v>99.30000000000004</v>
      </c>
    </row>
    <row r="16" spans="1:14" ht="14.4" customHeight="1" x14ac:dyDescent="0.3">
      <c r="A16" s="463" t="s">
        <v>472</v>
      </c>
      <c r="B16" s="464" t="s">
        <v>668</v>
      </c>
      <c r="C16" s="465" t="s">
        <v>482</v>
      </c>
      <c r="D16" s="466" t="s">
        <v>669</v>
      </c>
      <c r="E16" s="465" t="s">
        <v>488</v>
      </c>
      <c r="F16" s="466" t="s">
        <v>671</v>
      </c>
      <c r="G16" s="465" t="s">
        <v>489</v>
      </c>
      <c r="H16" s="465" t="s">
        <v>532</v>
      </c>
      <c r="I16" s="465" t="s">
        <v>533</v>
      </c>
      <c r="J16" s="465" t="s">
        <v>534</v>
      </c>
      <c r="K16" s="465" t="s">
        <v>535</v>
      </c>
      <c r="L16" s="467">
        <v>140.28</v>
      </c>
      <c r="M16" s="467">
        <v>1</v>
      </c>
      <c r="N16" s="468">
        <v>140.28</v>
      </c>
    </row>
    <row r="17" spans="1:14" ht="14.4" customHeight="1" x14ac:dyDescent="0.3">
      <c r="A17" s="463" t="s">
        <v>472</v>
      </c>
      <c r="B17" s="464" t="s">
        <v>668</v>
      </c>
      <c r="C17" s="465" t="s">
        <v>482</v>
      </c>
      <c r="D17" s="466" t="s">
        <v>669</v>
      </c>
      <c r="E17" s="465" t="s">
        <v>488</v>
      </c>
      <c r="F17" s="466" t="s">
        <v>671</v>
      </c>
      <c r="G17" s="465" t="s">
        <v>489</v>
      </c>
      <c r="H17" s="465" t="s">
        <v>536</v>
      </c>
      <c r="I17" s="465" t="s">
        <v>537</v>
      </c>
      <c r="J17" s="465" t="s">
        <v>538</v>
      </c>
      <c r="K17" s="465" t="s">
        <v>539</v>
      </c>
      <c r="L17" s="467">
        <v>37.630000000000003</v>
      </c>
      <c r="M17" s="467">
        <v>3</v>
      </c>
      <c r="N17" s="468">
        <v>112.89000000000001</v>
      </c>
    </row>
    <row r="18" spans="1:14" ht="14.4" customHeight="1" x14ac:dyDescent="0.3">
      <c r="A18" s="463" t="s">
        <v>472</v>
      </c>
      <c r="B18" s="464" t="s">
        <v>668</v>
      </c>
      <c r="C18" s="465" t="s">
        <v>482</v>
      </c>
      <c r="D18" s="466" t="s">
        <v>669</v>
      </c>
      <c r="E18" s="465" t="s">
        <v>488</v>
      </c>
      <c r="F18" s="466" t="s">
        <v>671</v>
      </c>
      <c r="G18" s="465" t="s">
        <v>489</v>
      </c>
      <c r="H18" s="465" t="s">
        <v>540</v>
      </c>
      <c r="I18" s="465" t="s">
        <v>541</v>
      </c>
      <c r="J18" s="465" t="s">
        <v>542</v>
      </c>
      <c r="K18" s="465" t="s">
        <v>543</v>
      </c>
      <c r="L18" s="467">
        <v>74.23</v>
      </c>
      <c r="M18" s="467">
        <v>2</v>
      </c>
      <c r="N18" s="468">
        <v>148.46</v>
      </c>
    </row>
    <row r="19" spans="1:14" ht="14.4" customHeight="1" x14ac:dyDescent="0.3">
      <c r="A19" s="463" t="s">
        <v>472</v>
      </c>
      <c r="B19" s="464" t="s">
        <v>668</v>
      </c>
      <c r="C19" s="465" t="s">
        <v>482</v>
      </c>
      <c r="D19" s="466" t="s">
        <v>669</v>
      </c>
      <c r="E19" s="465" t="s">
        <v>488</v>
      </c>
      <c r="F19" s="466" t="s">
        <v>671</v>
      </c>
      <c r="G19" s="465" t="s">
        <v>489</v>
      </c>
      <c r="H19" s="465" t="s">
        <v>544</v>
      </c>
      <c r="I19" s="465" t="s">
        <v>545</v>
      </c>
      <c r="J19" s="465" t="s">
        <v>546</v>
      </c>
      <c r="K19" s="465" t="s">
        <v>547</v>
      </c>
      <c r="L19" s="467">
        <v>28.219999999999988</v>
      </c>
      <c r="M19" s="467">
        <v>3</v>
      </c>
      <c r="N19" s="468">
        <v>84.659999999999968</v>
      </c>
    </row>
    <row r="20" spans="1:14" ht="14.4" customHeight="1" x14ac:dyDescent="0.3">
      <c r="A20" s="463" t="s">
        <v>472</v>
      </c>
      <c r="B20" s="464" t="s">
        <v>668</v>
      </c>
      <c r="C20" s="465" t="s">
        <v>482</v>
      </c>
      <c r="D20" s="466" t="s">
        <v>669</v>
      </c>
      <c r="E20" s="465" t="s">
        <v>488</v>
      </c>
      <c r="F20" s="466" t="s">
        <v>671</v>
      </c>
      <c r="G20" s="465" t="s">
        <v>489</v>
      </c>
      <c r="H20" s="465" t="s">
        <v>548</v>
      </c>
      <c r="I20" s="465" t="s">
        <v>549</v>
      </c>
      <c r="J20" s="465" t="s">
        <v>550</v>
      </c>
      <c r="K20" s="465" t="s">
        <v>551</v>
      </c>
      <c r="L20" s="467">
        <v>69.659999999999982</v>
      </c>
      <c r="M20" s="467">
        <v>1</v>
      </c>
      <c r="N20" s="468">
        <v>69.659999999999982</v>
      </c>
    </row>
    <row r="21" spans="1:14" ht="14.4" customHeight="1" x14ac:dyDescent="0.3">
      <c r="A21" s="463" t="s">
        <v>472</v>
      </c>
      <c r="B21" s="464" t="s">
        <v>668</v>
      </c>
      <c r="C21" s="465" t="s">
        <v>482</v>
      </c>
      <c r="D21" s="466" t="s">
        <v>669</v>
      </c>
      <c r="E21" s="465" t="s">
        <v>488</v>
      </c>
      <c r="F21" s="466" t="s">
        <v>671</v>
      </c>
      <c r="G21" s="465" t="s">
        <v>489</v>
      </c>
      <c r="H21" s="465" t="s">
        <v>552</v>
      </c>
      <c r="I21" s="465" t="s">
        <v>553</v>
      </c>
      <c r="J21" s="465" t="s">
        <v>554</v>
      </c>
      <c r="K21" s="465" t="s">
        <v>555</v>
      </c>
      <c r="L21" s="467">
        <v>74.689999400872892</v>
      </c>
      <c r="M21" s="467">
        <v>8</v>
      </c>
      <c r="N21" s="468">
        <v>597.51999520698314</v>
      </c>
    </row>
    <row r="22" spans="1:14" ht="14.4" customHeight="1" x14ac:dyDescent="0.3">
      <c r="A22" s="463" t="s">
        <v>472</v>
      </c>
      <c r="B22" s="464" t="s">
        <v>668</v>
      </c>
      <c r="C22" s="465" t="s">
        <v>482</v>
      </c>
      <c r="D22" s="466" t="s">
        <v>669</v>
      </c>
      <c r="E22" s="465" t="s">
        <v>488</v>
      </c>
      <c r="F22" s="466" t="s">
        <v>671</v>
      </c>
      <c r="G22" s="465" t="s">
        <v>489</v>
      </c>
      <c r="H22" s="465" t="s">
        <v>556</v>
      </c>
      <c r="I22" s="465" t="s">
        <v>557</v>
      </c>
      <c r="J22" s="465" t="s">
        <v>558</v>
      </c>
      <c r="K22" s="465" t="s">
        <v>559</v>
      </c>
      <c r="L22" s="467">
        <v>62.820000000000022</v>
      </c>
      <c r="M22" s="467">
        <v>1</v>
      </c>
      <c r="N22" s="468">
        <v>62.820000000000022</v>
      </c>
    </row>
    <row r="23" spans="1:14" ht="14.4" customHeight="1" x14ac:dyDescent="0.3">
      <c r="A23" s="463" t="s">
        <v>472</v>
      </c>
      <c r="B23" s="464" t="s">
        <v>668</v>
      </c>
      <c r="C23" s="465" t="s">
        <v>482</v>
      </c>
      <c r="D23" s="466" t="s">
        <v>669</v>
      </c>
      <c r="E23" s="465" t="s">
        <v>488</v>
      </c>
      <c r="F23" s="466" t="s">
        <v>671</v>
      </c>
      <c r="G23" s="465" t="s">
        <v>489</v>
      </c>
      <c r="H23" s="465" t="s">
        <v>560</v>
      </c>
      <c r="I23" s="465" t="s">
        <v>561</v>
      </c>
      <c r="J23" s="465" t="s">
        <v>562</v>
      </c>
      <c r="K23" s="465" t="s">
        <v>563</v>
      </c>
      <c r="L23" s="467">
        <v>266.56819850724202</v>
      </c>
      <c r="M23" s="467">
        <v>1</v>
      </c>
      <c r="N23" s="468">
        <v>266.56819850724202</v>
      </c>
    </row>
    <row r="24" spans="1:14" ht="14.4" customHeight="1" x14ac:dyDescent="0.3">
      <c r="A24" s="463" t="s">
        <v>472</v>
      </c>
      <c r="B24" s="464" t="s">
        <v>668</v>
      </c>
      <c r="C24" s="465" t="s">
        <v>482</v>
      </c>
      <c r="D24" s="466" t="s">
        <v>669</v>
      </c>
      <c r="E24" s="465" t="s">
        <v>488</v>
      </c>
      <c r="F24" s="466" t="s">
        <v>671</v>
      </c>
      <c r="G24" s="465" t="s">
        <v>489</v>
      </c>
      <c r="H24" s="465" t="s">
        <v>564</v>
      </c>
      <c r="I24" s="465" t="s">
        <v>565</v>
      </c>
      <c r="J24" s="465" t="s">
        <v>566</v>
      </c>
      <c r="K24" s="465" t="s">
        <v>567</v>
      </c>
      <c r="L24" s="467">
        <v>128.41</v>
      </c>
      <c r="M24" s="467">
        <v>1</v>
      </c>
      <c r="N24" s="468">
        <v>128.41</v>
      </c>
    </row>
    <row r="25" spans="1:14" ht="14.4" customHeight="1" x14ac:dyDescent="0.3">
      <c r="A25" s="463" t="s">
        <v>472</v>
      </c>
      <c r="B25" s="464" t="s">
        <v>668</v>
      </c>
      <c r="C25" s="465" t="s">
        <v>482</v>
      </c>
      <c r="D25" s="466" t="s">
        <v>669</v>
      </c>
      <c r="E25" s="465" t="s">
        <v>488</v>
      </c>
      <c r="F25" s="466" t="s">
        <v>671</v>
      </c>
      <c r="G25" s="465" t="s">
        <v>489</v>
      </c>
      <c r="H25" s="465" t="s">
        <v>568</v>
      </c>
      <c r="I25" s="465" t="s">
        <v>569</v>
      </c>
      <c r="J25" s="465" t="s">
        <v>562</v>
      </c>
      <c r="K25" s="465" t="s">
        <v>570</v>
      </c>
      <c r="L25" s="467">
        <v>50.600009068248099</v>
      </c>
      <c r="M25" s="467">
        <v>1</v>
      </c>
      <c r="N25" s="468">
        <v>50.600009068248099</v>
      </c>
    </row>
    <row r="26" spans="1:14" ht="14.4" customHeight="1" x14ac:dyDescent="0.3">
      <c r="A26" s="463" t="s">
        <v>472</v>
      </c>
      <c r="B26" s="464" t="s">
        <v>668</v>
      </c>
      <c r="C26" s="465" t="s">
        <v>482</v>
      </c>
      <c r="D26" s="466" t="s">
        <v>669</v>
      </c>
      <c r="E26" s="465" t="s">
        <v>488</v>
      </c>
      <c r="F26" s="466" t="s">
        <v>671</v>
      </c>
      <c r="G26" s="465" t="s">
        <v>489</v>
      </c>
      <c r="H26" s="465" t="s">
        <v>571</v>
      </c>
      <c r="I26" s="465" t="s">
        <v>572</v>
      </c>
      <c r="J26" s="465" t="s">
        <v>573</v>
      </c>
      <c r="K26" s="465" t="s">
        <v>574</v>
      </c>
      <c r="L26" s="467">
        <v>61.270000000000017</v>
      </c>
      <c r="M26" s="467">
        <v>1</v>
      </c>
      <c r="N26" s="468">
        <v>61.270000000000017</v>
      </c>
    </row>
    <row r="27" spans="1:14" ht="14.4" customHeight="1" x14ac:dyDescent="0.3">
      <c r="A27" s="463" t="s">
        <v>472</v>
      </c>
      <c r="B27" s="464" t="s">
        <v>668</v>
      </c>
      <c r="C27" s="465" t="s">
        <v>482</v>
      </c>
      <c r="D27" s="466" t="s">
        <v>669</v>
      </c>
      <c r="E27" s="465" t="s">
        <v>488</v>
      </c>
      <c r="F27" s="466" t="s">
        <v>671</v>
      </c>
      <c r="G27" s="465" t="s">
        <v>489</v>
      </c>
      <c r="H27" s="465" t="s">
        <v>575</v>
      </c>
      <c r="I27" s="465" t="s">
        <v>576</v>
      </c>
      <c r="J27" s="465" t="s">
        <v>577</v>
      </c>
      <c r="K27" s="465" t="s">
        <v>578</v>
      </c>
      <c r="L27" s="467">
        <v>59.439999999999991</v>
      </c>
      <c r="M27" s="467">
        <v>2</v>
      </c>
      <c r="N27" s="468">
        <v>118.87999999999998</v>
      </c>
    </row>
    <row r="28" spans="1:14" ht="14.4" customHeight="1" x14ac:dyDescent="0.3">
      <c r="A28" s="463" t="s">
        <v>472</v>
      </c>
      <c r="B28" s="464" t="s">
        <v>668</v>
      </c>
      <c r="C28" s="465" t="s">
        <v>482</v>
      </c>
      <c r="D28" s="466" t="s">
        <v>669</v>
      </c>
      <c r="E28" s="465" t="s">
        <v>488</v>
      </c>
      <c r="F28" s="466" t="s">
        <v>671</v>
      </c>
      <c r="G28" s="465" t="s">
        <v>489</v>
      </c>
      <c r="H28" s="465" t="s">
        <v>579</v>
      </c>
      <c r="I28" s="465" t="s">
        <v>579</v>
      </c>
      <c r="J28" s="465" t="s">
        <v>580</v>
      </c>
      <c r="K28" s="465" t="s">
        <v>581</v>
      </c>
      <c r="L28" s="467">
        <v>1129.3007921729939</v>
      </c>
      <c r="M28" s="467">
        <v>13</v>
      </c>
      <c r="N28" s="468">
        <v>14680.91029824892</v>
      </c>
    </row>
    <row r="29" spans="1:14" ht="14.4" customHeight="1" x14ac:dyDescent="0.3">
      <c r="A29" s="463" t="s">
        <v>472</v>
      </c>
      <c r="B29" s="464" t="s">
        <v>668</v>
      </c>
      <c r="C29" s="465" t="s">
        <v>482</v>
      </c>
      <c r="D29" s="466" t="s">
        <v>669</v>
      </c>
      <c r="E29" s="465" t="s">
        <v>488</v>
      </c>
      <c r="F29" s="466" t="s">
        <v>671</v>
      </c>
      <c r="G29" s="465" t="s">
        <v>489</v>
      </c>
      <c r="H29" s="465" t="s">
        <v>582</v>
      </c>
      <c r="I29" s="465" t="s">
        <v>583</v>
      </c>
      <c r="J29" s="465" t="s">
        <v>584</v>
      </c>
      <c r="K29" s="465" t="s">
        <v>585</v>
      </c>
      <c r="L29" s="467">
        <v>1018.6621391857001</v>
      </c>
      <c r="M29" s="467">
        <v>3</v>
      </c>
      <c r="N29" s="468">
        <v>3055.9864175571001</v>
      </c>
    </row>
    <row r="30" spans="1:14" ht="14.4" customHeight="1" x14ac:dyDescent="0.3">
      <c r="A30" s="463" t="s">
        <v>472</v>
      </c>
      <c r="B30" s="464" t="s">
        <v>668</v>
      </c>
      <c r="C30" s="465" t="s">
        <v>482</v>
      </c>
      <c r="D30" s="466" t="s">
        <v>669</v>
      </c>
      <c r="E30" s="465" t="s">
        <v>488</v>
      </c>
      <c r="F30" s="466" t="s">
        <v>671</v>
      </c>
      <c r="G30" s="465" t="s">
        <v>489</v>
      </c>
      <c r="H30" s="465" t="s">
        <v>586</v>
      </c>
      <c r="I30" s="465" t="s">
        <v>587</v>
      </c>
      <c r="J30" s="465" t="s">
        <v>515</v>
      </c>
      <c r="K30" s="465" t="s">
        <v>588</v>
      </c>
      <c r="L30" s="467">
        <v>113.28739460895746</v>
      </c>
      <c r="M30" s="467">
        <v>9</v>
      </c>
      <c r="N30" s="468">
        <v>1019.5865514806171</v>
      </c>
    </row>
    <row r="31" spans="1:14" ht="14.4" customHeight="1" x14ac:dyDescent="0.3">
      <c r="A31" s="463" t="s">
        <v>472</v>
      </c>
      <c r="B31" s="464" t="s">
        <v>668</v>
      </c>
      <c r="C31" s="465" t="s">
        <v>482</v>
      </c>
      <c r="D31" s="466" t="s">
        <v>669</v>
      </c>
      <c r="E31" s="465" t="s">
        <v>488</v>
      </c>
      <c r="F31" s="466" t="s">
        <v>671</v>
      </c>
      <c r="G31" s="465" t="s">
        <v>489</v>
      </c>
      <c r="H31" s="465" t="s">
        <v>589</v>
      </c>
      <c r="I31" s="465" t="s">
        <v>590</v>
      </c>
      <c r="J31" s="465" t="s">
        <v>591</v>
      </c>
      <c r="K31" s="465" t="s">
        <v>592</v>
      </c>
      <c r="L31" s="467">
        <v>47.18</v>
      </c>
      <c r="M31" s="467">
        <v>2</v>
      </c>
      <c r="N31" s="468">
        <v>94.36</v>
      </c>
    </row>
    <row r="32" spans="1:14" ht="14.4" customHeight="1" x14ac:dyDescent="0.3">
      <c r="A32" s="463" t="s">
        <v>472</v>
      </c>
      <c r="B32" s="464" t="s">
        <v>668</v>
      </c>
      <c r="C32" s="465" t="s">
        <v>482</v>
      </c>
      <c r="D32" s="466" t="s">
        <v>669</v>
      </c>
      <c r="E32" s="465" t="s">
        <v>488</v>
      </c>
      <c r="F32" s="466" t="s">
        <v>671</v>
      </c>
      <c r="G32" s="465" t="s">
        <v>489</v>
      </c>
      <c r="H32" s="465" t="s">
        <v>593</v>
      </c>
      <c r="I32" s="465" t="s">
        <v>594</v>
      </c>
      <c r="J32" s="465" t="s">
        <v>595</v>
      </c>
      <c r="K32" s="465" t="s">
        <v>596</v>
      </c>
      <c r="L32" s="467">
        <v>109.03</v>
      </c>
      <c r="M32" s="467">
        <v>1</v>
      </c>
      <c r="N32" s="468">
        <v>109.03</v>
      </c>
    </row>
    <row r="33" spans="1:14" ht="14.4" customHeight="1" x14ac:dyDescent="0.3">
      <c r="A33" s="463" t="s">
        <v>472</v>
      </c>
      <c r="B33" s="464" t="s">
        <v>668</v>
      </c>
      <c r="C33" s="465" t="s">
        <v>482</v>
      </c>
      <c r="D33" s="466" t="s">
        <v>669</v>
      </c>
      <c r="E33" s="465" t="s">
        <v>488</v>
      </c>
      <c r="F33" s="466" t="s">
        <v>671</v>
      </c>
      <c r="G33" s="465" t="s">
        <v>489</v>
      </c>
      <c r="H33" s="465" t="s">
        <v>597</v>
      </c>
      <c r="I33" s="465" t="s">
        <v>598</v>
      </c>
      <c r="J33" s="465" t="s">
        <v>599</v>
      </c>
      <c r="K33" s="465" t="s">
        <v>600</v>
      </c>
      <c r="L33" s="467">
        <v>37.85</v>
      </c>
      <c r="M33" s="467">
        <v>1</v>
      </c>
      <c r="N33" s="468">
        <v>37.85</v>
      </c>
    </row>
    <row r="34" spans="1:14" ht="14.4" customHeight="1" x14ac:dyDescent="0.3">
      <c r="A34" s="463" t="s">
        <v>472</v>
      </c>
      <c r="B34" s="464" t="s">
        <v>668</v>
      </c>
      <c r="C34" s="465" t="s">
        <v>482</v>
      </c>
      <c r="D34" s="466" t="s">
        <v>669</v>
      </c>
      <c r="E34" s="465" t="s">
        <v>488</v>
      </c>
      <c r="F34" s="466" t="s">
        <v>671</v>
      </c>
      <c r="G34" s="465" t="s">
        <v>489</v>
      </c>
      <c r="H34" s="465" t="s">
        <v>601</v>
      </c>
      <c r="I34" s="465" t="s">
        <v>602</v>
      </c>
      <c r="J34" s="465" t="s">
        <v>603</v>
      </c>
      <c r="K34" s="465" t="s">
        <v>604</v>
      </c>
      <c r="L34" s="467">
        <v>33.5</v>
      </c>
      <c r="M34" s="467">
        <v>4</v>
      </c>
      <c r="N34" s="468">
        <v>134</v>
      </c>
    </row>
    <row r="35" spans="1:14" ht="14.4" customHeight="1" x14ac:dyDescent="0.3">
      <c r="A35" s="463" t="s">
        <v>472</v>
      </c>
      <c r="B35" s="464" t="s">
        <v>668</v>
      </c>
      <c r="C35" s="465" t="s">
        <v>482</v>
      </c>
      <c r="D35" s="466" t="s">
        <v>669</v>
      </c>
      <c r="E35" s="465" t="s">
        <v>488</v>
      </c>
      <c r="F35" s="466" t="s">
        <v>671</v>
      </c>
      <c r="G35" s="465" t="s">
        <v>489</v>
      </c>
      <c r="H35" s="465" t="s">
        <v>605</v>
      </c>
      <c r="I35" s="465" t="s">
        <v>191</v>
      </c>
      <c r="J35" s="465" t="s">
        <v>606</v>
      </c>
      <c r="K35" s="465" t="s">
        <v>607</v>
      </c>
      <c r="L35" s="467">
        <v>48.700704090370031</v>
      </c>
      <c r="M35" s="467">
        <v>60</v>
      </c>
      <c r="N35" s="468">
        <v>2922.0422454222021</v>
      </c>
    </row>
    <row r="36" spans="1:14" ht="14.4" customHeight="1" x14ac:dyDescent="0.3">
      <c r="A36" s="463" t="s">
        <v>472</v>
      </c>
      <c r="B36" s="464" t="s">
        <v>668</v>
      </c>
      <c r="C36" s="465" t="s">
        <v>482</v>
      </c>
      <c r="D36" s="466" t="s">
        <v>669</v>
      </c>
      <c r="E36" s="465" t="s">
        <v>488</v>
      </c>
      <c r="F36" s="466" t="s">
        <v>671</v>
      </c>
      <c r="G36" s="465" t="s">
        <v>489</v>
      </c>
      <c r="H36" s="465" t="s">
        <v>608</v>
      </c>
      <c r="I36" s="465" t="s">
        <v>609</v>
      </c>
      <c r="J36" s="465" t="s">
        <v>610</v>
      </c>
      <c r="K36" s="465" t="s">
        <v>611</v>
      </c>
      <c r="L36" s="467">
        <v>82.439990700367034</v>
      </c>
      <c r="M36" s="467">
        <v>1</v>
      </c>
      <c r="N36" s="468">
        <v>82.439990700367034</v>
      </c>
    </row>
    <row r="37" spans="1:14" ht="14.4" customHeight="1" x14ac:dyDescent="0.3">
      <c r="A37" s="463" t="s">
        <v>472</v>
      </c>
      <c r="B37" s="464" t="s">
        <v>668</v>
      </c>
      <c r="C37" s="465" t="s">
        <v>482</v>
      </c>
      <c r="D37" s="466" t="s">
        <v>669</v>
      </c>
      <c r="E37" s="465" t="s">
        <v>488</v>
      </c>
      <c r="F37" s="466" t="s">
        <v>671</v>
      </c>
      <c r="G37" s="465" t="s">
        <v>489</v>
      </c>
      <c r="H37" s="465" t="s">
        <v>612</v>
      </c>
      <c r="I37" s="465" t="s">
        <v>612</v>
      </c>
      <c r="J37" s="465" t="s">
        <v>613</v>
      </c>
      <c r="K37" s="465" t="s">
        <v>614</v>
      </c>
      <c r="L37" s="467">
        <v>191.73000000000002</v>
      </c>
      <c r="M37" s="467">
        <v>2</v>
      </c>
      <c r="N37" s="468">
        <v>383.46000000000004</v>
      </c>
    </row>
    <row r="38" spans="1:14" ht="14.4" customHeight="1" x14ac:dyDescent="0.3">
      <c r="A38" s="463" t="s">
        <v>472</v>
      </c>
      <c r="B38" s="464" t="s">
        <v>668</v>
      </c>
      <c r="C38" s="465" t="s">
        <v>482</v>
      </c>
      <c r="D38" s="466" t="s">
        <v>669</v>
      </c>
      <c r="E38" s="465" t="s">
        <v>488</v>
      </c>
      <c r="F38" s="466" t="s">
        <v>671</v>
      </c>
      <c r="G38" s="465" t="s">
        <v>489</v>
      </c>
      <c r="H38" s="465" t="s">
        <v>615</v>
      </c>
      <c r="I38" s="465" t="s">
        <v>615</v>
      </c>
      <c r="J38" s="465" t="s">
        <v>616</v>
      </c>
      <c r="K38" s="465" t="s">
        <v>617</v>
      </c>
      <c r="L38" s="467">
        <v>60.259869541280196</v>
      </c>
      <c r="M38" s="467">
        <v>1</v>
      </c>
      <c r="N38" s="468">
        <v>60.259869541280196</v>
      </c>
    </row>
    <row r="39" spans="1:14" ht="14.4" customHeight="1" x14ac:dyDescent="0.3">
      <c r="A39" s="463" t="s">
        <v>472</v>
      </c>
      <c r="B39" s="464" t="s">
        <v>668</v>
      </c>
      <c r="C39" s="465" t="s">
        <v>482</v>
      </c>
      <c r="D39" s="466" t="s">
        <v>669</v>
      </c>
      <c r="E39" s="465" t="s">
        <v>488</v>
      </c>
      <c r="F39" s="466" t="s">
        <v>671</v>
      </c>
      <c r="G39" s="465" t="s">
        <v>489</v>
      </c>
      <c r="H39" s="465" t="s">
        <v>618</v>
      </c>
      <c r="I39" s="465" t="s">
        <v>618</v>
      </c>
      <c r="J39" s="465" t="s">
        <v>619</v>
      </c>
      <c r="K39" s="465" t="s">
        <v>620</v>
      </c>
      <c r="L39" s="467">
        <v>46.000000000000007</v>
      </c>
      <c r="M39" s="467">
        <v>1</v>
      </c>
      <c r="N39" s="468">
        <v>46.000000000000007</v>
      </c>
    </row>
    <row r="40" spans="1:14" ht="14.4" customHeight="1" x14ac:dyDescent="0.3">
      <c r="A40" s="463" t="s">
        <v>472</v>
      </c>
      <c r="B40" s="464" t="s">
        <v>668</v>
      </c>
      <c r="C40" s="465" t="s">
        <v>482</v>
      </c>
      <c r="D40" s="466" t="s">
        <v>669</v>
      </c>
      <c r="E40" s="465" t="s">
        <v>488</v>
      </c>
      <c r="F40" s="466" t="s">
        <v>671</v>
      </c>
      <c r="G40" s="465" t="s">
        <v>489</v>
      </c>
      <c r="H40" s="465" t="s">
        <v>621</v>
      </c>
      <c r="I40" s="465" t="s">
        <v>622</v>
      </c>
      <c r="J40" s="465" t="s">
        <v>623</v>
      </c>
      <c r="K40" s="465" t="s">
        <v>624</v>
      </c>
      <c r="L40" s="467">
        <v>87.139999999999986</v>
      </c>
      <c r="M40" s="467">
        <v>2</v>
      </c>
      <c r="N40" s="468">
        <v>174.27999999999997</v>
      </c>
    </row>
    <row r="41" spans="1:14" ht="14.4" customHeight="1" x14ac:dyDescent="0.3">
      <c r="A41" s="463" t="s">
        <v>472</v>
      </c>
      <c r="B41" s="464" t="s">
        <v>668</v>
      </c>
      <c r="C41" s="465" t="s">
        <v>482</v>
      </c>
      <c r="D41" s="466" t="s">
        <v>669</v>
      </c>
      <c r="E41" s="465" t="s">
        <v>488</v>
      </c>
      <c r="F41" s="466" t="s">
        <v>671</v>
      </c>
      <c r="G41" s="465" t="s">
        <v>489</v>
      </c>
      <c r="H41" s="465" t="s">
        <v>625</v>
      </c>
      <c r="I41" s="465" t="s">
        <v>626</v>
      </c>
      <c r="J41" s="465" t="s">
        <v>627</v>
      </c>
      <c r="K41" s="465" t="s">
        <v>628</v>
      </c>
      <c r="L41" s="467">
        <v>126.51</v>
      </c>
      <c r="M41" s="467">
        <v>2</v>
      </c>
      <c r="N41" s="468">
        <v>253.02</v>
      </c>
    </row>
    <row r="42" spans="1:14" ht="14.4" customHeight="1" x14ac:dyDescent="0.3">
      <c r="A42" s="463" t="s">
        <v>472</v>
      </c>
      <c r="B42" s="464" t="s">
        <v>668</v>
      </c>
      <c r="C42" s="465" t="s">
        <v>482</v>
      </c>
      <c r="D42" s="466" t="s">
        <v>669</v>
      </c>
      <c r="E42" s="465" t="s">
        <v>488</v>
      </c>
      <c r="F42" s="466" t="s">
        <v>671</v>
      </c>
      <c r="G42" s="465" t="s">
        <v>489</v>
      </c>
      <c r="H42" s="465" t="s">
        <v>629</v>
      </c>
      <c r="I42" s="465" t="s">
        <v>630</v>
      </c>
      <c r="J42" s="465" t="s">
        <v>631</v>
      </c>
      <c r="K42" s="465" t="s">
        <v>632</v>
      </c>
      <c r="L42" s="467">
        <v>128.36000000000001</v>
      </c>
      <c r="M42" s="467">
        <v>2</v>
      </c>
      <c r="N42" s="468">
        <v>256.72000000000003</v>
      </c>
    </row>
    <row r="43" spans="1:14" ht="14.4" customHeight="1" x14ac:dyDescent="0.3">
      <c r="A43" s="463" t="s">
        <v>472</v>
      </c>
      <c r="B43" s="464" t="s">
        <v>668</v>
      </c>
      <c r="C43" s="465" t="s">
        <v>482</v>
      </c>
      <c r="D43" s="466" t="s">
        <v>669</v>
      </c>
      <c r="E43" s="465" t="s">
        <v>488</v>
      </c>
      <c r="F43" s="466" t="s">
        <v>671</v>
      </c>
      <c r="G43" s="465" t="s">
        <v>633</v>
      </c>
      <c r="H43" s="465" t="s">
        <v>634</v>
      </c>
      <c r="I43" s="465" t="s">
        <v>635</v>
      </c>
      <c r="J43" s="465" t="s">
        <v>515</v>
      </c>
      <c r="K43" s="465" t="s">
        <v>636</v>
      </c>
      <c r="L43" s="467">
        <v>110.06</v>
      </c>
      <c r="M43" s="467">
        <v>2</v>
      </c>
      <c r="N43" s="468">
        <v>220.12</v>
      </c>
    </row>
    <row r="44" spans="1:14" ht="14.4" customHeight="1" x14ac:dyDescent="0.3">
      <c r="A44" s="463" t="s">
        <v>472</v>
      </c>
      <c r="B44" s="464" t="s">
        <v>668</v>
      </c>
      <c r="C44" s="465" t="s">
        <v>482</v>
      </c>
      <c r="D44" s="466" t="s">
        <v>669</v>
      </c>
      <c r="E44" s="465" t="s">
        <v>488</v>
      </c>
      <c r="F44" s="466" t="s">
        <v>671</v>
      </c>
      <c r="G44" s="465" t="s">
        <v>633</v>
      </c>
      <c r="H44" s="465" t="s">
        <v>637</v>
      </c>
      <c r="I44" s="465" t="s">
        <v>638</v>
      </c>
      <c r="J44" s="465" t="s">
        <v>639</v>
      </c>
      <c r="K44" s="465" t="s">
        <v>640</v>
      </c>
      <c r="L44" s="467">
        <v>177.18999999999997</v>
      </c>
      <c r="M44" s="467">
        <v>1</v>
      </c>
      <c r="N44" s="468">
        <v>177.18999999999997</v>
      </c>
    </row>
    <row r="45" spans="1:14" ht="14.4" customHeight="1" x14ac:dyDescent="0.3">
      <c r="A45" s="463" t="s">
        <v>472</v>
      </c>
      <c r="B45" s="464" t="s">
        <v>668</v>
      </c>
      <c r="C45" s="465" t="s">
        <v>482</v>
      </c>
      <c r="D45" s="466" t="s">
        <v>669</v>
      </c>
      <c r="E45" s="465" t="s">
        <v>488</v>
      </c>
      <c r="F45" s="466" t="s">
        <v>671</v>
      </c>
      <c r="G45" s="465" t="s">
        <v>633</v>
      </c>
      <c r="H45" s="465" t="s">
        <v>641</v>
      </c>
      <c r="I45" s="465" t="s">
        <v>642</v>
      </c>
      <c r="J45" s="465" t="s">
        <v>643</v>
      </c>
      <c r="K45" s="465" t="s">
        <v>644</v>
      </c>
      <c r="L45" s="467">
        <v>52.909999999999989</v>
      </c>
      <c r="M45" s="467">
        <v>1</v>
      </c>
      <c r="N45" s="468">
        <v>52.909999999999989</v>
      </c>
    </row>
    <row r="46" spans="1:14" ht="14.4" customHeight="1" x14ac:dyDescent="0.3">
      <c r="A46" s="463" t="s">
        <v>472</v>
      </c>
      <c r="B46" s="464" t="s">
        <v>668</v>
      </c>
      <c r="C46" s="465" t="s">
        <v>482</v>
      </c>
      <c r="D46" s="466" t="s">
        <v>669</v>
      </c>
      <c r="E46" s="465" t="s">
        <v>488</v>
      </c>
      <c r="F46" s="466" t="s">
        <v>671</v>
      </c>
      <c r="G46" s="465" t="s">
        <v>633</v>
      </c>
      <c r="H46" s="465" t="s">
        <v>645</v>
      </c>
      <c r="I46" s="465" t="s">
        <v>646</v>
      </c>
      <c r="J46" s="465" t="s">
        <v>647</v>
      </c>
      <c r="K46" s="465" t="s">
        <v>648</v>
      </c>
      <c r="L46" s="467">
        <v>83.099811957451095</v>
      </c>
      <c r="M46" s="467">
        <v>1</v>
      </c>
      <c r="N46" s="468">
        <v>83.099811957451095</v>
      </c>
    </row>
    <row r="47" spans="1:14" ht="14.4" customHeight="1" x14ac:dyDescent="0.3">
      <c r="A47" s="463" t="s">
        <v>472</v>
      </c>
      <c r="B47" s="464" t="s">
        <v>668</v>
      </c>
      <c r="C47" s="465" t="s">
        <v>485</v>
      </c>
      <c r="D47" s="466" t="s">
        <v>670</v>
      </c>
      <c r="E47" s="465" t="s">
        <v>488</v>
      </c>
      <c r="F47" s="466" t="s">
        <v>671</v>
      </c>
      <c r="G47" s="465" t="s">
        <v>489</v>
      </c>
      <c r="H47" s="465" t="s">
        <v>649</v>
      </c>
      <c r="I47" s="465" t="s">
        <v>649</v>
      </c>
      <c r="J47" s="465" t="s">
        <v>650</v>
      </c>
      <c r="K47" s="465" t="s">
        <v>651</v>
      </c>
      <c r="L47" s="467">
        <v>179.39833040720998</v>
      </c>
      <c r="M47" s="467">
        <v>5.5</v>
      </c>
      <c r="N47" s="468">
        <v>986.69081723965496</v>
      </c>
    </row>
    <row r="48" spans="1:14" ht="14.4" customHeight="1" x14ac:dyDescent="0.3">
      <c r="A48" s="463" t="s">
        <v>472</v>
      </c>
      <c r="B48" s="464" t="s">
        <v>668</v>
      </c>
      <c r="C48" s="465" t="s">
        <v>485</v>
      </c>
      <c r="D48" s="466" t="s">
        <v>670</v>
      </c>
      <c r="E48" s="465" t="s">
        <v>488</v>
      </c>
      <c r="F48" s="466" t="s">
        <v>671</v>
      </c>
      <c r="G48" s="465" t="s">
        <v>489</v>
      </c>
      <c r="H48" s="465" t="s">
        <v>652</v>
      </c>
      <c r="I48" s="465" t="s">
        <v>191</v>
      </c>
      <c r="J48" s="465" t="s">
        <v>653</v>
      </c>
      <c r="K48" s="465"/>
      <c r="L48" s="467">
        <v>97.320307026806304</v>
      </c>
      <c r="M48" s="467">
        <v>10</v>
      </c>
      <c r="N48" s="468">
        <v>973.20307026806302</v>
      </c>
    </row>
    <row r="49" spans="1:14" ht="14.4" customHeight="1" x14ac:dyDescent="0.3">
      <c r="A49" s="463" t="s">
        <v>472</v>
      </c>
      <c r="B49" s="464" t="s">
        <v>668</v>
      </c>
      <c r="C49" s="465" t="s">
        <v>485</v>
      </c>
      <c r="D49" s="466" t="s">
        <v>670</v>
      </c>
      <c r="E49" s="465" t="s">
        <v>488</v>
      </c>
      <c r="F49" s="466" t="s">
        <v>671</v>
      </c>
      <c r="G49" s="465" t="s">
        <v>489</v>
      </c>
      <c r="H49" s="465" t="s">
        <v>654</v>
      </c>
      <c r="I49" s="465" t="s">
        <v>191</v>
      </c>
      <c r="J49" s="465" t="s">
        <v>655</v>
      </c>
      <c r="K49" s="465"/>
      <c r="L49" s="467">
        <v>241.27032564260429</v>
      </c>
      <c r="M49" s="467">
        <v>1</v>
      </c>
      <c r="N49" s="468">
        <v>241.27032564260429</v>
      </c>
    </row>
    <row r="50" spans="1:14" ht="14.4" customHeight="1" x14ac:dyDescent="0.3">
      <c r="A50" s="463" t="s">
        <v>472</v>
      </c>
      <c r="B50" s="464" t="s">
        <v>668</v>
      </c>
      <c r="C50" s="465" t="s">
        <v>485</v>
      </c>
      <c r="D50" s="466" t="s">
        <v>670</v>
      </c>
      <c r="E50" s="465" t="s">
        <v>488</v>
      </c>
      <c r="F50" s="466" t="s">
        <v>671</v>
      </c>
      <c r="G50" s="465" t="s">
        <v>489</v>
      </c>
      <c r="H50" s="465" t="s">
        <v>656</v>
      </c>
      <c r="I50" s="465" t="s">
        <v>191</v>
      </c>
      <c r="J50" s="465" t="s">
        <v>657</v>
      </c>
      <c r="K50" s="465" t="s">
        <v>658</v>
      </c>
      <c r="L50" s="467">
        <v>79.648122003212251</v>
      </c>
      <c r="M50" s="467">
        <v>8</v>
      </c>
      <c r="N50" s="468">
        <v>637.18497602569801</v>
      </c>
    </row>
    <row r="51" spans="1:14" ht="14.4" customHeight="1" x14ac:dyDescent="0.3">
      <c r="A51" s="463" t="s">
        <v>472</v>
      </c>
      <c r="B51" s="464" t="s">
        <v>668</v>
      </c>
      <c r="C51" s="465" t="s">
        <v>485</v>
      </c>
      <c r="D51" s="466" t="s">
        <v>670</v>
      </c>
      <c r="E51" s="465" t="s">
        <v>488</v>
      </c>
      <c r="F51" s="466" t="s">
        <v>671</v>
      </c>
      <c r="G51" s="465" t="s">
        <v>489</v>
      </c>
      <c r="H51" s="465" t="s">
        <v>579</v>
      </c>
      <c r="I51" s="465" t="s">
        <v>579</v>
      </c>
      <c r="J51" s="465" t="s">
        <v>580</v>
      </c>
      <c r="K51" s="465" t="s">
        <v>581</v>
      </c>
      <c r="L51" s="467">
        <v>1129.3037281756215</v>
      </c>
      <c r="M51" s="467">
        <v>3</v>
      </c>
      <c r="N51" s="468">
        <v>3387.9111845268644</v>
      </c>
    </row>
    <row r="52" spans="1:14" ht="14.4" customHeight="1" x14ac:dyDescent="0.3">
      <c r="A52" s="463" t="s">
        <v>472</v>
      </c>
      <c r="B52" s="464" t="s">
        <v>668</v>
      </c>
      <c r="C52" s="465" t="s">
        <v>485</v>
      </c>
      <c r="D52" s="466" t="s">
        <v>670</v>
      </c>
      <c r="E52" s="465" t="s">
        <v>488</v>
      </c>
      <c r="F52" s="466" t="s">
        <v>671</v>
      </c>
      <c r="G52" s="465" t="s">
        <v>489</v>
      </c>
      <c r="H52" s="465" t="s">
        <v>659</v>
      </c>
      <c r="I52" s="465" t="s">
        <v>191</v>
      </c>
      <c r="J52" s="465" t="s">
        <v>660</v>
      </c>
      <c r="K52" s="465"/>
      <c r="L52" s="467">
        <v>192.12029370320019</v>
      </c>
      <c r="M52" s="467">
        <v>26</v>
      </c>
      <c r="N52" s="468">
        <v>4995.127636283205</v>
      </c>
    </row>
    <row r="53" spans="1:14" ht="14.4" customHeight="1" x14ac:dyDescent="0.3">
      <c r="A53" s="463" t="s">
        <v>472</v>
      </c>
      <c r="B53" s="464" t="s">
        <v>668</v>
      </c>
      <c r="C53" s="465" t="s">
        <v>485</v>
      </c>
      <c r="D53" s="466" t="s">
        <v>670</v>
      </c>
      <c r="E53" s="465" t="s">
        <v>488</v>
      </c>
      <c r="F53" s="466" t="s">
        <v>671</v>
      </c>
      <c r="G53" s="465" t="s">
        <v>489</v>
      </c>
      <c r="H53" s="465" t="s">
        <v>661</v>
      </c>
      <c r="I53" s="465" t="s">
        <v>662</v>
      </c>
      <c r="J53" s="465" t="s">
        <v>663</v>
      </c>
      <c r="K53" s="465" t="s">
        <v>664</v>
      </c>
      <c r="L53" s="467">
        <v>197.05161866239914</v>
      </c>
      <c r="M53" s="467">
        <v>3</v>
      </c>
      <c r="N53" s="468">
        <v>591.15485598719738</v>
      </c>
    </row>
    <row r="54" spans="1:14" ht="14.4" customHeight="1" thickBot="1" x14ac:dyDescent="0.35">
      <c r="A54" s="469" t="s">
        <v>472</v>
      </c>
      <c r="B54" s="470" t="s">
        <v>668</v>
      </c>
      <c r="C54" s="471" t="s">
        <v>485</v>
      </c>
      <c r="D54" s="472" t="s">
        <v>670</v>
      </c>
      <c r="E54" s="471" t="s">
        <v>488</v>
      </c>
      <c r="F54" s="472" t="s">
        <v>671</v>
      </c>
      <c r="G54" s="471" t="s">
        <v>489</v>
      </c>
      <c r="H54" s="471" t="s">
        <v>665</v>
      </c>
      <c r="I54" s="471" t="s">
        <v>191</v>
      </c>
      <c r="J54" s="471" t="s">
        <v>666</v>
      </c>
      <c r="K54" s="471" t="s">
        <v>667</v>
      </c>
      <c r="L54" s="473">
        <v>137.93990828849738</v>
      </c>
      <c r="M54" s="473">
        <v>1</v>
      </c>
      <c r="N54" s="474">
        <v>137.93990828849738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2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8" customWidth="1"/>
    <col min="3" max="3" width="5.5546875" style="211" customWidth="1"/>
    <col min="4" max="4" width="10" style="208" customWidth="1"/>
    <col min="5" max="5" width="5.5546875" style="211" customWidth="1"/>
    <col min="6" max="6" width="10" style="208" customWidth="1"/>
    <col min="7" max="16384" width="8.88671875" style="130"/>
  </cols>
  <sheetData>
    <row r="1" spans="1:6" ht="37.200000000000003" customHeight="1" thickBot="1" x14ac:dyDescent="0.4">
      <c r="A1" s="362" t="s">
        <v>167</v>
      </c>
      <c r="B1" s="363"/>
      <c r="C1" s="363"/>
      <c r="D1" s="363"/>
      <c r="E1" s="363"/>
      <c r="F1" s="363"/>
    </row>
    <row r="2" spans="1:6" ht="14.4" customHeight="1" thickBot="1" x14ac:dyDescent="0.35">
      <c r="A2" s="235" t="s">
        <v>281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4" t="s">
        <v>131</v>
      </c>
      <c r="C3" s="365"/>
      <c r="D3" s="366" t="s">
        <v>130</v>
      </c>
      <c r="E3" s="365"/>
      <c r="F3" s="80" t="s">
        <v>3</v>
      </c>
    </row>
    <row r="4" spans="1:6" ht="14.4" customHeight="1" thickBot="1" x14ac:dyDescent="0.35">
      <c r="A4" s="475" t="s">
        <v>145</v>
      </c>
      <c r="B4" s="476" t="s">
        <v>14</v>
      </c>
      <c r="C4" s="477" t="s">
        <v>2</v>
      </c>
      <c r="D4" s="476" t="s">
        <v>14</v>
      </c>
      <c r="E4" s="477" t="s">
        <v>2</v>
      </c>
      <c r="F4" s="478" t="s">
        <v>14</v>
      </c>
    </row>
    <row r="5" spans="1:6" ht="14.4" customHeight="1" thickBot="1" x14ac:dyDescent="0.35">
      <c r="A5" s="486" t="s">
        <v>672</v>
      </c>
      <c r="B5" s="455"/>
      <c r="C5" s="479">
        <v>0</v>
      </c>
      <c r="D5" s="455">
        <v>533.31981195745107</v>
      </c>
      <c r="E5" s="479">
        <v>1</v>
      </c>
      <c r="F5" s="456">
        <v>533.31981195745107</v>
      </c>
    </row>
    <row r="6" spans="1:6" ht="14.4" customHeight="1" thickBot="1" x14ac:dyDescent="0.35">
      <c r="A6" s="482" t="s">
        <v>3</v>
      </c>
      <c r="B6" s="483"/>
      <c r="C6" s="484">
        <v>0</v>
      </c>
      <c r="D6" s="483">
        <v>533.31981195745107</v>
      </c>
      <c r="E6" s="484">
        <v>1</v>
      </c>
      <c r="F6" s="485">
        <v>533.31981195745107</v>
      </c>
    </row>
    <row r="7" spans="1:6" ht="14.4" customHeight="1" thickBot="1" x14ac:dyDescent="0.35"/>
    <row r="8" spans="1:6" ht="14.4" customHeight="1" x14ac:dyDescent="0.3">
      <c r="A8" s="492" t="s">
        <v>673</v>
      </c>
      <c r="B8" s="461"/>
      <c r="C8" s="480">
        <v>0</v>
      </c>
      <c r="D8" s="461">
        <v>52.909999999999989</v>
      </c>
      <c r="E8" s="480">
        <v>1</v>
      </c>
      <c r="F8" s="462">
        <v>52.909999999999989</v>
      </c>
    </row>
    <row r="9" spans="1:6" ht="14.4" customHeight="1" x14ac:dyDescent="0.3">
      <c r="A9" s="493" t="s">
        <v>674</v>
      </c>
      <c r="B9" s="467"/>
      <c r="C9" s="488">
        <v>0</v>
      </c>
      <c r="D9" s="467">
        <v>220.12</v>
      </c>
      <c r="E9" s="488">
        <v>1</v>
      </c>
      <c r="F9" s="468">
        <v>220.12</v>
      </c>
    </row>
    <row r="10" spans="1:6" ht="14.4" customHeight="1" x14ac:dyDescent="0.3">
      <c r="A10" s="493" t="s">
        <v>675</v>
      </c>
      <c r="B10" s="467"/>
      <c r="C10" s="488">
        <v>0</v>
      </c>
      <c r="D10" s="467">
        <v>177.18999999999997</v>
      </c>
      <c r="E10" s="488">
        <v>1</v>
      </c>
      <c r="F10" s="468">
        <v>177.18999999999997</v>
      </c>
    </row>
    <row r="11" spans="1:6" ht="14.4" customHeight="1" thickBot="1" x14ac:dyDescent="0.35">
      <c r="A11" s="494" t="s">
        <v>676</v>
      </c>
      <c r="B11" s="489"/>
      <c r="C11" s="490">
        <v>0</v>
      </c>
      <c r="D11" s="489">
        <v>83.099811957451095</v>
      </c>
      <c r="E11" s="490">
        <v>1</v>
      </c>
      <c r="F11" s="491">
        <v>83.099811957451095</v>
      </c>
    </row>
    <row r="12" spans="1:6" ht="14.4" customHeight="1" thickBot="1" x14ac:dyDescent="0.35">
      <c r="A12" s="482" t="s">
        <v>3</v>
      </c>
      <c r="B12" s="483"/>
      <c r="C12" s="484">
        <v>0</v>
      </c>
      <c r="D12" s="483">
        <v>533.31981195745107</v>
      </c>
      <c r="E12" s="484">
        <v>1</v>
      </c>
      <c r="F12" s="485">
        <v>533.31981195745107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25</vt:i4>
      </vt:variant>
      <vt:variant>
        <vt:lpstr>Pojmenované oblasti</vt:lpstr>
      </vt:variant>
      <vt:variant>
        <vt:i4>1</vt:i4>
      </vt:variant>
    </vt:vector>
  </HeadingPairs>
  <TitlesOfParts>
    <vt:vector size="26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2015-01-30T11:06:40Z</dcterms:modified>
</cp:coreProperties>
</file>