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19" r:id="rId15"/>
    <sheet name="ON Data" sheetId="418" state="hidden" r:id="rId16"/>
    <sheet name="ZV Vykáz.-A" sheetId="344" r:id="rId17"/>
    <sheet name="ZV Vykáz.-A Lékaři" sheetId="429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8" hidden="1">'ZV Vykáz.-A Detail'!$A$5:$P$5</definedName>
    <definedName name="_xlnm._FilterDatabase" localSheetId="17" hidden="1">'ZV Vykáz.-A Lékaři'!$A$4:$A$5</definedName>
    <definedName name="_xlnm._FilterDatabase" localSheetId="20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3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7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7" i="414"/>
  <c r="A14" i="414"/>
  <c r="A4" i="414"/>
  <c r="A6" i="339" l="1"/>
  <c r="A5" i="339"/>
  <c r="D4" i="414"/>
  <c r="D17" i="414"/>
  <c r="D14" i="414"/>
  <c r="C17" i="414"/>
  <c r="C14" i="414"/>
  <c r="C13" i="414" l="1"/>
  <c r="C7" i="414"/>
  <c r="D10" i="414" l="1"/>
  <c r="E10" i="414" s="1"/>
  <c r="E19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T3" i="347"/>
  <c r="R3" i="347"/>
  <c r="P3" i="347"/>
  <c r="O3" i="347"/>
  <c r="N3" i="347"/>
  <c r="M3" i="347"/>
  <c r="N3" i="220"/>
  <c r="L3" i="220" s="1"/>
  <c r="C20" i="414"/>
  <c r="D20" i="414"/>
  <c r="Q3" i="347" l="1"/>
  <c r="S3" i="347"/>
  <c r="U3" i="347"/>
  <c r="F13" i="339"/>
  <c r="E13" i="339"/>
  <c r="E15" i="339" s="1"/>
  <c r="H12" i="339"/>
  <c r="G12" i="339"/>
  <c r="A4" i="383"/>
  <c r="A26" i="383"/>
  <c r="A25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<sst xmlns="http://schemas.openxmlformats.org/spreadsheetml/2006/main" count="1982" uniqueCount="731">
  <si>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</si>
  <si>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</si>
  <si>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</si>
  <si>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</si>
  <si>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</si>
  <si>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</si>
  <si>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</si>
  <si>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</si>
  <si>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</si>
  <si>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</si>
  <si>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</si>
  <si>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</si>
  <si>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</si>
  <si>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</si>
  <si>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</si>
  <si>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</si>
  <si>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</si>
  <si>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</si>
  <si>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</si>
  <si>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</si>
  <si>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</si>
  <si>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</si>
  <si>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</si>
  <si>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</si>
  <si>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</si>
  <si>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</si>
  <si>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</si>
  <si>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</si>
  <si>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</si>
  <si>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</si>
  <si>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</si>
  <si>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</si>
  <si>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</si>
  <si>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</si>
  <si>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</si>
  <si>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</si>
  <si>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</si>
  <si>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</si>
  <si>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</si>
  <si>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</si>
  <si>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</si>
  <si>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</si>
  <si>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</si>
  <si>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</si>
  <si>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</si>
  <si>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</si>
  <si>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</si>
  <si>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</si>
  <si>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</si>
  <si>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</si>
  <si>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</si>
  <si>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</si>
  <si>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</si>
  <si>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</si>
  <si>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</si>
  <si>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</si>
  <si>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</si>
  <si>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</si>
  <si>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</si>
  <si>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</si>
  <si>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</si>
  <si>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</si>
  <si>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</si>
  <si>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</si>
  <si>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</si>
  <si>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</si>
  <si>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</si>
  <si>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</si>
  <si>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</si>
  <si>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</si>
  <si>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</si>
  <si>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</si>
  <si>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</si>
  <si>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</si>
  <si>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</si>
  <si>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</si>
  <si>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</si>
  <si>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</si>
  <si>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</si>
  <si>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</si>
  <si>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</si>
  <si>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</si>
  <si>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</si>
  <si>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</si>
  <si>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</si>
  <si>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</si>
  <si>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</si>
  <si>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</si>
  <si>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</si>
  <si>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</si>
  <si>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</si>
  <si>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</si>
  <si>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</si>
  <si>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</si>
  <si>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</si>
  <si>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</si>
  <si>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</si>
  <si>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</si>
  <si>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</si>
  <si>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</si>
  <si>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</si>
  <si>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</si>
  <si>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</si>
  <si>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</si>
  <si>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</si>
  <si>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</si>
  <si>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</si>
  <si>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</si>
  <si>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</si>
  <si>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</si>
  <si>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</si>
  <si>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</si>
  <si>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</si>
  <si>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</si>
  <si>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</si>
  <si>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</si>
  <si>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</si>
  <si>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</si>
  <si>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</si>
  <si>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</si>
  <si>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</si>
  <si>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</si>
  <si>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</si>
  <si>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</si>
  <si>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</si>
  <si>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</si>
  <si>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</si>
  <si>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</si>
  <si>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</si>
  <si>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</si>
  <si>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</si>
  <si>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</si>
  <si>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</si>
  <si>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</si>
  <si>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</si>
  <si>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</si>
  <si>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</si>
  <si>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</si>
  <si>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</si>
  <si>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</si>
  <si>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</si>
  <si>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</si>
  <si>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</si>
  <si>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</si>
  <si>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</si>
  <si>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</si>
  <si>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</si>
  <si>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</si>
  <si>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</si>
  <si>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</si>
  <si>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</si>
  <si>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</si>
  <si>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</si>
  <si>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</si>
  <si>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</si>
  <si>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</si>
  <si>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</si>
  <si>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</si>
  <si>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</si>
  <si>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</si>
  <si>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</si>
  <si>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</si>
  <si>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</si>
  <si>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</si>
  <si>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</si>
  <si>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</si>
  <si>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</si>
  <si>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</si>
  <si>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</si>
  <si>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</si>
  <si>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</si>
  <si>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</si>
  <si>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</si>
  <si>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</si>
  <si>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</si>
  <si>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</si>
  <si>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</si>
  <si>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</si>
  <si>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</si>
  <si>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</si>
  <si>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</si>
  <si>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</si>
  <si>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</si>
  <si>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</si>
  <si>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</si>
  <si>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</si>
  <si>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</si>
  <si>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</si>
  <si>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</si>
  <si>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</si>
  <si>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</si>
  <si>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</si>
  <si>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</si>
  <si>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</si>
  <si>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</si>
  <si>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</si>
  <si>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</si>
  <si>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</si>
  <si>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</si>
  <si>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</si>
  <si>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</si>
  <si>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</si>
  <si>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</si>
  <si>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</si>
  <si>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</si>
  <si>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</si>
  <si>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</si>
  <si>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</si>
  <si>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</si>
  <si>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</si>
  <si>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</si>
  <si>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</si>
  <si>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</si>
  <si>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</si>
  <si>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</si>
  <si>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</si>
  <si>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</si>
  <si>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</si>
  <si>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</si>
  <si>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</si>
  <si>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</si>
  <si>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</si>
  <si>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</si>
  <si>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</si>
  <si>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</si>
  <si>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</si>
  <si>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</si>
  <si>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</si>
  <si>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</si>
  <si>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</si>
  <si>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</si>
  <si>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</si>
  <si>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</si>
  <si>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</si>
  <si>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</si>
  <si>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</si>
  <si>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</si>
  <si>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</si>
  <si>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</si>
  <si>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</si>
  <si>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</si>
  <si>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</si>
  <si>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</si>
  <si>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</si>
  <si>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</si>
  <si>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</si>
  <si>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</si>
  <si>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</si>
  <si>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</si>
  <si>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</si>
  <si>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</si>
  <si>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</si>
  <si>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</si>
  <si>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</si>
  <si>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</si>
  <si>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</si>
  <si>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</si>
  <si>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</si>
  <si>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</si>
  <si>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</si>
  <si>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</si>
  <si>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</si>
  <si>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</si>
  <si>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</si>
  <si>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</si>
  <si>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</si>
  <si>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</si>
  <si>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</si>
  <si>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</si>
  <si>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</si>
  <si>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</si>
  <si>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</si>
  <si>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</si>
  <si>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</si>
  <si>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</si>
  <si>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</si>
  <si>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</si>
  <si>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</si>
  <si>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</si>
  <si>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</si>
  <si>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</si>
  <si>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</si>
  <si>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</si>
  <si>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</si>
  <si>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--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</si>
  <si>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</si>
  <si>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</si>
  <si>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</si>
  <si>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</si>
  <si>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</si>
  <si>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</si>
  <si>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</si>
  <si>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</si>
  <si>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</si>
  <si>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</si>
  <si>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</si>
  <si>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</si>
  <si>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</si>
  <si>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</si>
  <si>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</si>
  <si>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</si>
  <si>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</si>
  <si>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</si>
  <si>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</si>
  <si>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</si>
  <si>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</si>
  <si>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</si>
  <si>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</si>
  <si>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</si>
  <si>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</si>
  <si>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</si>
  <si>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</si>
  <si>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</si>
  <si>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</si>
  <si>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</si>
  <si>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</si>
  <si>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</si>
  <si>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</si>
  <si>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</si>
  <si>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</si>
  <si>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</si>
  <si>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</si>
  <si>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</si>
  <si>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</si>
  <si>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</si>
  <si>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</si>
  <si>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</si>
  <si>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</si>
  <si>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</si>
  <si>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</si>
  <si>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</si>
  <si>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</si>
  <si>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</si>
  <si>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</si>
  <si>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</si>
  <si>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</si>
  <si>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</si>
  <si>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</si>
  <si>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</si>
  <si>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</si>
  <si>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</si>
  <si>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</si>
  <si>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</si>
  <si>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</si>
  <si>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</si>
  <si>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</si>
  <si>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</si>
  <si>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</si>
  <si>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</si>
  <si>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</si>
  <si>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</si>
  <si>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</si>
  <si>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</si>
  <si>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</si>
  <si>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</si>
  <si>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</si>
  <si>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</si>
  <si>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</si>
  <si>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</si>
  <si>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</si>
  <si>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</si>
  <si>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</si>
  <si>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</si>
  <si>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</si>
  <si>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</si>
  <si>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</si>
  <si>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</si>
  <si>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</si>
  <si>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</si>
  <si>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</si>
  <si>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</si>
  <si>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</si>
  <si>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</si>
  <si>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</si>
  <si>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</si>
  <si>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</si>
  <si>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</si>
  <si>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</si>
  <si>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</si>
  <si>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</si>
  <si>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</si>
  <si>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</si>
  <si>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</si>
  <si>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</si>
  <si>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</si>
  <si>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</si>
  <si>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</si>
  <si>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</si>
  <si>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</si>
  <si>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</si>
  <si>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</si>
  <si>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</si>
  <si>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</si>
  <si>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</si>
  <si>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</si>
  <si>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</si>
  <si>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</si>
  <si>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</si>
  <si>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</si>
  <si>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</si>
  <si>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</si>
  <si>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</si>
  <si>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</si>
  <si>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</si>
  <si>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</si>
  <si>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</si>
  <si>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</si>
  <si>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</si>
  <si>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</si>
  <si>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</si>
  <si>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</si>
  <si>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</si>
  <si>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</si>
  <si>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</si>
  <si>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</si>
  <si>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</si>
  <si>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</si>
  <si>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</si>
  <si>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</si>
  <si>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</si>
  <si>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</si>
  <si>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</si>
  <si>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</si>
  <si>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</si>
  <si>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</si>
  <si>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</si>
  <si>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</si>
  <si>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</si>
  <si>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</si>
  <si>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</si>
  <si>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</si>
  <si>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</si>
  <si>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</si>
  <si>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</si>
  <si>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</si>
  <si>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</si>
  <si>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</si>
  <si>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</si>
  <si>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</si>
  <si>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</si>
  <si>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28</t>
  </si>
  <si>
    <t>Ústav lékařské genetiky</t>
  </si>
  <si>
    <t/>
  </si>
  <si>
    <t>50113013     léky (paušál) - antibiotika (LEK)</t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</si>
  <si>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</si>
  <si>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</si>
  <si>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</si>
  <si>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</si>
  <si>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</si>
  <si>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</si>
  <si>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</si>
  <si>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</si>
  <si>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</si>
  <si>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</si>
  <si>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</si>
  <si>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</si>
  <si>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51366</t>
  </si>
  <si>
    <t>CHLORID SODNÝ 0,9% BRAUN</t>
  </si>
  <si>
    <t>INF SOL 20X100MLPELAH</t>
  </si>
  <si>
    <t>921227</t>
  </si>
  <si>
    <t>KL SOL.HYD.PEROX.20% 500g</t>
  </si>
  <si>
    <t>930443</t>
  </si>
  <si>
    <t>KL PERSTERIL 4% 1 kg HVLP</t>
  </si>
  <si>
    <t>UN 3149</t>
  </si>
  <si>
    <t>Ústav lékařské genetiky a fet.med.</t>
  </si>
  <si>
    <t>GEN, laboratoř</t>
  </si>
  <si>
    <t>Lékárna - léčiva</t>
  </si>
  <si>
    <t>28 - Ústav lékařské genetiky</t>
  </si>
  <si>
    <t>2841 - laboratoř</t>
  </si>
  <si>
    <t>HVLP</t>
  </si>
  <si>
    <t>89301282</t>
  </si>
  <si>
    <t>Ambulance odd.lékařské genetiky Celkem</t>
  </si>
  <si>
    <t>Ústav lékařské genetiky a fet.med. Celkem</t>
  </si>
  <si>
    <t>Mracká Enkhjargal</t>
  </si>
  <si>
    <t>Ketoprofen</t>
  </si>
  <si>
    <t>76655</t>
  </si>
  <si>
    <t>KETONAL</t>
  </si>
  <si>
    <t>POR CPS DUR 25X50MG</t>
  </si>
  <si>
    <t>Valsartan</t>
  </si>
  <si>
    <t>182114</t>
  </si>
  <si>
    <t>VALSARTAN KRKA 160 MG</t>
  </si>
  <si>
    <t>POR TBL FLM 180X160MG</t>
  </si>
  <si>
    <t>Ambulance odd.lékařské genetiky</t>
  </si>
  <si>
    <t>Preskripce a záchyt receptů a poukazů - orientační přehled</t>
  </si>
  <si>
    <t>ZC100</t>
  </si>
  <si>
    <t>Vata buničitá dělená 2 role / 500 ks 40 x 50 mm 1230200310</t>
  </si>
  <si>
    <t>ZB755</t>
  </si>
  <si>
    <t>Zkumavka 1,0 ml K3 edta fialová 454034</t>
  </si>
  <si>
    <t>ZB758</t>
  </si>
  <si>
    <t>Zkumavka 9 ml K3 edta NR 455036</t>
  </si>
  <si>
    <t>ZB764</t>
  </si>
  <si>
    <t>Zkumavka zelená 4 ml 454051</t>
  </si>
  <si>
    <t>ZB771</t>
  </si>
  <si>
    <t>Držák jehly základní 450201</t>
  </si>
  <si>
    <t>ZE159</t>
  </si>
  <si>
    <t>Nádoba na kontaminovaný odpad 2 l 15-0003</t>
  </si>
  <si>
    <t>ZB857</t>
  </si>
  <si>
    <t>Kartáček na bukální stěr bal. á 100 ks MB 100 BR</t>
  </si>
  <si>
    <t>ZB768</t>
  </si>
  <si>
    <t>Jehla vakuová 216/38 mm zelená 450076</t>
  </si>
  <si>
    <t>ZI758</t>
  </si>
  <si>
    <t>Rukavice vinyl bez p. M á 100 ks EFEKTVR03</t>
  </si>
  <si>
    <t>ZI759</t>
  </si>
  <si>
    <t>Rukavice vinyl bez p. L á 100 ks EFEKTVR04</t>
  </si>
  <si>
    <t>ZA411</t>
  </si>
  <si>
    <t>Gáza přířezy 30 cm x 30 cm 17 nití 07004</t>
  </si>
  <si>
    <t>ZA446</t>
  </si>
  <si>
    <t>Vata buničitá přířezy 20 x 30 cm 1230200129</t>
  </si>
  <si>
    <t>ZA557</t>
  </si>
  <si>
    <t>Kompresa gáza sterilní 10 x 20 cm / 5 ks 26013</t>
  </si>
  <si>
    <t>ZD104</t>
  </si>
  <si>
    <t>Náplast omniplast 10,0 cm x 10,0 m 9004472 (900535)</t>
  </si>
  <si>
    <t>ZA789</t>
  </si>
  <si>
    <t>Stříkačka injekční 2-dílná 2 ml L Inject Solo 4606027V</t>
  </si>
  <si>
    <t>ZF192</t>
  </si>
  <si>
    <t>Nádoba na kontaminovaný odpad 4 l 15-0004</t>
  </si>
  <si>
    <t>ZJ278</t>
  </si>
  <si>
    <t>Zkumavka PP 10 ml sterilní bal. á 200 ks 331690211500</t>
  </si>
  <si>
    <t>ZF370</t>
  </si>
  <si>
    <t>Filtr syringe 0,22 um, pr. 33 mm á 40 ks 99722</t>
  </si>
  <si>
    <t>ZF477</t>
  </si>
  <si>
    <t>Destička pro přípravu vzorků do kapiláry 96-well PCR plate bal. á 100 ks 732-2390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</si>
  <si>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</si>
  <si>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</si>
  <si>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</si>
  <si>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</si>
  <si>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</si>
  <si>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</si>
  <si>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ZE897</t>
  </si>
  <si>
    <t>Mikrozkumavka PCR 8 strip bez víček bal. á 125 ks 3426.8S</t>
  </si>
  <si>
    <t>ZL046</t>
  </si>
  <si>
    <t>Microtubes Clear 1.7 ml  bal. á 500 ks BCN1700-BP(7100)</t>
  </si>
  <si>
    <t>ZF246</t>
  </si>
  <si>
    <t>96 well clear flat top PCR mikroplate 40 ks 5610</t>
  </si>
  <si>
    <t>ZF245</t>
  </si>
  <si>
    <t>SC Adapter S0101 bal á 100 ks S0120-100</t>
  </si>
  <si>
    <t>ZB788</t>
  </si>
  <si>
    <t>Špička s filtrem 20 ul bal. á 96 ks 96.11190.9.01 (staré.k.č. 96.10296.9.01)</t>
  </si>
  <si>
    <t>ZK523</t>
  </si>
  <si>
    <t>Špička s filtrem-Filter 10 ul clear racked10x69 sterile S3 bal. 960 ks BT10</t>
  </si>
  <si>
    <t>ZF248</t>
  </si>
  <si>
    <t>Thin wall clear PCR strip tubes 0,2 ml and flat strip caps 12 tubes/ 80 ks 5390</t>
  </si>
  <si>
    <t>ZA832</t>
  </si>
  <si>
    <t>Jehla injekční 0,9 x 40 mm žlutá 4657519</t>
  </si>
  <si>
    <t>ZK475</t>
  </si>
  <si>
    <t>Rukavice operační latexové s pudrem ansell medigrip plus vel. 7,0 303504 (303364)</t>
  </si>
  <si>
    <t>ZM292</t>
  </si>
  <si>
    <t>Rukavice nitril sempercare bez p. M bal. á 200 ks 30803</t>
  </si>
  <si>
    <t>ZM291</t>
  </si>
  <si>
    <t>Rukavice nitril sempercare bez p. S bal. á 200 ks 30802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</si>
  <si>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</si>
  <si>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</si>
  <si>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</si>
  <si>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</si>
  <si>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</si>
  <si>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</si>
  <si>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</si>
  <si>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</si>
  <si>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</si>
  <si>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</si>
  <si>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</si>
  <si>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</si>
  <si>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</si>
  <si>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</si>
  <si>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</si>
  <si>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</si>
  <si>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</si>
  <si>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</si>
  <si>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</si>
  <si>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</si>
  <si>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DG229</t>
  </si>
  <si>
    <t>METHANOL P.A.</t>
  </si>
  <si>
    <t>DE260</t>
  </si>
  <si>
    <t>AmnioGrow CE IVD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</si>
  <si>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</si>
  <si>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</si>
  <si>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</si>
  <si>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</si>
  <si>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</si>
  <si>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</si>
  <si>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DG636</t>
  </si>
  <si>
    <t>MiSeq reagent kit v2 (300cycles)</t>
  </si>
  <si>
    <t>DD567</t>
  </si>
  <si>
    <t>Running buffer w/EDTA 10x, 25ml</t>
  </si>
  <si>
    <t>DG815</t>
  </si>
  <si>
    <t>SALSA MLPA P070 Hu Telomere-5 probemix 50rxn</t>
  </si>
  <si>
    <t>DG864</t>
  </si>
  <si>
    <t>SALSA MLPA P343 Autism-1 probemix - 50 reactions</t>
  </si>
  <si>
    <t>DH188</t>
  </si>
  <si>
    <t>DEV-5 Dye Set SingleCap kit</t>
  </si>
  <si>
    <t>DG379</t>
  </si>
  <si>
    <t>Doprava 21%</t>
  </si>
  <si>
    <t>GEN, ambulance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</si>
  <si>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</si>
  <si>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</si>
  <si>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</si>
  <si>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</si>
  <si>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</si>
  <si>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</si>
  <si>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</si>
  <si>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</si>
  <si>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</si>
  <si>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</si>
  <si>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</si>
  <si>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</si>
  <si>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</si>
  <si>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</si>
  <si>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</si>
  <si>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</si>
  <si>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</si>
  <si>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</si>
  <si>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</si>
  <si>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</si>
  <si>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</si>
  <si>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</si>
  <si>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</si>
  <si>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Dhaifalah Ishraq</t>
  </si>
  <si>
    <t>Godava Marek</t>
  </si>
  <si>
    <t>Hyjánek Jiří</t>
  </si>
  <si>
    <t>Procházka Martin</t>
  </si>
  <si>
    <t>Šanová Hana</t>
  </si>
  <si>
    <t>Šantavá Alena</t>
  </si>
  <si>
    <t>Zdravotní výkony vykázané na pracovišti v rámci ambulantní péče dle lékařů *</t>
  </si>
  <si>
    <t>208</t>
  </si>
  <si>
    <t>1</t>
  </si>
  <si>
    <t>0015003</t>
  </si>
  <si>
    <t>IGAMAD 1500 I.U.</t>
  </si>
  <si>
    <t>0113403</t>
  </si>
  <si>
    <t>RHOPHYLAC 300 MIKROGRAMŮ/2 ML</t>
  </si>
  <si>
    <t>V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</si>
  <si>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</si>
  <si>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</si>
  <si>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</si>
  <si>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</si>
  <si>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</si>
  <si>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</si>
  <si>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</si>
  <si>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</si>
  <si>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</si>
  <si>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</si>
  <si>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</si>
  <si>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</si>
  <si>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</si>
  <si>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</si>
  <si>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</si>
  <si>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SIGNÁLNÍ VÝKON KLINICKÉHO VYŠETŘENÍ / DO 31.12.201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</si>
  <si>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</si>
  <si>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</si>
  <si>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</si>
  <si>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</si>
  <si>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</si>
  <si>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</si>
  <si>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</si>
  <si>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</si>
  <si>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</si>
  <si>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</si>
  <si>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</si>
  <si>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</si>
  <si>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</si>
  <si>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</si>
  <si>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</si>
  <si>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</si>
  <si>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</si>
  <si>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</si>
  <si>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</si>
  <si>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</si>
  <si>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0088354</t>
  </si>
  <si>
    <t>RHESONATIV 625 IU/ML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</si>
  <si>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</si>
  <si>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</si>
  <si>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</si>
  <si>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</si>
  <si>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</si>
  <si>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</si>
  <si>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</si>
  <si>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</si>
  <si>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</si>
  <si>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</si>
  <si>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</si>
  <si>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</si>
  <si>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</si>
  <si>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</si>
  <si>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</si>
  <si>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</si>
  <si>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</si>
  <si>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</si>
  <si>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</si>
  <si>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</si>
  <si>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</si>
  <si>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</si>
  <si>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</si>
  <si>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</si>
  <si>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</si>
  <si>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</si>
  <si>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</si>
  <si>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</si>
  <si>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</si>
  <si>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</si>
  <si>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</si>
  <si>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</si>
  <si>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</si>
  <si>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</si>
  <si>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</si>
  <si>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</si>
  <si>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</si>
  <si>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</si>
  <si>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</si>
  <si>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</si>
  <si>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</si>
  <si>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</si>
  <si>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</si>
  <si>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</si>
  <si>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</si>
  <si>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</si>
  <si>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</si>
  <si>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Zdravotní výkony + ZUM + ZULP vykázané na pracovišti v rámci ambulantní péče - orientační přehled</t>
  </si>
  <si>
    <t>03 - III. interní klinika - nefrologická, revmatologická a endokrinologická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</si>
  <si>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</si>
  <si>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</si>
  <si>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</si>
  <si>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</si>
  <si>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17 - Neurologická klinika</t>
  </si>
  <si>
    <t>21 - Onkologická klinika</t>
  </si>
  <si>
    <t>03</t>
  </si>
  <si>
    <t>07</t>
  </si>
  <si>
    <t>08</t>
  </si>
  <si>
    <t>09</t>
  </si>
  <si>
    <t>10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</si>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</sst>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7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32" fillId="2" borderId="49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1" xfId="0" applyNumberFormat="1" applyFont="1" applyFill="1" applyBorder="1"/>
    <xf numFmtId="3" fontId="53" fillId="8" borderId="72" xfId="0" applyNumberFormat="1" applyFont="1" applyFill="1" applyBorder="1"/>
    <xf numFmtId="3" fontId="53" fillId="8" borderId="7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5" xfId="0" applyNumberFormat="1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8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1" xfId="0" applyFont="1" applyFill="1" applyBorder="1" applyAlignment="1"/>
    <xf numFmtId="0" fontId="40" fillId="2" borderId="83" xfId="0" applyFont="1" applyFill="1" applyBorder="1" applyAlignment="1">
      <alignment horizontal="left" indent="1"/>
    </xf>
    <xf numFmtId="0" fontId="40" fillId="2" borderId="89" xfId="0" applyFont="1" applyFill="1" applyBorder="1" applyAlignment="1">
      <alignment horizontal="left" indent="1"/>
    </xf>
    <xf numFmtId="0" fontId="40" fillId="4" borderId="81" xfId="0" applyFont="1" applyFill="1" applyBorder="1" applyAlignment="1"/>
    <xf numFmtId="0" fontId="40" fillId="4" borderId="83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2" borderId="83" xfId="0" quotePrefix="1" applyFont="1" applyFill="1" applyBorder="1" applyAlignment="1">
      <alignment horizontal="left" indent="2"/>
    </xf>
    <xf numFmtId="0" fontId="33" fillId="2" borderId="89" xfId="0" quotePrefix="1" applyFont="1" applyFill="1" applyBorder="1" applyAlignment="1">
      <alignment horizontal="left" indent="2"/>
    </xf>
    <xf numFmtId="0" fontId="40" fillId="2" borderId="81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9" xfId="0" applyFont="1" applyFill="1" applyBorder="1" applyAlignment="1">
      <alignment horizontal="left" indent="1"/>
    </xf>
    <xf numFmtId="0" fontId="33" fillId="0" borderId="99" xfId="0" applyFont="1" applyBorder="1"/>
    <xf numFmtId="3" fontId="33" fillId="0" borderId="99" xfId="0" applyNumberFormat="1" applyFont="1" applyBorder="1"/>
    <xf numFmtId="0" fontId="40" fillId="4" borderId="73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98" xfId="0" applyNumberFormat="1" applyFont="1" applyFill="1" applyBorder="1" applyAlignment="1">
      <alignment horizontal="center" vertical="center"/>
    </xf>
    <xf numFmtId="3" fontId="55" fillId="2" borderId="96" xfId="0" applyNumberFormat="1" applyFont="1" applyFill="1" applyBorder="1" applyAlignment="1">
      <alignment horizontal="center" vertical="center" wrapText="1"/>
    </xf>
    <xf numFmtId="173" fontId="40" fillId="4" borderId="82" xfId="0" applyNumberFormat="1" applyFont="1" applyFill="1" applyBorder="1" applyAlignment="1"/>
    <xf numFmtId="173" fontId="40" fillId="4" borderId="75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0" borderId="84" xfId="0" applyNumberFormat="1" applyFont="1" applyBorder="1"/>
    <xf numFmtId="173" fontId="33" fillId="0" borderId="88" xfId="0" applyNumberFormat="1" applyFont="1" applyBorder="1"/>
    <xf numFmtId="173" fontId="33" fillId="0" borderId="86" xfId="0" applyNumberFormat="1" applyFont="1" applyBorder="1"/>
    <xf numFmtId="173" fontId="40" fillId="0" borderId="95" xfId="0" applyNumberFormat="1" applyFont="1" applyBorder="1"/>
    <xf numFmtId="173" fontId="33" fillId="0" borderId="96" xfId="0" applyNumberFormat="1" applyFont="1" applyBorder="1"/>
    <xf numFmtId="173" fontId="33" fillId="0" borderId="79" xfId="0" applyNumberFormat="1" applyFont="1" applyBorder="1"/>
    <xf numFmtId="173" fontId="40" fillId="2" borderId="97" xfId="0" applyNumberFormat="1" applyFont="1" applyFill="1" applyBorder="1" applyAlignment="1"/>
    <xf numFmtId="173" fontId="40" fillId="2" borderId="75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0" borderId="90" xfId="0" applyNumberFormat="1" applyFont="1" applyBorder="1"/>
    <xf numFmtId="173" fontId="33" fillId="0" borderId="91" xfId="0" applyNumberFormat="1" applyFont="1" applyBorder="1"/>
    <xf numFmtId="173" fontId="33" fillId="0" borderId="92" xfId="0" applyNumberFormat="1" applyFont="1" applyBorder="1"/>
    <xf numFmtId="173" fontId="40" fillId="0" borderId="82" xfId="0" applyNumberFormat="1" applyFont="1" applyBorder="1"/>
    <xf numFmtId="173" fontId="33" fillId="0" borderId="98" xfId="0" applyNumberFormat="1" applyFont="1" applyBorder="1"/>
    <xf numFmtId="173" fontId="33" fillId="0" borderId="76" xfId="0" applyNumberFormat="1" applyFont="1" applyBorder="1"/>
    <xf numFmtId="174" fontId="40" fillId="2" borderId="82" xfId="0" applyNumberFormat="1" applyFont="1" applyFill="1" applyBorder="1" applyAlignment="1"/>
    <xf numFmtId="174" fontId="33" fillId="2" borderId="75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40" fillId="0" borderId="84" xfId="0" applyNumberFormat="1" applyFont="1" applyBorder="1"/>
    <xf numFmtId="174" fontId="33" fillId="0" borderId="85" xfId="0" applyNumberFormat="1" applyFont="1" applyBorder="1"/>
    <xf numFmtId="174" fontId="33" fillId="0" borderId="86" xfId="0" applyNumberFormat="1" applyFont="1" applyBorder="1"/>
    <xf numFmtId="174" fontId="33" fillId="0" borderId="88" xfId="0" applyNumberFormat="1" applyFont="1" applyBorder="1"/>
    <xf numFmtId="174" fontId="40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2" xfId="0" applyNumberFormat="1" applyFont="1" applyFill="1" applyBorder="1" applyAlignment="1">
      <alignment horizontal="center"/>
    </xf>
    <xf numFmtId="175" fontId="40" fillId="0" borderId="90" xfId="0" applyNumberFormat="1" applyFont="1" applyBorder="1"/>
    <xf numFmtId="0" fontId="32" fillId="2" borderId="105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7" xfId="0" applyFont="1" applyFill="1" applyBorder="1"/>
    <xf numFmtId="0" fontId="33" fillId="0" borderId="88" xfId="0" applyFont="1" applyBorder="1" applyAlignment="1"/>
    <xf numFmtId="9" fontId="33" fillId="0" borderId="86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99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4" xfId="0" applyNumberFormat="1" applyFont="1" applyBorder="1"/>
    <xf numFmtId="9" fontId="33" fillId="0" borderId="88" xfId="0" applyNumberFormat="1" applyFont="1" applyBorder="1"/>
    <xf numFmtId="9" fontId="33" fillId="0" borderId="86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10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/>
    <xf numFmtId="9" fontId="3" fillId="2" borderId="10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4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6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0" xfId="0" applyNumberFormat="1" applyFont="1" applyFill="1" applyBorder="1" applyAlignment="1">
      <alignment horizontal="right" vertical="top"/>
    </xf>
    <xf numFmtId="3" fontId="34" fillId="9" borderId="111" xfId="0" applyNumberFormat="1" applyFont="1" applyFill="1" applyBorder="1" applyAlignment="1">
      <alignment horizontal="right" vertical="top"/>
    </xf>
    <xf numFmtId="176" fontId="34" fillId="9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6" fontId="34" fillId="9" borderId="113" xfId="0" applyNumberFormat="1" applyFont="1" applyFill="1" applyBorder="1" applyAlignment="1">
      <alignment horizontal="right" vertical="top"/>
    </xf>
    <xf numFmtId="3" fontId="36" fillId="9" borderId="115" xfId="0" applyNumberFormat="1" applyFont="1" applyFill="1" applyBorder="1" applyAlignment="1">
      <alignment horizontal="right" vertical="top"/>
    </xf>
    <xf numFmtId="3" fontId="36" fillId="9" borderId="116" xfId="0" applyNumberFormat="1" applyFont="1" applyFill="1" applyBorder="1" applyAlignment="1">
      <alignment horizontal="right" vertical="top"/>
    </xf>
    <xf numFmtId="0" fontId="36" fillId="9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9" borderId="118" xfId="0" applyFont="1" applyFill="1" applyBorder="1" applyAlignment="1">
      <alignment horizontal="right" vertical="top"/>
    </xf>
    <xf numFmtId="0" fontId="34" fillId="9" borderId="112" xfId="0" applyFont="1" applyFill="1" applyBorder="1" applyAlignment="1">
      <alignment horizontal="right" vertical="top"/>
    </xf>
    <xf numFmtId="0" fontId="34" fillId="9" borderId="113" xfId="0" applyFont="1" applyFill="1" applyBorder="1" applyAlignment="1">
      <alignment horizontal="right" vertical="top"/>
    </xf>
    <xf numFmtId="176" fontId="36" fillId="9" borderId="117" xfId="0" applyNumberFormat="1" applyFont="1" applyFill="1" applyBorder="1" applyAlignment="1">
      <alignment horizontal="right" vertical="top"/>
    </xf>
    <xf numFmtId="176" fontId="36" fillId="9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0" fontId="38" fillId="10" borderId="109" xfId="0" applyFont="1" applyFill="1" applyBorder="1" applyAlignment="1">
      <alignment vertical="top"/>
    </xf>
    <xf numFmtId="0" fontId="38" fillId="10" borderId="109" xfId="0" applyFont="1" applyFill="1" applyBorder="1" applyAlignment="1">
      <alignment vertical="top" indent="2"/>
    </xf>
    <xf numFmtId="0" fontId="38" fillId="10" borderId="109" xfId="0" applyFont="1" applyFill="1" applyBorder="1" applyAlignment="1">
      <alignment vertical="top" indent="4"/>
    </xf>
    <xf numFmtId="0" fontId="39" fillId="10" borderId="11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8"/>
    </xf>
    <xf numFmtId="0" fontId="39" fillId="10" borderId="114" xfId="0" applyFont="1" applyFill="1" applyBorder="1" applyAlignment="1">
      <alignment vertical="top" indent="2"/>
    </xf>
    <xf numFmtId="0" fontId="38" fillId="10" borderId="109" xfId="0" applyFont="1" applyFill="1" applyBorder="1" applyAlignment="1">
      <alignment vertical="top" indent="6"/>
    </xf>
    <xf numFmtId="0" fontId="39" fillId="10" borderId="114" xfId="0" applyFont="1" applyFill="1" applyBorder="1" applyAlignment="1">
      <alignment vertical="top" indent="4"/>
    </xf>
    <xf numFmtId="0" fontId="33" fillId="10" borderId="109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3" xfId="53" applyNumberFormat="1" applyFont="1" applyFill="1" applyBorder="1" applyAlignment="1">
      <alignment horizontal="left"/>
    </xf>
    <xf numFmtId="164" fontId="32" fillId="2" borderId="124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75" xfId="0" applyFont="1" applyFill="1" applyBorder="1"/>
    <xf numFmtId="0" fontId="33" fillId="0" borderId="76" xfId="0" applyFont="1" applyFill="1" applyBorder="1"/>
    <xf numFmtId="164" fontId="33" fillId="0" borderId="76" xfId="0" applyNumberFormat="1" applyFont="1" applyFill="1" applyBorder="1"/>
    <xf numFmtId="164" fontId="33" fillId="0" borderId="76" xfId="0" applyNumberFormat="1" applyFont="1" applyFill="1" applyBorder="1" applyAlignment="1">
      <alignment horizontal="right"/>
    </xf>
    <xf numFmtId="3" fontId="33" fillId="0" borderId="76" xfId="0" applyNumberFormat="1" applyFont="1" applyFill="1" applyBorder="1"/>
    <xf numFmtId="3" fontId="33" fillId="0" borderId="77" xfId="0" applyNumberFormat="1" applyFont="1" applyFill="1" applyBorder="1"/>
    <xf numFmtId="0" fontId="33" fillId="0" borderId="85" xfId="0" applyFont="1" applyFill="1" applyBorder="1"/>
    <xf numFmtId="0" fontId="33" fillId="0" borderId="86" xfId="0" applyFont="1" applyFill="1" applyBorder="1"/>
    <xf numFmtId="164" fontId="33" fillId="0" borderId="86" xfId="0" applyNumberFormat="1" applyFont="1" applyFill="1" applyBorder="1"/>
    <xf numFmtId="164" fontId="33" fillId="0" borderId="86" xfId="0" applyNumberFormat="1" applyFont="1" applyFill="1" applyBorder="1" applyAlignment="1">
      <alignment horizontal="right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" fillId="2" borderId="123" xfId="79" applyFont="1" applyFill="1" applyBorder="1" applyAlignment="1">
      <alignment horizontal="left"/>
    </xf>
    <xf numFmtId="3" fontId="3" fillId="2" borderId="92" xfId="80" applyNumberFormat="1" applyFont="1" applyFill="1" applyBorder="1"/>
    <xf numFmtId="3" fontId="3" fillId="2" borderId="93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40" fillId="0" borderId="105" xfId="0" applyFont="1" applyFill="1" applyBorder="1"/>
    <xf numFmtId="0" fontId="40" fillId="0" borderId="104" xfId="0" applyFont="1" applyFill="1" applyBorder="1" applyAlignment="1">
      <alignment horizontal="left" indent="1"/>
    </xf>
    <xf numFmtId="9" fontId="33" fillId="0" borderId="98" xfId="0" applyNumberFormat="1" applyFont="1" applyFill="1" applyBorder="1"/>
    <xf numFmtId="9" fontId="33" fillId="0" borderId="96" xfId="0" applyNumberFormat="1" applyFont="1" applyFill="1" applyBorder="1"/>
    <xf numFmtId="3" fontId="33" fillId="0" borderId="75" xfId="0" applyNumberFormat="1" applyFont="1" applyFill="1" applyBorder="1"/>
    <xf numFmtId="3" fontId="33" fillId="0" borderId="78" xfId="0" applyNumberFormat="1" applyFont="1" applyFill="1" applyBorder="1"/>
    <xf numFmtId="9" fontId="33" fillId="0" borderId="102" xfId="0" applyNumberFormat="1" applyFont="1" applyFill="1" applyBorder="1"/>
    <xf numFmtId="9" fontId="33" fillId="0" borderId="101" xfId="0" applyNumberFormat="1" applyFont="1" applyFill="1" applyBorder="1"/>
    <xf numFmtId="9" fontId="30" fillId="0" borderId="0" xfId="0" applyNumberFormat="1" applyFont="1" applyFill="1" applyBorder="1"/>
    <xf numFmtId="0" fontId="33" fillId="0" borderId="26" xfId="0" applyFont="1" applyFill="1" applyBorder="1"/>
    <xf numFmtId="0" fontId="40" fillId="10" borderId="26" xfId="0" applyFont="1" applyFill="1" applyBorder="1"/>
    <xf numFmtId="0" fontId="3" fillId="2" borderId="92" xfId="80" applyFont="1" applyFill="1" applyBorder="1"/>
    <xf numFmtId="3" fontId="33" fillId="0" borderId="19" xfId="0" applyNumberFormat="1" applyFont="1" applyFill="1" applyBorder="1"/>
    <xf numFmtId="0" fontId="33" fillId="0" borderId="27" xfId="0" applyFont="1" applyFill="1" applyBorder="1"/>
    <xf numFmtId="3" fontId="33" fillId="0" borderId="27" xfId="0" applyNumberFormat="1" applyFont="1" applyFill="1" applyBorder="1"/>
    <xf numFmtId="3" fontId="33" fillId="0" borderId="51" xfId="0" applyNumberFormat="1" applyFont="1" applyFill="1" applyBorder="1"/>
    <xf numFmtId="3" fontId="33" fillId="0" borderId="28" xfId="0" applyNumberFormat="1" applyFont="1" applyFill="1" applyBorder="1"/>
    <xf numFmtId="0" fontId="3" fillId="2" borderId="125" xfId="79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80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29" xfId="0" applyFont="1" applyFill="1" applyBorder="1"/>
    <xf numFmtId="0" fontId="33" fillId="0" borderId="130" xfId="0" applyFont="1" applyFill="1" applyBorder="1"/>
    <xf numFmtId="0" fontId="33" fillId="0" borderId="130" xfId="0" applyFont="1" applyFill="1" applyBorder="1" applyAlignment="1">
      <alignment horizontal="right"/>
    </xf>
    <xf numFmtId="0" fontId="33" fillId="0" borderId="130" xfId="0" applyFont="1" applyFill="1" applyBorder="1" applyAlignment="1">
      <alignment horizontal="left"/>
    </xf>
    <xf numFmtId="164" fontId="33" fillId="0" borderId="130" xfId="0" applyNumberFormat="1" applyFont="1" applyFill="1" applyBorder="1"/>
    <xf numFmtId="165" fontId="33" fillId="0" borderId="130" xfId="0" applyNumberFormat="1" applyFont="1" applyFill="1" applyBorder="1"/>
    <xf numFmtId="9" fontId="33" fillId="0" borderId="130" xfId="0" applyNumberFormat="1" applyFont="1" applyFill="1" applyBorder="1"/>
    <xf numFmtId="9" fontId="33" fillId="0" borderId="131" xfId="0" applyNumberFormat="1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3" fontId="33" fillId="0" borderId="25" xfId="0" applyNumberFormat="1" applyFont="1" applyFill="1" applyBorder="1"/>
    <xf numFmtId="0" fontId="33" fillId="0" borderId="132" xfId="0" applyFont="1" applyFill="1" applyBorder="1"/>
    <xf numFmtId="0" fontId="33" fillId="0" borderId="133" xfId="0" applyFont="1" applyFill="1" applyBorder="1"/>
    <xf numFmtId="164" fontId="33" fillId="0" borderId="133" xfId="0" applyNumberFormat="1" applyFont="1" applyFill="1" applyBorder="1"/>
    <xf numFmtId="164" fontId="33" fillId="0" borderId="133" xfId="0" applyNumberFormat="1" applyFont="1" applyFill="1" applyBorder="1" applyAlignment="1">
      <alignment horizontal="right"/>
    </xf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164" fontId="33" fillId="0" borderId="130" xfId="0" applyNumberFormat="1" applyFont="1" applyFill="1" applyBorder="1" applyAlignment="1">
      <alignment horizontal="right"/>
    </xf>
    <xf numFmtId="3" fontId="33" fillId="0" borderId="130" xfId="0" applyNumberFormat="1" applyFont="1" applyFill="1" applyBorder="1"/>
    <xf numFmtId="3" fontId="33" fillId="0" borderId="131" xfId="0" applyNumberFormat="1" applyFont="1" applyFill="1" applyBorder="1"/>
    <xf numFmtId="173" fontId="40" fillId="4" borderId="135" xfId="0" applyNumberFormat="1" applyFont="1" applyFill="1" applyBorder="1" applyAlignment="1">
      <alignment horizontal="center"/>
    </xf>
    <xf numFmtId="173" fontId="40" fillId="4" borderId="136" xfId="0" applyNumberFormat="1" applyFont="1" applyFill="1" applyBorder="1" applyAlignment="1">
      <alignment horizontal="center"/>
    </xf>
    <xf numFmtId="173" fontId="33" fillId="0" borderId="137" xfId="0" applyNumberFormat="1" applyFont="1" applyBorder="1" applyAlignment="1">
      <alignment horizontal="right"/>
    </xf>
    <xf numFmtId="173" fontId="33" fillId="0" borderId="138" xfId="0" applyNumberFormat="1" applyFont="1" applyBorder="1" applyAlignment="1">
      <alignment horizontal="right"/>
    </xf>
    <xf numFmtId="173" fontId="33" fillId="0" borderId="138" xfId="0" applyNumberFormat="1" applyFont="1" applyBorder="1" applyAlignment="1">
      <alignment horizontal="right" wrapText="1"/>
    </xf>
    <xf numFmtId="175" fontId="33" fillId="0" borderId="137" xfId="0" applyNumberFormat="1" applyFont="1" applyBorder="1" applyAlignment="1">
      <alignment horizontal="right"/>
    </xf>
    <xf numFmtId="175" fontId="33" fillId="0" borderId="138" xfId="0" applyNumberFormat="1" applyFont="1" applyBorder="1" applyAlignment="1">
      <alignment horizontal="right"/>
    </xf>
    <xf numFmtId="173" fontId="33" fillId="0" borderId="139" xfId="0" applyNumberFormat="1" applyFont="1" applyBorder="1" applyAlignment="1">
      <alignment horizontal="right"/>
    </xf>
    <xf numFmtId="173" fontId="33" fillId="0" borderId="140" xfId="0" applyNumberFormat="1" applyFont="1" applyBorder="1" applyAlignment="1">
      <alignment horizontal="right"/>
    </xf>
    <xf numFmtId="0" fontId="40" fillId="2" borderId="55" xfId="0" applyFont="1" applyFill="1" applyBorder="1" applyAlignment="1">
      <alignment horizontal="center" vertical="center"/>
    </xf>
    <xf numFmtId="0" fontId="55" fillId="2" borderId="101" xfId="0" applyFont="1" applyFill="1" applyBorder="1" applyAlignment="1">
      <alignment horizontal="center" vertical="center" wrapText="1"/>
    </xf>
    <xf numFmtId="174" fontId="33" fillId="2" borderId="55" xfId="0" applyNumberFormat="1" applyFont="1" applyFill="1" applyBorder="1" applyAlignment="1"/>
    <xf numFmtId="174" fontId="33" fillId="0" borderId="100" xfId="0" applyNumberFormat="1" applyFont="1" applyBorder="1"/>
    <xf numFmtId="174" fontId="33" fillId="0" borderId="141" xfId="0" applyNumberFormat="1" applyFont="1" applyBorder="1"/>
    <xf numFmtId="173" fontId="40" fillId="4" borderId="55" xfId="0" applyNumberFormat="1" applyFont="1" applyFill="1" applyBorder="1" applyAlignment="1"/>
    <xf numFmtId="173" fontId="33" fillId="0" borderId="100" xfId="0" applyNumberFormat="1" applyFont="1" applyBorder="1"/>
    <xf numFmtId="173" fontId="33" fillId="0" borderId="101" xfId="0" applyNumberFormat="1" applyFont="1" applyBorder="1"/>
    <xf numFmtId="173" fontId="40" fillId="2" borderId="55" xfId="0" applyNumberFormat="1" applyFont="1" applyFill="1" applyBorder="1" applyAlignment="1"/>
    <xf numFmtId="173" fontId="33" fillId="0" borderId="141" xfId="0" applyNumberFormat="1" applyFont="1" applyBorder="1"/>
    <xf numFmtId="173" fontId="33" fillId="0" borderId="55" xfId="0" applyNumberFormat="1" applyFont="1" applyBorder="1"/>
    <xf numFmtId="9" fontId="33" fillId="0" borderId="100" xfId="0" applyNumberFormat="1" applyFont="1" applyBorder="1"/>
    <xf numFmtId="173" fontId="40" fillId="4" borderId="142" xfId="0" applyNumberFormat="1" applyFont="1" applyFill="1" applyBorder="1" applyAlignment="1">
      <alignment horizontal="center"/>
    </xf>
    <xf numFmtId="173" fontId="33" fillId="0" borderId="143" xfId="0" applyNumberFormat="1" applyFont="1" applyBorder="1" applyAlignment="1">
      <alignment horizontal="right"/>
    </xf>
    <xf numFmtId="175" fontId="33" fillId="0" borderId="143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83" xfId="0" applyNumberFormat="1" applyFont="1" applyBorder="1" applyAlignment="1">
      <alignment horizontal="right"/>
    </xf>
    <xf numFmtId="175" fontId="33" fillId="0" borderId="83" xfId="0" applyNumberFormat="1" applyFont="1" applyBorder="1" applyAlignment="1">
      <alignment horizontal="right"/>
    </xf>
    <xf numFmtId="173" fontId="33" fillId="0" borderId="145" xfId="0" applyNumberFormat="1" applyFont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86" xfId="0" applyNumberFormat="1" applyFont="1" applyFill="1" applyBorder="1"/>
    <xf numFmtId="9" fontId="33" fillId="0" borderId="86" xfId="0" applyNumberFormat="1" applyFont="1" applyFill="1" applyBorder="1"/>
    <xf numFmtId="9" fontId="33" fillId="0" borderId="87" xfId="0" applyNumberFormat="1" applyFont="1" applyFill="1" applyBorder="1"/>
    <xf numFmtId="169" fontId="33" fillId="0" borderId="79" xfId="0" applyNumberFormat="1" applyFont="1" applyFill="1" applyBorder="1"/>
    <xf numFmtId="0" fontId="40" fillId="0" borderId="24" xfId="0" applyFont="1" applyFill="1" applyBorder="1"/>
    <xf numFmtId="0" fontId="40" fillId="0" borderId="85" xfId="0" applyFont="1" applyFill="1" applyBorder="1"/>
    <xf numFmtId="0" fontId="40" fillId="0" borderId="12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87" xfId="0" applyNumberFormat="1" applyFont="1" applyFill="1" applyBorder="1"/>
    <xf numFmtId="169" fontId="33" fillId="0" borderId="131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5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2.4664165406351257</c:v>
                </c:pt>
                <c:pt idx="1">
                  <c:v>2.6389782977394671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037456"/>
        <c:axId val="12250386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2.1967386610189559</c:v>
                </c:pt>
                <c:pt idx="1">
                  <c:v>2.1967386610189559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035104"/>
        <c:axId val="1225037848"/>
      </c:scatterChart>
      <c:catAx>
        <c:axId val="122503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25038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5038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25037456"/>
        <c:crosses val="autoZero"/>
        <c:crossBetween val="between"/>
      </c:valAx>
      <c:valAx>
        <c:axId val="12250351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25037848"/>
        <c:crosses val="max"/>
        <c:crossBetween val="midCat"/>
      </c:valAx>
      <c:valAx>
        <c:axId val="1225037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250351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9" bestFit="1" customWidth="1"/>
    <col min="2" max="2" width="102.21875" style="119" bestFit="1" customWidth="1"/>
    <col min="3" max="3" width="16.109375" style="42" hidden="1" customWidth="1"/>
    <col min="4" max="16384" width="8.88671875" style="119"/>
  </cols>
  <sheetData>
    <row r="1" spans="1:3" ht="18.600000000000001" customHeight="1" thickBot="1" x14ac:dyDescent="0.4">
      <c r="A1" s="314" t="s">
        <v>109</v>
      </c>
      <c r="B1" s="314"/>
    </row>
    <row r="2" spans="1:3" ht="14.4" customHeight="1" thickBot="1" x14ac:dyDescent="0.35">
      <c r="A2" s="224" t="s">
        <v>267</v>
      </c>
      <c r="B2" s="41"/>
    </row>
    <row r="3" spans="1:3" ht="14.4" customHeight="1" thickBot="1" x14ac:dyDescent="0.35">
      <c r="A3" s="310" t="s">
        <v>135</v>
      </c>
      <c r="B3" s="311"/>
    </row>
    <row r="4" spans="1:3" ht="14.4" customHeight="1" x14ac:dyDescent="0.3">
      <c r="A4" s="134" t="str">
        <f t="shared" ref="A4:A8" si="0">HYPERLINK("#'"&amp;C4&amp;"'!A1",C4)</f>
        <v>Motivace</v>
      </c>
      <c r="B4" s="78" t="s">
        <v>122</v>
      </c>
      <c r="C4" s="42" t="s">
        <v>123</v>
      </c>
    </row>
    <row r="5" spans="1:3" ht="14.4" customHeight="1" x14ac:dyDescent="0.3">
      <c r="A5" s="135" t="str">
        <f t="shared" si="0"/>
        <v>HI</v>
      </c>
      <c r="B5" s="79" t="s">
        <v>131</v>
      </c>
      <c r="C5" s="42" t="s">
        <v>112</v>
      </c>
    </row>
    <row r="6" spans="1:3" ht="14.4" customHeight="1" x14ac:dyDescent="0.3">
      <c r="A6" s="136" t="str">
        <f t="shared" si="0"/>
        <v>HI Graf</v>
      </c>
      <c r="B6" s="80" t="s">
        <v>105</v>
      </c>
      <c r="C6" s="42" t="s">
        <v>113</v>
      </c>
    </row>
    <row r="7" spans="1:3" ht="14.4" customHeight="1" x14ac:dyDescent="0.3">
      <c r="A7" s="136" t="str">
        <f t="shared" si="0"/>
        <v>Man Tab</v>
      </c>
      <c r="B7" s="80" t="s">
        <v>269</v>
      </c>
      <c r="C7" s="42" t="s">
        <v>114</v>
      </c>
    </row>
    <row r="8" spans="1:3" ht="14.4" customHeight="1" thickBot="1" x14ac:dyDescent="0.35">
      <c r="A8" s="137" t="str">
        <f t="shared" si="0"/>
        <v>HV</v>
      </c>
      <c r="B8" s="81" t="s">
        <v>61</v>
      </c>
      <c r="C8" s="42" t="s">
        <v>66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312" t="s">
        <v>110</v>
      </c>
      <c r="B10" s="311"/>
    </row>
    <row r="11" spans="1:3" ht="14.4" customHeight="1" x14ac:dyDescent="0.3">
      <c r="A11" s="138" t="str">
        <f t="shared" ref="A11" si="1">HYPERLINK("#'"&amp;C11&amp;"'!A1",C11)</f>
        <v>Léky Žádanky</v>
      </c>
      <c r="B11" s="79" t="s">
        <v>132</v>
      </c>
      <c r="C11" s="42" t="s">
        <v>115</v>
      </c>
    </row>
    <row r="12" spans="1:3" ht="14.4" customHeight="1" x14ac:dyDescent="0.3">
      <c r="A12" s="136" t="str">
        <f t="shared" ref="A12:A19" si="2">HYPERLINK("#'"&amp;C12&amp;"'!A1",C12)</f>
        <v>LŽ Detail</v>
      </c>
      <c r="B12" s="80" t="s">
        <v>154</v>
      </c>
      <c r="C12" s="42" t="s">
        <v>116</v>
      </c>
    </row>
    <row r="13" spans="1:3" ht="14.4" customHeight="1" x14ac:dyDescent="0.3">
      <c r="A13" s="136" t="str">
        <f t="shared" si="2"/>
        <v>LŽ Statim</v>
      </c>
      <c r="B13" s="298" t="s">
        <v>232</v>
      </c>
      <c r="C13" s="42" t="s">
        <v>242</v>
      </c>
    </row>
    <row r="14" spans="1:3" ht="14.4" customHeight="1" x14ac:dyDescent="0.3">
      <c r="A14" s="136" t="str">
        <f t="shared" si="2"/>
        <v>Léky Recepty</v>
      </c>
      <c r="B14" s="80" t="s">
        <v>133</v>
      </c>
      <c r="C14" s="42" t="s">
        <v>117</v>
      </c>
    </row>
    <row r="15" spans="1:3" ht="14.4" customHeight="1" x14ac:dyDescent="0.3">
      <c r="A15" s="136" t="str">
        <f t="shared" si="2"/>
        <v>LRp Lékaři</v>
      </c>
      <c r="B15" s="80" t="s">
        <v>139</v>
      </c>
      <c r="C15" s="42" t="s">
        <v>140</v>
      </c>
    </row>
    <row r="16" spans="1:3" ht="14.4" customHeight="1" x14ac:dyDescent="0.3">
      <c r="A16" s="136" t="str">
        <f t="shared" si="2"/>
        <v>LRp Detail</v>
      </c>
      <c r="B16" s="80" t="s">
        <v>483</v>
      </c>
      <c r="C16" s="42" t="s">
        <v>118</v>
      </c>
    </row>
    <row r="17" spans="1:3" ht="14.4" customHeight="1" x14ac:dyDescent="0.3">
      <c r="A17" s="138" t="str">
        <f t="shared" ref="A17" si="3">HYPERLINK("#'"&amp;C17&amp;"'!A1",C17)</f>
        <v>Materiál Žádanky</v>
      </c>
      <c r="B17" s="80" t="s">
        <v>134</v>
      </c>
      <c r="C17" s="42" t="s">
        <v>119</v>
      </c>
    </row>
    <row r="18" spans="1:3" ht="14.4" customHeight="1" x14ac:dyDescent="0.3">
      <c r="A18" s="136" t="str">
        <f t="shared" si="2"/>
        <v>MŽ Detail</v>
      </c>
      <c r="B18" s="80" t="s">
        <v>605</v>
      </c>
      <c r="C18" s="42" t="s">
        <v>120</v>
      </c>
    </row>
    <row r="19" spans="1:3" ht="14.4" customHeight="1" thickBot="1" x14ac:dyDescent="0.35">
      <c r="A19" s="138" t="str">
        <f t="shared" si="2"/>
        <v>Osobní náklady</v>
      </c>
      <c r="B19" s="80" t="s">
        <v>107</v>
      </c>
      <c r="C19" s="42" t="s">
        <v>121</v>
      </c>
    </row>
    <row r="20" spans="1:3" ht="14.4" customHeight="1" thickBot="1" x14ac:dyDescent="0.35">
      <c r="A20" s="83"/>
      <c r="B20" s="83"/>
    </row>
    <row r="21" spans="1:3" ht="14.4" customHeight="1" thickBot="1" x14ac:dyDescent="0.35">
      <c r="A21" s="313" t="s">
        <v>111</v>
      </c>
      <c r="B21" s="311"/>
    </row>
    <row r="22" spans="1:3" ht="14.4" customHeight="1" x14ac:dyDescent="0.3">
      <c r="A22" s="139" t="str">
        <f t="shared" ref="A22:A26" si="4">HYPERLINK("#'"&amp;C22&amp;"'!A1",C22)</f>
        <v>ZV Vykáz.-A</v>
      </c>
      <c r="B22" s="79" t="s">
        <v>614</v>
      </c>
      <c r="C22" s="42" t="s">
        <v>124</v>
      </c>
    </row>
    <row r="23" spans="1:3" ht="14.4" customHeight="1" x14ac:dyDescent="0.3">
      <c r="A23" s="136" t="str">
        <f t="shared" ref="A23" si="5">HYPERLINK("#'"&amp;C23&amp;"'!A1",C23)</f>
        <v>ZV Vykáz.-A Lékaři</v>
      </c>
      <c r="B23" s="80" t="s">
        <v>622</v>
      </c>
      <c r="C23" s="42" t="s">
        <v>245</v>
      </c>
    </row>
    <row r="24" spans="1:3" ht="14.4" customHeight="1" x14ac:dyDescent="0.3">
      <c r="A24" s="136" t="str">
        <f t="shared" si="4"/>
        <v>ZV Vykáz.-A Detail</v>
      </c>
      <c r="B24" s="80" t="s">
        <v>715</v>
      </c>
      <c r="C24" s="42" t="s">
        <v>125</v>
      </c>
    </row>
    <row r="25" spans="1:3" ht="14.4" customHeight="1" x14ac:dyDescent="0.3">
      <c r="A25" s="136" t="str">
        <f t="shared" si="4"/>
        <v>ZV Vykáz.-H</v>
      </c>
      <c r="B25" s="80" t="s">
        <v>128</v>
      </c>
      <c r="C25" s="42" t="s">
        <v>126</v>
      </c>
    </row>
    <row r="26" spans="1:3" ht="14.4" customHeight="1" x14ac:dyDescent="0.3">
      <c r="A26" s="136" t="str">
        <f t="shared" si="4"/>
        <v>ZV Vykáz.-H Detail</v>
      </c>
      <c r="B26" s="80" t="s">
        <v>730</v>
      </c>
      <c r="C26" s="42" t="s">
        <v>127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9" customWidth="1"/>
    <col min="2" max="2" width="34.21875" style="119" customWidth="1"/>
    <col min="3" max="3" width="11.109375" style="119" bestFit="1" customWidth="1"/>
    <col min="4" max="4" width="7.33203125" style="119" bestFit="1" customWidth="1"/>
    <col min="5" max="5" width="11.109375" style="119" bestFit="1" customWidth="1"/>
    <col min="6" max="6" width="5.33203125" style="119" customWidth="1"/>
    <col min="7" max="7" width="7.33203125" style="119" bestFit="1" customWidth="1"/>
    <col min="8" max="8" width="5.33203125" style="119" customWidth="1"/>
    <col min="9" max="9" width="11.109375" style="119" customWidth="1"/>
    <col min="10" max="10" width="5.33203125" style="119" customWidth="1"/>
    <col min="11" max="11" width="7.33203125" style="119" customWidth="1"/>
    <col min="12" max="12" width="5.33203125" style="119" customWidth="1"/>
    <col min="13" max="13" width="0" style="119" hidden="1" customWidth="1"/>
    <col min="14" max="16384" width="8.88671875" style="119"/>
  </cols>
  <sheetData>
    <row r="1" spans="1:14" ht="18.600000000000001" customHeight="1" thickBot="1" x14ac:dyDescent="0.4">
      <c r="A1" s="351" t="s">
        <v>133</v>
      </c>
      <c r="B1" s="351"/>
      <c r="C1" s="351"/>
      <c r="D1" s="351"/>
      <c r="E1" s="351"/>
      <c r="F1" s="351"/>
      <c r="G1" s="351"/>
      <c r="H1" s="351"/>
      <c r="I1" s="315"/>
      <c r="J1" s="315"/>
      <c r="K1" s="315"/>
      <c r="L1" s="315"/>
    </row>
    <row r="2" spans="1:14" ht="14.4" customHeight="1" thickBot="1" x14ac:dyDescent="0.35">
      <c r="A2" s="224" t="s">
        <v>267</v>
      </c>
      <c r="B2" s="196"/>
      <c r="C2" s="196"/>
      <c r="D2" s="196"/>
      <c r="E2" s="196"/>
      <c r="F2" s="196"/>
      <c r="G2" s="196"/>
      <c r="H2" s="196"/>
    </row>
    <row r="3" spans="1:14" ht="14.4" customHeight="1" thickBot="1" x14ac:dyDescent="0.35">
      <c r="A3" s="133"/>
      <c r="B3" s="133"/>
      <c r="C3" s="359" t="s">
        <v>15</v>
      </c>
      <c r="D3" s="358"/>
      <c r="E3" s="358" t="s">
        <v>16</v>
      </c>
      <c r="F3" s="358"/>
      <c r="G3" s="358"/>
      <c r="H3" s="358"/>
      <c r="I3" s="358" t="s">
        <v>138</v>
      </c>
      <c r="J3" s="358"/>
      <c r="K3" s="358"/>
      <c r="L3" s="360"/>
    </row>
    <row r="4" spans="1:14" ht="14.4" customHeight="1" thickBot="1" x14ac:dyDescent="0.3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" customHeight="1" x14ac:dyDescent="0.3">
      <c r="A5" s="424">
        <v>28</v>
      </c>
      <c r="B5" s="425" t="s">
        <v>464</v>
      </c>
      <c r="C5" s="428">
        <v>53.8</v>
      </c>
      <c r="D5" s="428">
        <v>1</v>
      </c>
      <c r="E5" s="428">
        <v>53.8</v>
      </c>
      <c r="F5" s="470">
        <v>1</v>
      </c>
      <c r="G5" s="428">
        <v>1</v>
      </c>
      <c r="H5" s="470">
        <v>1</v>
      </c>
      <c r="I5" s="428" t="s">
        <v>442</v>
      </c>
      <c r="J5" s="470">
        <v>0</v>
      </c>
      <c r="K5" s="428" t="s">
        <v>442</v>
      </c>
      <c r="L5" s="470">
        <v>0</v>
      </c>
      <c r="M5" s="428" t="s">
        <v>69</v>
      </c>
      <c r="N5" s="140"/>
    </row>
    <row r="6" spans="1:14" ht="14.4" customHeight="1" x14ac:dyDescent="0.3">
      <c r="A6" s="424">
        <v>28</v>
      </c>
      <c r="B6" s="425" t="s">
        <v>469</v>
      </c>
      <c r="C6" s="428">
        <v>53.8</v>
      </c>
      <c r="D6" s="428">
        <v>1</v>
      </c>
      <c r="E6" s="428">
        <v>53.8</v>
      </c>
      <c r="F6" s="470">
        <v>1</v>
      </c>
      <c r="G6" s="428">
        <v>1</v>
      </c>
      <c r="H6" s="470">
        <v>1</v>
      </c>
      <c r="I6" s="428" t="s">
        <v>442</v>
      </c>
      <c r="J6" s="470">
        <v>0</v>
      </c>
      <c r="K6" s="428" t="s">
        <v>442</v>
      </c>
      <c r="L6" s="470">
        <v>0</v>
      </c>
      <c r="M6" s="428" t="s">
        <v>1</v>
      </c>
      <c r="N6" s="140"/>
    </row>
    <row r="7" spans="1:14" ht="14.4" customHeight="1" x14ac:dyDescent="0.3">
      <c r="A7" s="424" t="s">
        <v>440</v>
      </c>
      <c r="B7" s="425" t="s">
        <v>3</v>
      </c>
      <c r="C7" s="428">
        <v>53.8</v>
      </c>
      <c r="D7" s="428">
        <v>1</v>
      </c>
      <c r="E7" s="428">
        <v>53.8</v>
      </c>
      <c r="F7" s="470">
        <v>1</v>
      </c>
      <c r="G7" s="428">
        <v>1</v>
      </c>
      <c r="H7" s="470">
        <v>1</v>
      </c>
      <c r="I7" s="428" t="s">
        <v>442</v>
      </c>
      <c r="J7" s="470">
        <v>0</v>
      </c>
      <c r="K7" s="428" t="s">
        <v>442</v>
      </c>
      <c r="L7" s="470">
        <v>0</v>
      </c>
      <c r="M7" s="428" t="s">
        <v>445</v>
      </c>
      <c r="N7" s="140"/>
    </row>
    <row r="9" spans="1:14" ht="14.4" customHeight="1" x14ac:dyDescent="0.3">
      <c r="A9" s="424">
        <v>28</v>
      </c>
      <c r="B9" s="425" t="s">
        <v>464</v>
      </c>
      <c r="C9" s="428" t="s">
        <v>442</v>
      </c>
      <c r="D9" s="428" t="s">
        <v>442</v>
      </c>
      <c r="E9" s="428" t="s">
        <v>442</v>
      </c>
      <c r="F9" s="470" t="s">
        <v>442</v>
      </c>
      <c r="G9" s="428" t="s">
        <v>442</v>
      </c>
      <c r="H9" s="470" t="s">
        <v>442</v>
      </c>
      <c r="I9" s="428" t="s">
        <v>442</v>
      </c>
      <c r="J9" s="470" t="s">
        <v>442</v>
      </c>
      <c r="K9" s="428" t="s">
        <v>442</v>
      </c>
      <c r="L9" s="470" t="s">
        <v>442</v>
      </c>
      <c r="M9" s="428" t="s">
        <v>69</v>
      </c>
      <c r="N9" s="140"/>
    </row>
    <row r="10" spans="1:14" ht="14.4" customHeight="1" x14ac:dyDescent="0.3">
      <c r="A10" s="424">
        <v>89301282</v>
      </c>
      <c r="B10" s="425" t="s">
        <v>469</v>
      </c>
      <c r="C10" s="428">
        <v>53.8</v>
      </c>
      <c r="D10" s="428">
        <v>1</v>
      </c>
      <c r="E10" s="428">
        <v>53.8</v>
      </c>
      <c r="F10" s="470">
        <v>1</v>
      </c>
      <c r="G10" s="428">
        <v>1</v>
      </c>
      <c r="H10" s="470">
        <v>1</v>
      </c>
      <c r="I10" s="428" t="s">
        <v>442</v>
      </c>
      <c r="J10" s="470">
        <v>0</v>
      </c>
      <c r="K10" s="428" t="s">
        <v>442</v>
      </c>
      <c r="L10" s="470">
        <v>0</v>
      </c>
      <c r="M10" s="428" t="s">
        <v>1</v>
      </c>
      <c r="N10" s="140"/>
    </row>
    <row r="11" spans="1:14" ht="14.4" customHeight="1" x14ac:dyDescent="0.3">
      <c r="A11" s="424" t="s">
        <v>470</v>
      </c>
      <c r="B11" s="425" t="s">
        <v>471</v>
      </c>
      <c r="C11" s="428">
        <v>53.8</v>
      </c>
      <c r="D11" s="428">
        <v>1</v>
      </c>
      <c r="E11" s="428">
        <v>53.8</v>
      </c>
      <c r="F11" s="470">
        <v>1</v>
      </c>
      <c r="G11" s="428">
        <v>1</v>
      </c>
      <c r="H11" s="470">
        <v>1</v>
      </c>
      <c r="I11" s="428" t="s">
        <v>442</v>
      </c>
      <c r="J11" s="470">
        <v>0</v>
      </c>
      <c r="K11" s="428" t="s">
        <v>442</v>
      </c>
      <c r="L11" s="470">
        <v>0</v>
      </c>
      <c r="M11" s="428" t="s">
        <v>449</v>
      </c>
      <c r="N11" s="140"/>
    </row>
    <row r="12" spans="1:14" ht="14.4" customHeight="1" x14ac:dyDescent="0.3">
      <c r="A12" s="424" t="s">
        <v>442</v>
      </c>
      <c r="B12" s="425" t="s">
        <v>442</v>
      </c>
      <c r="C12" s="428" t="s">
        <v>442</v>
      </c>
      <c r="D12" s="428" t="s">
        <v>442</v>
      </c>
      <c r="E12" s="428" t="s">
        <v>442</v>
      </c>
      <c r="F12" s="470" t="s">
        <v>442</v>
      </c>
      <c r="G12" s="428" t="s">
        <v>442</v>
      </c>
      <c r="H12" s="470" t="s">
        <v>442</v>
      </c>
      <c r="I12" s="428" t="s">
        <v>442</v>
      </c>
      <c r="J12" s="470" t="s">
        <v>442</v>
      </c>
      <c r="K12" s="428" t="s">
        <v>442</v>
      </c>
      <c r="L12" s="470" t="s">
        <v>442</v>
      </c>
      <c r="M12" s="428" t="s">
        <v>450</v>
      </c>
      <c r="N12" s="140"/>
    </row>
    <row r="13" spans="1:14" ht="14.4" customHeight="1" x14ac:dyDescent="0.3">
      <c r="A13" s="424" t="s">
        <v>440</v>
      </c>
      <c r="B13" s="425" t="s">
        <v>472</v>
      </c>
      <c r="C13" s="428">
        <v>53.8</v>
      </c>
      <c r="D13" s="428">
        <v>1</v>
      </c>
      <c r="E13" s="428">
        <v>53.8</v>
      </c>
      <c r="F13" s="470">
        <v>1</v>
      </c>
      <c r="G13" s="428">
        <v>1</v>
      </c>
      <c r="H13" s="470">
        <v>1</v>
      </c>
      <c r="I13" s="428" t="s">
        <v>442</v>
      </c>
      <c r="J13" s="470">
        <v>0</v>
      </c>
      <c r="K13" s="428" t="s">
        <v>442</v>
      </c>
      <c r="L13" s="470">
        <v>0</v>
      </c>
      <c r="M13" s="428" t="s">
        <v>445</v>
      </c>
      <c r="N13" s="140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9" customWidth="1"/>
    <col min="2" max="2" width="11.109375" style="197" bestFit="1" customWidth="1"/>
    <col min="3" max="3" width="11.109375" style="119" hidden="1" customWidth="1"/>
    <col min="4" max="4" width="7.33203125" style="197" bestFit="1" customWidth="1"/>
    <col min="5" max="5" width="7.33203125" style="119" hidden="1" customWidth="1"/>
    <col min="6" max="6" width="11.109375" style="197" bestFit="1" customWidth="1"/>
    <col min="7" max="7" width="5.33203125" style="200" customWidth="1"/>
    <col min="8" max="8" width="7.33203125" style="197" bestFit="1" customWidth="1"/>
    <col min="9" max="9" width="5.33203125" style="200" customWidth="1"/>
    <col min="10" max="10" width="11.109375" style="197" customWidth="1"/>
    <col min="11" max="11" width="5.33203125" style="200" customWidth="1"/>
    <col min="12" max="12" width="7.33203125" style="197" customWidth="1"/>
    <col min="13" max="13" width="5.33203125" style="200" customWidth="1"/>
    <col min="14" max="14" width="0" style="119" hidden="1" customWidth="1"/>
    <col min="15" max="16384" width="8.88671875" style="119"/>
  </cols>
  <sheetData>
    <row r="1" spans="1:13" ht="18.600000000000001" customHeight="1" thickBot="1" x14ac:dyDescent="0.4">
      <c r="A1" s="351" t="s">
        <v>139</v>
      </c>
      <c r="B1" s="351"/>
      <c r="C1" s="351"/>
      <c r="D1" s="351"/>
      <c r="E1" s="351"/>
      <c r="F1" s="351"/>
      <c r="G1" s="351"/>
      <c r="H1" s="351"/>
      <c r="I1" s="351"/>
      <c r="J1" s="315"/>
      <c r="K1" s="315"/>
      <c r="L1" s="315"/>
      <c r="M1" s="315"/>
    </row>
    <row r="2" spans="1:13" ht="14.4" customHeight="1" thickBot="1" x14ac:dyDescent="0.35">
      <c r="A2" s="224" t="s">
        <v>267</v>
      </c>
      <c r="B2" s="204"/>
      <c r="C2" s="196"/>
      <c r="D2" s="204"/>
      <c r="E2" s="196"/>
      <c r="F2" s="204"/>
      <c r="G2" s="205"/>
      <c r="H2" s="204"/>
      <c r="I2" s="205"/>
    </row>
    <row r="3" spans="1:13" ht="14.4" customHeight="1" thickBot="1" x14ac:dyDescent="0.35">
      <c r="A3" s="133"/>
      <c r="B3" s="359" t="s">
        <v>15</v>
      </c>
      <c r="C3" s="361"/>
      <c r="D3" s="358"/>
      <c r="E3" s="132"/>
      <c r="F3" s="358" t="s">
        <v>16</v>
      </c>
      <c r="G3" s="358"/>
      <c r="H3" s="358"/>
      <c r="I3" s="358"/>
      <c r="J3" s="358" t="s">
        <v>138</v>
      </c>
      <c r="K3" s="358"/>
      <c r="L3" s="358"/>
      <c r="M3" s="360"/>
    </row>
    <row r="4" spans="1:13" ht="14.4" customHeight="1" thickBot="1" x14ac:dyDescent="0.35">
      <c r="A4" s="452" t="s">
        <v>130</v>
      </c>
      <c r="B4" s="453" t="s">
        <v>19</v>
      </c>
      <c r="C4" s="473"/>
      <c r="D4" s="453" t="s">
        <v>20</v>
      </c>
      <c r="E4" s="473"/>
      <c r="F4" s="453" t="s">
        <v>19</v>
      </c>
      <c r="G4" s="456" t="s">
        <v>2</v>
      </c>
      <c r="H4" s="453" t="s">
        <v>20</v>
      </c>
      <c r="I4" s="456" t="s">
        <v>2</v>
      </c>
      <c r="J4" s="453" t="s">
        <v>19</v>
      </c>
      <c r="K4" s="456" t="s">
        <v>2</v>
      </c>
      <c r="L4" s="453" t="s">
        <v>20</v>
      </c>
      <c r="M4" s="457" t="s">
        <v>2</v>
      </c>
    </row>
    <row r="5" spans="1:13" ht="14.4" customHeight="1" thickBot="1" x14ac:dyDescent="0.35">
      <c r="A5" s="472" t="s">
        <v>473</v>
      </c>
      <c r="B5" s="474">
        <v>53.8</v>
      </c>
      <c r="C5" s="475">
        <v>1</v>
      </c>
      <c r="D5" s="477">
        <v>1</v>
      </c>
      <c r="E5" s="471" t="s">
        <v>473</v>
      </c>
      <c r="F5" s="474">
        <v>53.8</v>
      </c>
      <c r="G5" s="292">
        <v>1</v>
      </c>
      <c r="H5" s="476">
        <v>1</v>
      </c>
      <c r="I5" s="293">
        <v>1</v>
      </c>
      <c r="J5" s="478"/>
      <c r="K5" s="292">
        <v>0</v>
      </c>
      <c r="L5" s="476"/>
      <c r="M5" s="293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9" hidden="1" customWidth="1" outlineLevel="1"/>
    <col min="2" max="2" width="28.33203125" style="119" hidden="1" customWidth="1" outlineLevel="1"/>
    <col min="3" max="3" width="9" style="119" customWidth="1" collapsed="1"/>
    <col min="4" max="4" width="18.77734375" style="208" customWidth="1"/>
    <col min="5" max="5" width="13.5546875" style="198" customWidth="1"/>
    <col min="6" max="6" width="6" style="119" bestFit="1" customWidth="1"/>
    <col min="7" max="7" width="8.77734375" style="119" customWidth="1"/>
    <col min="8" max="8" width="5" style="119" bestFit="1" customWidth="1"/>
    <col min="9" max="9" width="8.5546875" style="119" hidden="1" customWidth="1" outlineLevel="1"/>
    <col min="10" max="10" width="25.77734375" style="119" customWidth="1" collapsed="1"/>
    <col min="11" max="11" width="8.77734375" style="119" customWidth="1"/>
    <col min="12" max="12" width="7.77734375" style="199" customWidth="1"/>
    <col min="13" max="13" width="11.109375" style="199" customWidth="1"/>
    <col min="14" max="14" width="7.77734375" style="119" customWidth="1"/>
    <col min="15" max="15" width="7.77734375" style="209" customWidth="1"/>
    <col min="16" max="16" width="11.109375" style="199" customWidth="1"/>
    <col min="17" max="17" width="5.44140625" style="200" bestFit="1" customWidth="1"/>
    <col min="18" max="18" width="7.77734375" style="119" customWidth="1"/>
    <col min="19" max="19" width="5.44140625" style="200" bestFit="1" customWidth="1"/>
    <col min="20" max="20" width="7.77734375" style="209" customWidth="1"/>
    <col min="21" max="21" width="5.44140625" style="200" bestFit="1" customWidth="1"/>
    <col min="22" max="16384" width="8.88671875" style="119"/>
  </cols>
  <sheetData>
    <row r="1" spans="1:21" ht="18.600000000000001" customHeight="1" thickBot="1" x14ac:dyDescent="0.4">
      <c r="A1" s="343" t="s">
        <v>483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</row>
    <row r="2" spans="1:21" ht="14.4" customHeight="1" thickBot="1" x14ac:dyDescent="0.35">
      <c r="A2" s="224" t="s">
        <v>267</v>
      </c>
      <c r="B2" s="206"/>
      <c r="C2" s="196"/>
      <c r="D2" s="196"/>
      <c r="E2" s="207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 spans="1:21" ht="14.4" customHeight="1" thickBot="1" x14ac:dyDescent="0.35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7" t="s">
        <v>129</v>
      </c>
      <c r="L3" s="368"/>
      <c r="M3" s="58">
        <f>SUBTOTAL(9,M7:M1048576)</f>
        <v>53.8</v>
      </c>
      <c r="N3" s="58">
        <f>SUBTOTAL(9,N7:N1048576)</f>
        <v>3</v>
      </c>
      <c r="O3" s="58">
        <f>SUBTOTAL(9,O7:O1048576)</f>
        <v>1</v>
      </c>
      <c r="P3" s="58">
        <f>SUBTOTAL(9,P7:P1048576)</f>
        <v>53.8</v>
      </c>
      <c r="Q3" s="59">
        <f>IF(M3=0,0,P3/M3)</f>
        <v>1</v>
      </c>
      <c r="R3" s="58">
        <f>SUBTOTAL(9,R7:R1048576)</f>
        <v>3</v>
      </c>
      <c r="S3" s="59">
        <f>IF(N3=0,0,R3/N3)</f>
        <v>1</v>
      </c>
      <c r="T3" s="58">
        <f>SUBTOTAL(9,T7:T1048576)</f>
        <v>1</v>
      </c>
      <c r="U3" s="60">
        <f>IF(O3=0,0,T3/O3)</f>
        <v>1</v>
      </c>
    </row>
    <row r="4" spans="1:21" ht="14.4" customHeight="1" x14ac:dyDescent="0.3">
      <c r="A4" s="61"/>
      <c r="B4" s="62"/>
      <c r="C4" s="62"/>
      <c r="D4" s="63"/>
      <c r="E4" s="133"/>
      <c r="F4" s="62"/>
      <c r="G4" s="62"/>
      <c r="H4" s="62"/>
      <c r="I4" s="62"/>
      <c r="J4" s="62"/>
      <c r="K4" s="62"/>
      <c r="L4" s="62"/>
      <c r="M4" s="369" t="s">
        <v>15</v>
      </c>
      <c r="N4" s="370"/>
      <c r="O4" s="370"/>
      <c r="P4" s="371" t="s">
        <v>21</v>
      </c>
      <c r="Q4" s="370"/>
      <c r="R4" s="370"/>
      <c r="S4" s="370"/>
      <c r="T4" s="370"/>
      <c r="U4" s="372"/>
    </row>
    <row r="5" spans="1:21" ht="14.4" customHeight="1" thickBot="1" x14ac:dyDescent="0.35">
      <c r="A5" s="64"/>
      <c r="B5" s="65"/>
      <c r="C5" s="62"/>
      <c r="D5" s="63"/>
      <c r="E5" s="133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2" t="s">
        <v>22</v>
      </c>
      <c r="Q5" s="363"/>
      <c r="R5" s="362" t="s">
        <v>13</v>
      </c>
      <c r="S5" s="363"/>
      <c r="T5" s="362" t="s">
        <v>20</v>
      </c>
      <c r="U5" s="364"/>
    </row>
    <row r="6" spans="1:21" s="198" customFormat="1" ht="14.4" customHeight="1" thickBot="1" x14ac:dyDescent="0.35">
      <c r="A6" s="479" t="s">
        <v>23</v>
      </c>
      <c r="B6" s="480" t="s">
        <v>5</v>
      </c>
      <c r="C6" s="479" t="s">
        <v>24</v>
      </c>
      <c r="D6" s="480" t="s">
        <v>6</v>
      </c>
      <c r="E6" s="480" t="s">
        <v>141</v>
      </c>
      <c r="F6" s="480" t="s">
        <v>25</v>
      </c>
      <c r="G6" s="480" t="s">
        <v>26</v>
      </c>
      <c r="H6" s="480" t="s">
        <v>8</v>
      </c>
      <c r="I6" s="480" t="s">
        <v>10</v>
      </c>
      <c r="J6" s="480" t="s">
        <v>11</v>
      </c>
      <c r="K6" s="480" t="s">
        <v>12</v>
      </c>
      <c r="L6" s="480" t="s">
        <v>27</v>
      </c>
      <c r="M6" s="481" t="s">
        <v>14</v>
      </c>
      <c r="N6" s="482" t="s">
        <v>28</v>
      </c>
      <c r="O6" s="482" t="s">
        <v>28</v>
      </c>
      <c r="P6" s="482" t="s">
        <v>14</v>
      </c>
      <c r="Q6" s="482" t="s">
        <v>2</v>
      </c>
      <c r="R6" s="482" t="s">
        <v>28</v>
      </c>
      <c r="S6" s="482" t="s">
        <v>2</v>
      </c>
      <c r="T6" s="482" t="s">
        <v>28</v>
      </c>
      <c r="U6" s="483" t="s">
        <v>2</v>
      </c>
    </row>
    <row r="7" spans="1:21" ht="14.4" customHeight="1" x14ac:dyDescent="0.3">
      <c r="A7" s="484">
        <v>28</v>
      </c>
      <c r="B7" s="485" t="s">
        <v>464</v>
      </c>
      <c r="C7" s="485">
        <v>89301282</v>
      </c>
      <c r="D7" s="486" t="s">
        <v>482</v>
      </c>
      <c r="E7" s="487" t="s">
        <v>473</v>
      </c>
      <c r="F7" s="485" t="s">
        <v>469</v>
      </c>
      <c r="G7" s="485" t="s">
        <v>474</v>
      </c>
      <c r="H7" s="485" t="s">
        <v>442</v>
      </c>
      <c r="I7" s="485" t="s">
        <v>475</v>
      </c>
      <c r="J7" s="485" t="s">
        <v>476</v>
      </c>
      <c r="K7" s="485" t="s">
        <v>477</v>
      </c>
      <c r="L7" s="488">
        <v>26.9</v>
      </c>
      <c r="M7" s="488">
        <v>53.8</v>
      </c>
      <c r="N7" s="485">
        <v>2</v>
      </c>
      <c r="O7" s="489">
        <v>0.5</v>
      </c>
      <c r="P7" s="488">
        <v>53.8</v>
      </c>
      <c r="Q7" s="490">
        <v>1</v>
      </c>
      <c r="R7" s="485">
        <v>2</v>
      </c>
      <c r="S7" s="490">
        <v>1</v>
      </c>
      <c r="T7" s="489">
        <v>0.5</v>
      </c>
      <c r="U7" s="111">
        <v>1</v>
      </c>
    </row>
    <row r="8" spans="1:21" ht="14.4" customHeight="1" thickBot="1" x14ac:dyDescent="0.35">
      <c r="A8" s="491">
        <v>28</v>
      </c>
      <c r="B8" s="492" t="s">
        <v>464</v>
      </c>
      <c r="C8" s="492">
        <v>89301282</v>
      </c>
      <c r="D8" s="493" t="s">
        <v>482</v>
      </c>
      <c r="E8" s="494" t="s">
        <v>473</v>
      </c>
      <c r="F8" s="492" t="s">
        <v>469</v>
      </c>
      <c r="G8" s="492" t="s">
        <v>478</v>
      </c>
      <c r="H8" s="492" t="s">
        <v>442</v>
      </c>
      <c r="I8" s="492" t="s">
        <v>479</v>
      </c>
      <c r="J8" s="492" t="s">
        <v>480</v>
      </c>
      <c r="K8" s="492" t="s">
        <v>481</v>
      </c>
      <c r="L8" s="495">
        <v>0</v>
      </c>
      <c r="M8" s="495">
        <v>0</v>
      </c>
      <c r="N8" s="492">
        <v>1</v>
      </c>
      <c r="O8" s="496">
        <v>0.5</v>
      </c>
      <c r="P8" s="495">
        <v>0</v>
      </c>
      <c r="Q8" s="497"/>
      <c r="R8" s="492">
        <v>1</v>
      </c>
      <c r="S8" s="497">
        <v>1</v>
      </c>
      <c r="T8" s="496">
        <v>0.5</v>
      </c>
      <c r="U8" s="49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8" customWidth="1"/>
    <col min="2" max="2" width="61.109375" style="198" customWidth="1"/>
    <col min="3" max="3" width="9.5546875" style="119" customWidth="1"/>
    <col min="4" max="4" width="9.5546875" style="199" customWidth="1"/>
    <col min="5" max="5" width="2.21875" style="199" customWidth="1"/>
    <col min="6" max="6" width="9.5546875" style="200" customWidth="1"/>
    <col min="7" max="7" width="9.5546875" style="197" customWidth="1"/>
    <col min="8" max="9" width="9.5546875" style="119" customWidth="1"/>
    <col min="10" max="10" width="0" style="119" hidden="1" customWidth="1"/>
    <col min="11" max="16384" width="8.88671875" style="119"/>
  </cols>
  <sheetData>
    <row r="1" spans="1:10" ht="18.600000000000001" customHeight="1" thickBot="1" x14ac:dyDescent="0.4">
      <c r="A1" s="343" t="s">
        <v>134</v>
      </c>
      <c r="B1" s="344"/>
      <c r="C1" s="344"/>
      <c r="D1" s="344"/>
      <c r="E1" s="344"/>
      <c r="F1" s="344"/>
      <c r="G1" s="315"/>
      <c r="H1" s="345"/>
      <c r="I1" s="345"/>
    </row>
    <row r="2" spans="1:10" ht="14.4" customHeight="1" thickBot="1" x14ac:dyDescent="0.35">
      <c r="A2" s="224" t="s">
        <v>267</v>
      </c>
      <c r="B2" s="196"/>
      <c r="C2" s="196"/>
      <c r="D2" s="196"/>
      <c r="E2" s="196"/>
      <c r="F2" s="196"/>
    </row>
    <row r="3" spans="1:10" ht="14.4" customHeight="1" thickBot="1" x14ac:dyDescent="0.35">
      <c r="A3" s="224"/>
      <c r="B3" s="196"/>
      <c r="C3" s="282">
        <v>2013</v>
      </c>
      <c r="D3" s="283">
        <v>2014</v>
      </c>
      <c r="E3" s="7"/>
      <c r="F3" s="338">
        <v>2015</v>
      </c>
      <c r="G3" s="339"/>
      <c r="H3" s="339"/>
      <c r="I3" s="340"/>
    </row>
    <row r="4" spans="1:10" ht="14.4" customHeight="1" thickBot="1" x14ac:dyDescent="0.35">
      <c r="A4" s="287" t="s">
        <v>0</v>
      </c>
      <c r="B4" s="288" t="s">
        <v>231</v>
      </c>
      <c r="C4" s="341" t="s">
        <v>73</v>
      </c>
      <c r="D4" s="342"/>
      <c r="E4" s="289"/>
      <c r="F4" s="284" t="s">
        <v>73</v>
      </c>
      <c r="G4" s="285" t="s">
        <v>74</v>
      </c>
      <c r="H4" s="285" t="s">
        <v>68</v>
      </c>
      <c r="I4" s="286" t="s">
        <v>75</v>
      </c>
    </row>
    <row r="5" spans="1:10" ht="14.4" customHeight="1" x14ac:dyDescent="0.3">
      <c r="A5" s="424" t="s">
        <v>440</v>
      </c>
      <c r="B5" s="425" t="s">
        <v>441</v>
      </c>
      <c r="C5" s="426" t="s">
        <v>442</v>
      </c>
      <c r="D5" s="426" t="s">
        <v>442</v>
      </c>
      <c r="E5" s="426"/>
      <c r="F5" s="426" t="s">
        <v>442</v>
      </c>
      <c r="G5" s="426" t="s">
        <v>442</v>
      </c>
      <c r="H5" s="426" t="s">
        <v>442</v>
      </c>
      <c r="I5" s="427" t="s">
        <v>442</v>
      </c>
      <c r="J5" s="428" t="s">
        <v>69</v>
      </c>
    </row>
    <row r="6" spans="1:10" ht="14.4" customHeight="1" x14ac:dyDescent="0.3">
      <c r="A6" s="424" t="s">
        <v>440</v>
      </c>
      <c r="B6" s="425" t="s">
        <v>279</v>
      </c>
      <c r="C6" s="426">
        <v>290.68415999999996</v>
      </c>
      <c r="D6" s="426">
        <v>272.00166000000104</v>
      </c>
      <c r="E6" s="426"/>
      <c r="F6" s="426">
        <v>121.70499</v>
      </c>
      <c r="G6" s="426">
        <v>702.99997785720336</v>
      </c>
      <c r="H6" s="426">
        <v>-581.29498785720341</v>
      </c>
      <c r="I6" s="427">
        <v>0.17312232408735762</v>
      </c>
      <c r="J6" s="428" t="s">
        <v>1</v>
      </c>
    </row>
    <row r="7" spans="1:10" ht="14.4" customHeight="1" x14ac:dyDescent="0.3">
      <c r="A7" s="424" t="s">
        <v>440</v>
      </c>
      <c r="B7" s="425" t="s">
        <v>280</v>
      </c>
      <c r="C7" s="426">
        <v>17.048500000000001</v>
      </c>
      <c r="D7" s="426">
        <v>18.3294</v>
      </c>
      <c r="E7" s="426"/>
      <c r="F7" s="426">
        <v>91.123450000000005</v>
      </c>
      <c r="G7" s="426">
        <v>29.166665747987334</v>
      </c>
      <c r="H7" s="426">
        <v>61.956784252012667</v>
      </c>
      <c r="I7" s="427">
        <v>3.1242326698343312</v>
      </c>
      <c r="J7" s="428" t="s">
        <v>1</v>
      </c>
    </row>
    <row r="8" spans="1:10" ht="14.4" customHeight="1" x14ac:dyDescent="0.3">
      <c r="A8" s="424" t="s">
        <v>440</v>
      </c>
      <c r="B8" s="425" t="s">
        <v>281</v>
      </c>
      <c r="C8" s="426">
        <v>3.9797600000000002</v>
      </c>
      <c r="D8" s="426">
        <v>2.4544800000000002</v>
      </c>
      <c r="E8" s="426"/>
      <c r="F8" s="426">
        <v>0.77888999999999997</v>
      </c>
      <c r="G8" s="426">
        <v>3.9999998740095002</v>
      </c>
      <c r="H8" s="426">
        <v>-3.2211098740095001</v>
      </c>
      <c r="I8" s="427">
        <v>0.19472250613329647</v>
      </c>
      <c r="J8" s="428" t="s">
        <v>1</v>
      </c>
    </row>
    <row r="9" spans="1:10" ht="14.4" customHeight="1" x14ac:dyDescent="0.3">
      <c r="A9" s="424" t="s">
        <v>440</v>
      </c>
      <c r="B9" s="425" t="s">
        <v>282</v>
      </c>
      <c r="C9" s="426">
        <v>37.434349999999995</v>
      </c>
      <c r="D9" s="426">
        <v>14.59342</v>
      </c>
      <c r="E9" s="426"/>
      <c r="F9" s="426">
        <v>17.627359999999999</v>
      </c>
      <c r="G9" s="426">
        <v>43.999998614106495</v>
      </c>
      <c r="H9" s="426">
        <v>-26.372638614106496</v>
      </c>
      <c r="I9" s="427">
        <v>0.40062183080043617</v>
      </c>
      <c r="J9" s="428" t="s">
        <v>1</v>
      </c>
    </row>
    <row r="10" spans="1:10" ht="14.4" customHeight="1" x14ac:dyDescent="0.3">
      <c r="A10" s="424" t="s">
        <v>440</v>
      </c>
      <c r="B10" s="425" t="s">
        <v>283</v>
      </c>
      <c r="C10" s="426" t="s">
        <v>442</v>
      </c>
      <c r="D10" s="426">
        <v>0</v>
      </c>
      <c r="E10" s="426"/>
      <c r="F10" s="426">
        <v>0</v>
      </c>
      <c r="G10" s="426">
        <v>1.3616666237666665E-2</v>
      </c>
      <c r="H10" s="426">
        <v>-1.3616666237666665E-2</v>
      </c>
      <c r="I10" s="427">
        <v>0</v>
      </c>
      <c r="J10" s="428" t="s">
        <v>1</v>
      </c>
    </row>
    <row r="11" spans="1:10" ht="14.4" customHeight="1" x14ac:dyDescent="0.3">
      <c r="A11" s="424" t="s">
        <v>440</v>
      </c>
      <c r="B11" s="425" t="s">
        <v>285</v>
      </c>
      <c r="C11" s="426">
        <v>1.2717499999999999</v>
      </c>
      <c r="D11" s="426">
        <v>1.3414999999999999</v>
      </c>
      <c r="E11" s="426"/>
      <c r="F11" s="426">
        <v>0.77200000000000002</v>
      </c>
      <c r="G11" s="426">
        <v>2.3333332598388332</v>
      </c>
      <c r="H11" s="426">
        <v>-1.5613332598388332</v>
      </c>
      <c r="I11" s="427">
        <v>0.33085715327836335</v>
      </c>
      <c r="J11" s="428" t="s">
        <v>1</v>
      </c>
    </row>
    <row r="12" spans="1:10" ht="14.4" customHeight="1" x14ac:dyDescent="0.3">
      <c r="A12" s="424" t="s">
        <v>440</v>
      </c>
      <c r="B12" s="425" t="s">
        <v>286</v>
      </c>
      <c r="C12" s="426">
        <v>2.2035</v>
      </c>
      <c r="D12" s="426">
        <v>0.96823999999999999</v>
      </c>
      <c r="E12" s="426"/>
      <c r="F12" s="426">
        <v>2.3254000000000001</v>
      </c>
      <c r="G12" s="426">
        <v>2.6666665826729998</v>
      </c>
      <c r="H12" s="426">
        <v>-0.3412665826729997</v>
      </c>
      <c r="I12" s="427">
        <v>0.8720250274667174</v>
      </c>
      <c r="J12" s="428" t="s">
        <v>1</v>
      </c>
    </row>
    <row r="13" spans="1:10" ht="14.4" customHeight="1" x14ac:dyDescent="0.3">
      <c r="A13" s="424" t="s">
        <v>440</v>
      </c>
      <c r="B13" s="425" t="s">
        <v>444</v>
      </c>
      <c r="C13" s="426">
        <v>352.62201999999996</v>
      </c>
      <c r="D13" s="426">
        <v>309.68870000000101</v>
      </c>
      <c r="E13" s="426"/>
      <c r="F13" s="426">
        <v>234.33208999999999</v>
      </c>
      <c r="G13" s="426">
        <v>785.18025860205614</v>
      </c>
      <c r="H13" s="426">
        <v>-550.84816860205615</v>
      </c>
      <c r="I13" s="427">
        <v>0.29844368529744686</v>
      </c>
      <c r="J13" s="428" t="s">
        <v>445</v>
      </c>
    </row>
    <row r="15" spans="1:10" ht="14.4" customHeight="1" x14ac:dyDescent="0.3">
      <c r="A15" s="424" t="s">
        <v>440</v>
      </c>
      <c r="B15" s="425" t="s">
        <v>441</v>
      </c>
      <c r="C15" s="426" t="s">
        <v>442</v>
      </c>
      <c r="D15" s="426" t="s">
        <v>442</v>
      </c>
      <c r="E15" s="426"/>
      <c r="F15" s="426" t="s">
        <v>442</v>
      </c>
      <c r="G15" s="426" t="s">
        <v>442</v>
      </c>
      <c r="H15" s="426" t="s">
        <v>442</v>
      </c>
      <c r="I15" s="427" t="s">
        <v>442</v>
      </c>
      <c r="J15" s="428" t="s">
        <v>69</v>
      </c>
    </row>
    <row r="16" spans="1:10" ht="14.4" customHeight="1" x14ac:dyDescent="0.3">
      <c r="A16" s="424" t="s">
        <v>446</v>
      </c>
      <c r="B16" s="425" t="s">
        <v>447</v>
      </c>
      <c r="C16" s="426" t="s">
        <v>442</v>
      </c>
      <c r="D16" s="426" t="s">
        <v>442</v>
      </c>
      <c r="E16" s="426"/>
      <c r="F16" s="426" t="s">
        <v>442</v>
      </c>
      <c r="G16" s="426" t="s">
        <v>442</v>
      </c>
      <c r="H16" s="426" t="s">
        <v>442</v>
      </c>
      <c r="I16" s="427" t="s">
        <v>442</v>
      </c>
      <c r="J16" s="428" t="s">
        <v>0</v>
      </c>
    </row>
    <row r="17" spans="1:10" ht="14.4" customHeight="1" x14ac:dyDescent="0.3">
      <c r="A17" s="424" t="s">
        <v>446</v>
      </c>
      <c r="B17" s="425" t="s">
        <v>279</v>
      </c>
      <c r="C17" s="426">
        <v>5.8669200000000004</v>
      </c>
      <c r="D17" s="426">
        <v>0</v>
      </c>
      <c r="E17" s="426"/>
      <c r="F17" s="426" t="s">
        <v>442</v>
      </c>
      <c r="G17" s="426" t="s">
        <v>442</v>
      </c>
      <c r="H17" s="426" t="s">
        <v>442</v>
      </c>
      <c r="I17" s="427" t="s">
        <v>442</v>
      </c>
      <c r="J17" s="428" t="s">
        <v>1</v>
      </c>
    </row>
    <row r="18" spans="1:10" ht="14.4" customHeight="1" x14ac:dyDescent="0.3">
      <c r="A18" s="424" t="s">
        <v>446</v>
      </c>
      <c r="B18" s="425" t="s">
        <v>280</v>
      </c>
      <c r="C18" s="426" t="s">
        <v>442</v>
      </c>
      <c r="D18" s="426" t="s">
        <v>442</v>
      </c>
      <c r="E18" s="426"/>
      <c r="F18" s="426">
        <v>7.8891999999999998</v>
      </c>
      <c r="G18" s="426">
        <v>0</v>
      </c>
      <c r="H18" s="426">
        <v>7.8891999999999998</v>
      </c>
      <c r="I18" s="427" t="s">
        <v>442</v>
      </c>
      <c r="J18" s="428" t="s">
        <v>1</v>
      </c>
    </row>
    <row r="19" spans="1:10" ht="14.4" customHeight="1" x14ac:dyDescent="0.3">
      <c r="A19" s="424" t="s">
        <v>446</v>
      </c>
      <c r="B19" s="425" t="s">
        <v>281</v>
      </c>
      <c r="C19" s="426">
        <v>3.6003600000000002</v>
      </c>
      <c r="D19" s="426">
        <v>1.6492800000000001</v>
      </c>
      <c r="E19" s="426"/>
      <c r="F19" s="426">
        <v>2.794E-2</v>
      </c>
      <c r="G19" s="426">
        <v>2.9011806514221665</v>
      </c>
      <c r="H19" s="426">
        <v>-2.8732406514221664</v>
      </c>
      <c r="I19" s="427">
        <v>9.6305619528738191E-3</v>
      </c>
      <c r="J19" s="428" t="s">
        <v>1</v>
      </c>
    </row>
    <row r="20" spans="1:10" ht="14.4" customHeight="1" x14ac:dyDescent="0.3">
      <c r="A20" s="424" t="s">
        <v>446</v>
      </c>
      <c r="B20" s="425" t="s">
        <v>282</v>
      </c>
      <c r="C20" s="426">
        <v>4.1619999999999999</v>
      </c>
      <c r="D20" s="426">
        <v>3.45017</v>
      </c>
      <c r="E20" s="426"/>
      <c r="F20" s="426">
        <v>0.91179999999999994</v>
      </c>
      <c r="G20" s="426">
        <v>3.7632035055393334</v>
      </c>
      <c r="H20" s="426">
        <v>-2.8514035055393334</v>
      </c>
      <c r="I20" s="427">
        <v>0.24229356681291753</v>
      </c>
      <c r="J20" s="428" t="s">
        <v>1</v>
      </c>
    </row>
    <row r="21" spans="1:10" ht="14.4" customHeight="1" x14ac:dyDescent="0.3">
      <c r="A21" s="424" t="s">
        <v>446</v>
      </c>
      <c r="B21" s="425" t="s">
        <v>283</v>
      </c>
      <c r="C21" s="426" t="s">
        <v>442</v>
      </c>
      <c r="D21" s="426">
        <v>0</v>
      </c>
      <c r="E21" s="426"/>
      <c r="F21" s="426">
        <v>0</v>
      </c>
      <c r="G21" s="426">
        <v>1.3616666237666665E-2</v>
      </c>
      <c r="H21" s="426">
        <v>-1.3616666237666665E-2</v>
      </c>
      <c r="I21" s="427">
        <v>0</v>
      </c>
      <c r="J21" s="428" t="s">
        <v>1</v>
      </c>
    </row>
    <row r="22" spans="1:10" ht="14.4" customHeight="1" x14ac:dyDescent="0.3">
      <c r="A22" s="424" t="s">
        <v>446</v>
      </c>
      <c r="B22" s="425" t="s">
        <v>285</v>
      </c>
      <c r="C22" s="426">
        <v>1.1537500000000001</v>
      </c>
      <c r="D22" s="426">
        <v>1.2195</v>
      </c>
      <c r="E22" s="426"/>
      <c r="F22" s="426">
        <v>0.71</v>
      </c>
      <c r="G22" s="426">
        <v>2.1504470088663332</v>
      </c>
      <c r="H22" s="426">
        <v>-1.4404470088663333</v>
      </c>
      <c r="I22" s="427">
        <v>0.33016391339691548</v>
      </c>
      <c r="J22" s="428" t="s">
        <v>1</v>
      </c>
    </row>
    <row r="23" spans="1:10" ht="14.4" customHeight="1" x14ac:dyDescent="0.3">
      <c r="A23" s="424" t="s">
        <v>446</v>
      </c>
      <c r="B23" s="425" t="s">
        <v>286</v>
      </c>
      <c r="C23" s="426">
        <v>0.71099999999999997</v>
      </c>
      <c r="D23" s="426">
        <v>0.14599999999999999</v>
      </c>
      <c r="E23" s="426"/>
      <c r="F23" s="426">
        <v>0.43599999999999994</v>
      </c>
      <c r="G23" s="426">
        <v>0.95969590064416666</v>
      </c>
      <c r="H23" s="426">
        <v>-0.52369590064416671</v>
      </c>
      <c r="I23" s="427">
        <v>0.4543105787024288</v>
      </c>
      <c r="J23" s="428" t="s">
        <v>1</v>
      </c>
    </row>
    <row r="24" spans="1:10" ht="14.4" customHeight="1" x14ac:dyDescent="0.3">
      <c r="A24" s="424" t="s">
        <v>446</v>
      </c>
      <c r="B24" s="425" t="s">
        <v>448</v>
      </c>
      <c r="C24" s="426">
        <v>15.494030000000002</v>
      </c>
      <c r="D24" s="426">
        <v>6.46495</v>
      </c>
      <c r="E24" s="426"/>
      <c r="F24" s="426">
        <v>9.9749400000000001</v>
      </c>
      <c r="G24" s="426">
        <v>9.788143732709667</v>
      </c>
      <c r="H24" s="426">
        <v>0.18679626729033316</v>
      </c>
      <c r="I24" s="427">
        <v>1.0190839317843388</v>
      </c>
      <c r="J24" s="428" t="s">
        <v>449</v>
      </c>
    </row>
    <row r="25" spans="1:10" ht="14.4" customHeight="1" x14ac:dyDescent="0.3">
      <c r="A25" s="424" t="s">
        <v>442</v>
      </c>
      <c r="B25" s="425" t="s">
        <v>442</v>
      </c>
      <c r="C25" s="426" t="s">
        <v>442</v>
      </c>
      <c r="D25" s="426" t="s">
        <v>442</v>
      </c>
      <c r="E25" s="426"/>
      <c r="F25" s="426" t="s">
        <v>442</v>
      </c>
      <c r="G25" s="426" t="s">
        <v>442</v>
      </c>
      <c r="H25" s="426" t="s">
        <v>442</v>
      </c>
      <c r="I25" s="427" t="s">
        <v>442</v>
      </c>
      <c r="J25" s="428" t="s">
        <v>450</v>
      </c>
    </row>
    <row r="26" spans="1:10" ht="14.4" customHeight="1" x14ac:dyDescent="0.3">
      <c r="A26" s="424" t="s">
        <v>451</v>
      </c>
      <c r="B26" s="425" t="s">
        <v>452</v>
      </c>
      <c r="C26" s="426" t="s">
        <v>442</v>
      </c>
      <c r="D26" s="426" t="s">
        <v>442</v>
      </c>
      <c r="E26" s="426"/>
      <c r="F26" s="426" t="s">
        <v>442</v>
      </c>
      <c r="G26" s="426" t="s">
        <v>442</v>
      </c>
      <c r="H26" s="426" t="s">
        <v>442</v>
      </c>
      <c r="I26" s="427" t="s">
        <v>442</v>
      </c>
      <c r="J26" s="428" t="s">
        <v>0</v>
      </c>
    </row>
    <row r="27" spans="1:10" ht="14.4" customHeight="1" x14ac:dyDescent="0.3">
      <c r="A27" s="424" t="s">
        <v>451</v>
      </c>
      <c r="B27" s="425" t="s">
        <v>279</v>
      </c>
      <c r="C27" s="426">
        <v>284.81723999999997</v>
      </c>
      <c r="D27" s="426">
        <v>272.00166000000104</v>
      </c>
      <c r="E27" s="426"/>
      <c r="F27" s="426">
        <v>121.70499</v>
      </c>
      <c r="G27" s="426">
        <v>702.99997785720336</v>
      </c>
      <c r="H27" s="426">
        <v>-581.29498785720341</v>
      </c>
      <c r="I27" s="427">
        <v>0.17312232408735762</v>
      </c>
      <c r="J27" s="428" t="s">
        <v>1</v>
      </c>
    </row>
    <row r="28" spans="1:10" ht="14.4" customHeight="1" x14ac:dyDescent="0.3">
      <c r="A28" s="424" t="s">
        <v>451</v>
      </c>
      <c r="B28" s="425" t="s">
        <v>280</v>
      </c>
      <c r="C28" s="426">
        <v>17.048500000000001</v>
      </c>
      <c r="D28" s="426">
        <v>18.3294</v>
      </c>
      <c r="E28" s="426"/>
      <c r="F28" s="426">
        <v>83.234250000000003</v>
      </c>
      <c r="G28" s="426">
        <v>29.166665747987334</v>
      </c>
      <c r="H28" s="426">
        <v>54.067584252012665</v>
      </c>
      <c r="I28" s="427">
        <v>2.8537458041717927</v>
      </c>
      <c r="J28" s="428" t="s">
        <v>1</v>
      </c>
    </row>
    <row r="29" spans="1:10" ht="14.4" customHeight="1" x14ac:dyDescent="0.3">
      <c r="A29" s="424" t="s">
        <v>451</v>
      </c>
      <c r="B29" s="425" t="s">
        <v>281</v>
      </c>
      <c r="C29" s="426">
        <v>0.37939999999999996</v>
      </c>
      <c r="D29" s="426">
        <v>0.80520000000000003</v>
      </c>
      <c r="E29" s="426"/>
      <c r="F29" s="426">
        <v>0.75095000000000001</v>
      </c>
      <c r="G29" s="426">
        <v>1.0988192225873334</v>
      </c>
      <c r="H29" s="426">
        <v>-0.34786922258733344</v>
      </c>
      <c r="I29" s="427">
        <v>0.68341541953714313</v>
      </c>
      <c r="J29" s="428" t="s">
        <v>1</v>
      </c>
    </row>
    <row r="30" spans="1:10" ht="14.4" customHeight="1" x14ac:dyDescent="0.3">
      <c r="A30" s="424" t="s">
        <v>451</v>
      </c>
      <c r="B30" s="425" t="s">
        <v>282</v>
      </c>
      <c r="C30" s="426">
        <v>33.272349999999996</v>
      </c>
      <c r="D30" s="426">
        <v>11.14325</v>
      </c>
      <c r="E30" s="426"/>
      <c r="F30" s="426">
        <v>16.71556</v>
      </c>
      <c r="G30" s="426">
        <v>40.236795108567165</v>
      </c>
      <c r="H30" s="426">
        <v>-23.521235108567165</v>
      </c>
      <c r="I30" s="427">
        <v>0.41542970693610098</v>
      </c>
      <c r="J30" s="428" t="s">
        <v>1</v>
      </c>
    </row>
    <row r="31" spans="1:10" ht="14.4" customHeight="1" x14ac:dyDescent="0.3">
      <c r="A31" s="424" t="s">
        <v>451</v>
      </c>
      <c r="B31" s="425" t="s">
        <v>285</v>
      </c>
      <c r="C31" s="426">
        <v>0.11799999999999999</v>
      </c>
      <c r="D31" s="426">
        <v>0.122</v>
      </c>
      <c r="E31" s="426"/>
      <c r="F31" s="426">
        <v>6.2E-2</v>
      </c>
      <c r="G31" s="426">
        <v>0.1828862509725</v>
      </c>
      <c r="H31" s="426">
        <v>-0.1208862509725</v>
      </c>
      <c r="I31" s="427">
        <v>0.33900853492438171</v>
      </c>
      <c r="J31" s="428" t="s">
        <v>1</v>
      </c>
    </row>
    <row r="32" spans="1:10" ht="14.4" customHeight="1" x14ac:dyDescent="0.3">
      <c r="A32" s="424" t="s">
        <v>451</v>
      </c>
      <c r="B32" s="425" t="s">
        <v>286</v>
      </c>
      <c r="C32" s="426">
        <v>1.4925000000000002</v>
      </c>
      <c r="D32" s="426">
        <v>0.82223999999999997</v>
      </c>
      <c r="E32" s="426"/>
      <c r="F32" s="426">
        <v>1.8894000000000002</v>
      </c>
      <c r="G32" s="426">
        <v>1.7069706820288333</v>
      </c>
      <c r="H32" s="426">
        <v>0.1824293179711669</v>
      </c>
      <c r="I32" s="427">
        <v>1.106873140758539</v>
      </c>
      <c r="J32" s="428" t="s">
        <v>1</v>
      </c>
    </row>
    <row r="33" spans="1:10" ht="14.4" customHeight="1" x14ac:dyDescent="0.3">
      <c r="A33" s="424" t="s">
        <v>451</v>
      </c>
      <c r="B33" s="425" t="s">
        <v>453</v>
      </c>
      <c r="C33" s="426">
        <v>337.12798999999995</v>
      </c>
      <c r="D33" s="426">
        <v>303.22375000000113</v>
      </c>
      <c r="E33" s="426"/>
      <c r="F33" s="426">
        <v>224.35714999999999</v>
      </c>
      <c r="G33" s="426">
        <v>775.39211486934641</v>
      </c>
      <c r="H33" s="426">
        <v>-551.03496486934637</v>
      </c>
      <c r="I33" s="427">
        <v>0.28934670045981081</v>
      </c>
      <c r="J33" s="428" t="s">
        <v>449</v>
      </c>
    </row>
    <row r="34" spans="1:10" ht="14.4" customHeight="1" x14ac:dyDescent="0.3">
      <c r="A34" s="424" t="s">
        <v>442</v>
      </c>
      <c r="B34" s="425" t="s">
        <v>442</v>
      </c>
      <c r="C34" s="426" t="s">
        <v>442</v>
      </c>
      <c r="D34" s="426" t="s">
        <v>442</v>
      </c>
      <c r="E34" s="426"/>
      <c r="F34" s="426" t="s">
        <v>442</v>
      </c>
      <c r="G34" s="426" t="s">
        <v>442</v>
      </c>
      <c r="H34" s="426" t="s">
        <v>442</v>
      </c>
      <c r="I34" s="427" t="s">
        <v>442</v>
      </c>
      <c r="J34" s="428" t="s">
        <v>450</v>
      </c>
    </row>
    <row r="35" spans="1:10" ht="14.4" customHeight="1" x14ac:dyDescent="0.3">
      <c r="A35" s="424" t="s">
        <v>440</v>
      </c>
      <c r="B35" s="425" t="s">
        <v>444</v>
      </c>
      <c r="C35" s="426">
        <v>352.62201999999996</v>
      </c>
      <c r="D35" s="426">
        <v>309.68870000000112</v>
      </c>
      <c r="E35" s="426"/>
      <c r="F35" s="426">
        <v>234.33208999999999</v>
      </c>
      <c r="G35" s="426">
        <v>785.18025860205603</v>
      </c>
      <c r="H35" s="426">
        <v>-550.84816860205603</v>
      </c>
      <c r="I35" s="427">
        <v>0.29844368529744691</v>
      </c>
      <c r="J35" s="428" t="s">
        <v>445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9" hidden="1" customWidth="1" outlineLevel="1"/>
    <col min="2" max="2" width="28.33203125" style="119" hidden="1" customWidth="1" outlineLevel="1"/>
    <col min="3" max="3" width="5.33203125" style="199" bestFit="1" customWidth="1" collapsed="1"/>
    <col min="4" max="4" width="18.77734375" style="203" customWidth="1"/>
    <col min="5" max="5" width="9" style="199" bestFit="1" customWidth="1"/>
    <col min="6" max="6" width="18.77734375" style="203" customWidth="1"/>
    <col min="7" max="7" width="12.44140625" style="199" hidden="1" customWidth="1" outlineLevel="1"/>
    <col min="8" max="8" width="25.77734375" style="199" customWidth="1" collapsed="1"/>
    <col min="9" max="9" width="7.77734375" style="197" customWidth="1"/>
    <col min="10" max="10" width="10" style="197" customWidth="1"/>
    <col min="11" max="11" width="11.109375" style="197" customWidth="1"/>
    <col min="12" max="16384" width="8.88671875" style="119"/>
  </cols>
  <sheetData>
    <row r="1" spans="1:11" ht="18.600000000000001" customHeight="1" thickBot="1" x14ac:dyDescent="0.4">
      <c r="A1" s="350" t="s">
        <v>605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4.4" customHeight="1" thickBot="1" x14ac:dyDescent="0.35">
      <c r="A2" s="224" t="s">
        <v>267</v>
      </c>
      <c r="B2" s="57"/>
      <c r="C2" s="201"/>
      <c r="D2" s="201"/>
      <c r="E2" s="201"/>
      <c r="F2" s="201"/>
      <c r="G2" s="201"/>
      <c r="H2" s="201"/>
      <c r="I2" s="202"/>
      <c r="J2" s="202"/>
      <c r="K2" s="202"/>
    </row>
    <row r="3" spans="1:11" ht="14.4" customHeight="1" thickBot="1" x14ac:dyDescent="0.35">
      <c r="A3" s="57"/>
      <c r="B3" s="57"/>
      <c r="C3" s="346"/>
      <c r="D3" s="347"/>
      <c r="E3" s="347"/>
      <c r="F3" s="347"/>
      <c r="G3" s="347"/>
      <c r="H3" s="131" t="s">
        <v>129</v>
      </c>
      <c r="I3" s="88">
        <f>IF(J3&lt;&gt;0,K3/J3,0)</f>
        <v>13.211631951323293</v>
      </c>
      <c r="J3" s="88">
        <f>SUBTOTAL(9,J5:J1048576)</f>
        <v>18011</v>
      </c>
      <c r="K3" s="89">
        <f>SUBTOTAL(9,K5:K1048576)</f>
        <v>237954.70307528382</v>
      </c>
    </row>
    <row r="4" spans="1:11" s="198" customFormat="1" ht="14.4" customHeight="1" thickBot="1" x14ac:dyDescent="0.35">
      <c r="A4" s="499" t="s">
        <v>4</v>
      </c>
      <c r="B4" s="500" t="s">
        <v>5</v>
      </c>
      <c r="C4" s="500" t="s">
        <v>0</v>
      </c>
      <c r="D4" s="500" t="s">
        <v>6</v>
      </c>
      <c r="E4" s="500" t="s">
        <v>7</v>
      </c>
      <c r="F4" s="500" t="s">
        <v>1</v>
      </c>
      <c r="G4" s="500" t="s">
        <v>71</v>
      </c>
      <c r="H4" s="431" t="s">
        <v>11</v>
      </c>
      <c r="I4" s="432" t="s">
        <v>137</v>
      </c>
      <c r="J4" s="432" t="s">
        <v>13</v>
      </c>
      <c r="K4" s="433" t="s">
        <v>149</v>
      </c>
    </row>
    <row r="5" spans="1:11" ht="14.4" customHeight="1" x14ac:dyDescent="0.3">
      <c r="A5" s="484" t="s">
        <v>440</v>
      </c>
      <c r="B5" s="485" t="s">
        <v>464</v>
      </c>
      <c r="C5" s="488" t="s">
        <v>446</v>
      </c>
      <c r="D5" s="501" t="s">
        <v>592</v>
      </c>
      <c r="E5" s="488" t="s">
        <v>593</v>
      </c>
      <c r="F5" s="501" t="s">
        <v>594</v>
      </c>
      <c r="G5" s="488" t="s">
        <v>484</v>
      </c>
      <c r="H5" s="488" t="s">
        <v>485</v>
      </c>
      <c r="I5" s="105">
        <v>27.94</v>
      </c>
      <c r="J5" s="105">
        <v>1</v>
      </c>
      <c r="K5" s="502">
        <v>27.94</v>
      </c>
    </row>
    <row r="6" spans="1:11" ht="14.4" customHeight="1" x14ac:dyDescent="0.3">
      <c r="A6" s="503" t="s">
        <v>440</v>
      </c>
      <c r="B6" s="504" t="s">
        <v>464</v>
      </c>
      <c r="C6" s="505" t="s">
        <v>446</v>
      </c>
      <c r="D6" s="506" t="s">
        <v>592</v>
      </c>
      <c r="E6" s="505" t="s">
        <v>595</v>
      </c>
      <c r="F6" s="506" t="s">
        <v>596</v>
      </c>
      <c r="G6" s="505" t="s">
        <v>486</v>
      </c>
      <c r="H6" s="505" t="s">
        <v>487</v>
      </c>
      <c r="I6" s="507">
        <v>2.37</v>
      </c>
      <c r="J6" s="507">
        <v>10</v>
      </c>
      <c r="K6" s="508">
        <v>23.7</v>
      </c>
    </row>
    <row r="7" spans="1:11" ht="14.4" customHeight="1" x14ac:dyDescent="0.3">
      <c r="A7" s="503" t="s">
        <v>440</v>
      </c>
      <c r="B7" s="504" t="s">
        <v>464</v>
      </c>
      <c r="C7" s="505" t="s">
        <v>446</v>
      </c>
      <c r="D7" s="506" t="s">
        <v>592</v>
      </c>
      <c r="E7" s="505" t="s">
        <v>595</v>
      </c>
      <c r="F7" s="506" t="s">
        <v>596</v>
      </c>
      <c r="G7" s="505" t="s">
        <v>488</v>
      </c>
      <c r="H7" s="505" t="s">
        <v>489</v>
      </c>
      <c r="I7" s="507">
        <v>1.91</v>
      </c>
      <c r="J7" s="507">
        <v>100</v>
      </c>
      <c r="K7" s="508">
        <v>191</v>
      </c>
    </row>
    <row r="8" spans="1:11" ht="14.4" customHeight="1" x14ac:dyDescent="0.3">
      <c r="A8" s="503" t="s">
        <v>440</v>
      </c>
      <c r="B8" s="504" t="s">
        <v>464</v>
      </c>
      <c r="C8" s="505" t="s">
        <v>446</v>
      </c>
      <c r="D8" s="506" t="s">
        <v>592</v>
      </c>
      <c r="E8" s="505" t="s">
        <v>595</v>
      </c>
      <c r="F8" s="506" t="s">
        <v>596</v>
      </c>
      <c r="G8" s="505" t="s">
        <v>490</v>
      </c>
      <c r="H8" s="505" t="s">
        <v>491</v>
      </c>
      <c r="I8" s="507">
        <v>2.4300000000000002</v>
      </c>
      <c r="J8" s="507">
        <v>100</v>
      </c>
      <c r="K8" s="508">
        <v>243</v>
      </c>
    </row>
    <row r="9" spans="1:11" ht="14.4" customHeight="1" x14ac:dyDescent="0.3">
      <c r="A9" s="503" t="s">
        <v>440</v>
      </c>
      <c r="B9" s="504" t="s">
        <v>464</v>
      </c>
      <c r="C9" s="505" t="s">
        <v>446</v>
      </c>
      <c r="D9" s="506" t="s">
        <v>592</v>
      </c>
      <c r="E9" s="505" t="s">
        <v>595</v>
      </c>
      <c r="F9" s="506" t="s">
        <v>596</v>
      </c>
      <c r="G9" s="505" t="s">
        <v>492</v>
      </c>
      <c r="H9" s="505" t="s">
        <v>493</v>
      </c>
      <c r="I9" s="507">
        <v>0.01</v>
      </c>
      <c r="J9" s="507">
        <v>400</v>
      </c>
      <c r="K9" s="508">
        <v>4</v>
      </c>
    </row>
    <row r="10" spans="1:11" ht="14.4" customHeight="1" x14ac:dyDescent="0.3">
      <c r="A10" s="503" t="s">
        <v>440</v>
      </c>
      <c r="B10" s="504" t="s">
        <v>464</v>
      </c>
      <c r="C10" s="505" t="s">
        <v>446</v>
      </c>
      <c r="D10" s="506" t="s">
        <v>592</v>
      </c>
      <c r="E10" s="505" t="s">
        <v>595</v>
      </c>
      <c r="F10" s="506" t="s">
        <v>596</v>
      </c>
      <c r="G10" s="505" t="s">
        <v>494</v>
      </c>
      <c r="H10" s="505" t="s">
        <v>495</v>
      </c>
      <c r="I10" s="507">
        <v>15.004999999999999</v>
      </c>
      <c r="J10" s="507">
        <v>30</v>
      </c>
      <c r="K10" s="508">
        <v>450.1</v>
      </c>
    </row>
    <row r="11" spans="1:11" ht="14.4" customHeight="1" x14ac:dyDescent="0.3">
      <c r="A11" s="503" t="s">
        <v>440</v>
      </c>
      <c r="B11" s="504" t="s">
        <v>464</v>
      </c>
      <c r="C11" s="505" t="s">
        <v>446</v>
      </c>
      <c r="D11" s="506" t="s">
        <v>592</v>
      </c>
      <c r="E11" s="505" t="s">
        <v>597</v>
      </c>
      <c r="F11" s="506" t="s">
        <v>598</v>
      </c>
      <c r="G11" s="505" t="s">
        <v>496</v>
      </c>
      <c r="H11" s="505" t="s">
        <v>497</v>
      </c>
      <c r="I11" s="507">
        <v>39.450000000000003</v>
      </c>
      <c r="J11" s="507">
        <v>200</v>
      </c>
      <c r="K11" s="508">
        <v>7889.2</v>
      </c>
    </row>
    <row r="12" spans="1:11" ht="14.4" customHeight="1" x14ac:dyDescent="0.3">
      <c r="A12" s="503" t="s">
        <v>440</v>
      </c>
      <c r="B12" s="504" t="s">
        <v>464</v>
      </c>
      <c r="C12" s="505" t="s">
        <v>446</v>
      </c>
      <c r="D12" s="506" t="s">
        <v>592</v>
      </c>
      <c r="E12" s="505" t="s">
        <v>599</v>
      </c>
      <c r="F12" s="506" t="s">
        <v>600</v>
      </c>
      <c r="G12" s="505" t="s">
        <v>498</v>
      </c>
      <c r="H12" s="505" t="s">
        <v>499</v>
      </c>
      <c r="I12" s="507">
        <v>1.7749999999999999</v>
      </c>
      <c r="J12" s="507">
        <v>400</v>
      </c>
      <c r="K12" s="508">
        <v>710</v>
      </c>
    </row>
    <row r="13" spans="1:11" ht="14.4" customHeight="1" x14ac:dyDescent="0.3">
      <c r="A13" s="503" t="s">
        <v>440</v>
      </c>
      <c r="B13" s="504" t="s">
        <v>464</v>
      </c>
      <c r="C13" s="505" t="s">
        <v>446</v>
      </c>
      <c r="D13" s="506" t="s">
        <v>592</v>
      </c>
      <c r="E13" s="505" t="s">
        <v>601</v>
      </c>
      <c r="F13" s="506" t="s">
        <v>602</v>
      </c>
      <c r="G13" s="505" t="s">
        <v>500</v>
      </c>
      <c r="H13" s="505" t="s">
        <v>501</v>
      </c>
      <c r="I13" s="507">
        <v>0.72499999999999998</v>
      </c>
      <c r="J13" s="507">
        <v>500</v>
      </c>
      <c r="K13" s="508">
        <v>363</v>
      </c>
    </row>
    <row r="14" spans="1:11" ht="14.4" customHeight="1" x14ac:dyDescent="0.3">
      <c r="A14" s="503" t="s">
        <v>440</v>
      </c>
      <c r="B14" s="504" t="s">
        <v>464</v>
      </c>
      <c r="C14" s="505" t="s">
        <v>446</v>
      </c>
      <c r="D14" s="506" t="s">
        <v>592</v>
      </c>
      <c r="E14" s="505" t="s">
        <v>601</v>
      </c>
      <c r="F14" s="506" t="s">
        <v>602</v>
      </c>
      <c r="G14" s="505" t="s">
        <v>502</v>
      </c>
      <c r="H14" s="505" t="s">
        <v>503</v>
      </c>
      <c r="I14" s="507">
        <v>0.73</v>
      </c>
      <c r="J14" s="507">
        <v>100</v>
      </c>
      <c r="K14" s="508">
        <v>73</v>
      </c>
    </row>
    <row r="15" spans="1:11" ht="14.4" customHeight="1" x14ac:dyDescent="0.3">
      <c r="A15" s="503" t="s">
        <v>440</v>
      </c>
      <c r="B15" s="504" t="s">
        <v>464</v>
      </c>
      <c r="C15" s="505" t="s">
        <v>451</v>
      </c>
      <c r="D15" s="506" t="s">
        <v>465</v>
      </c>
      <c r="E15" s="505" t="s">
        <v>593</v>
      </c>
      <c r="F15" s="506" t="s">
        <v>594</v>
      </c>
      <c r="G15" s="505" t="s">
        <v>504</v>
      </c>
      <c r="H15" s="505" t="s">
        <v>505</v>
      </c>
      <c r="I15" s="507">
        <v>0.53</v>
      </c>
      <c r="J15" s="507">
        <v>500</v>
      </c>
      <c r="K15" s="508">
        <v>265</v>
      </c>
    </row>
    <row r="16" spans="1:11" ht="14.4" customHeight="1" x14ac:dyDescent="0.3">
      <c r="A16" s="503" t="s">
        <v>440</v>
      </c>
      <c r="B16" s="504" t="s">
        <v>464</v>
      </c>
      <c r="C16" s="505" t="s">
        <v>451</v>
      </c>
      <c r="D16" s="506" t="s">
        <v>465</v>
      </c>
      <c r="E16" s="505" t="s">
        <v>593</v>
      </c>
      <c r="F16" s="506" t="s">
        <v>594</v>
      </c>
      <c r="G16" s="505" t="s">
        <v>506</v>
      </c>
      <c r="H16" s="505" t="s">
        <v>507</v>
      </c>
      <c r="I16" s="507">
        <v>27.365000000000002</v>
      </c>
      <c r="J16" s="507">
        <v>6</v>
      </c>
      <c r="K16" s="508">
        <v>164.19</v>
      </c>
    </row>
    <row r="17" spans="1:11" ht="14.4" customHeight="1" x14ac:dyDescent="0.3">
      <c r="A17" s="503" t="s">
        <v>440</v>
      </c>
      <c r="B17" s="504" t="s">
        <v>464</v>
      </c>
      <c r="C17" s="505" t="s">
        <v>451</v>
      </c>
      <c r="D17" s="506" t="s">
        <v>465</v>
      </c>
      <c r="E17" s="505" t="s">
        <v>593</v>
      </c>
      <c r="F17" s="506" t="s">
        <v>594</v>
      </c>
      <c r="G17" s="505" t="s">
        <v>508</v>
      </c>
      <c r="H17" s="505" t="s">
        <v>509</v>
      </c>
      <c r="I17" s="507">
        <v>1.25</v>
      </c>
      <c r="J17" s="507">
        <v>100</v>
      </c>
      <c r="K17" s="508">
        <v>125</v>
      </c>
    </row>
    <row r="18" spans="1:11" ht="14.4" customHeight="1" x14ac:dyDescent="0.3">
      <c r="A18" s="503" t="s">
        <v>440</v>
      </c>
      <c r="B18" s="504" t="s">
        <v>464</v>
      </c>
      <c r="C18" s="505" t="s">
        <v>451</v>
      </c>
      <c r="D18" s="506" t="s">
        <v>465</v>
      </c>
      <c r="E18" s="505" t="s">
        <v>593</v>
      </c>
      <c r="F18" s="506" t="s">
        <v>594</v>
      </c>
      <c r="G18" s="505" t="s">
        <v>510</v>
      </c>
      <c r="H18" s="505" t="s">
        <v>511</v>
      </c>
      <c r="I18" s="507">
        <v>98.38</v>
      </c>
      <c r="J18" s="507">
        <v>2</v>
      </c>
      <c r="K18" s="508">
        <v>196.76</v>
      </c>
    </row>
    <row r="19" spans="1:11" ht="14.4" customHeight="1" x14ac:dyDescent="0.3">
      <c r="A19" s="503" t="s">
        <v>440</v>
      </c>
      <c r="B19" s="504" t="s">
        <v>464</v>
      </c>
      <c r="C19" s="505" t="s">
        <v>451</v>
      </c>
      <c r="D19" s="506" t="s">
        <v>465</v>
      </c>
      <c r="E19" s="505" t="s">
        <v>595</v>
      </c>
      <c r="F19" s="506" t="s">
        <v>596</v>
      </c>
      <c r="G19" s="505" t="s">
        <v>512</v>
      </c>
      <c r="H19" s="505" t="s">
        <v>513</v>
      </c>
      <c r="I19" s="507">
        <v>0.48</v>
      </c>
      <c r="J19" s="507">
        <v>100</v>
      </c>
      <c r="K19" s="508">
        <v>48</v>
      </c>
    </row>
    <row r="20" spans="1:11" ht="14.4" customHeight="1" x14ac:dyDescent="0.3">
      <c r="A20" s="503" t="s">
        <v>440</v>
      </c>
      <c r="B20" s="504" t="s">
        <v>464</v>
      </c>
      <c r="C20" s="505" t="s">
        <v>451</v>
      </c>
      <c r="D20" s="506" t="s">
        <v>465</v>
      </c>
      <c r="E20" s="505" t="s">
        <v>595</v>
      </c>
      <c r="F20" s="506" t="s">
        <v>596</v>
      </c>
      <c r="G20" s="505" t="s">
        <v>494</v>
      </c>
      <c r="H20" s="505" t="s">
        <v>495</v>
      </c>
      <c r="I20" s="507">
        <v>15</v>
      </c>
      <c r="J20" s="507">
        <v>16</v>
      </c>
      <c r="K20" s="508">
        <v>240</v>
      </c>
    </row>
    <row r="21" spans="1:11" ht="14.4" customHeight="1" x14ac:dyDescent="0.3">
      <c r="A21" s="503" t="s">
        <v>440</v>
      </c>
      <c r="B21" s="504" t="s">
        <v>464</v>
      </c>
      <c r="C21" s="505" t="s">
        <v>451</v>
      </c>
      <c r="D21" s="506" t="s">
        <v>465</v>
      </c>
      <c r="E21" s="505" t="s">
        <v>595</v>
      </c>
      <c r="F21" s="506" t="s">
        <v>596</v>
      </c>
      <c r="G21" s="505" t="s">
        <v>514</v>
      </c>
      <c r="H21" s="505" t="s">
        <v>515</v>
      </c>
      <c r="I21" s="507">
        <v>25.53</v>
      </c>
      <c r="J21" s="507">
        <v>5</v>
      </c>
      <c r="K21" s="508">
        <v>127.65</v>
      </c>
    </row>
    <row r="22" spans="1:11" ht="14.4" customHeight="1" x14ac:dyDescent="0.3">
      <c r="A22" s="503" t="s">
        <v>440</v>
      </c>
      <c r="B22" s="504" t="s">
        <v>464</v>
      </c>
      <c r="C22" s="505" t="s">
        <v>451</v>
      </c>
      <c r="D22" s="506" t="s">
        <v>465</v>
      </c>
      <c r="E22" s="505" t="s">
        <v>595</v>
      </c>
      <c r="F22" s="506" t="s">
        <v>596</v>
      </c>
      <c r="G22" s="505" t="s">
        <v>516</v>
      </c>
      <c r="H22" s="505" t="s">
        <v>517</v>
      </c>
      <c r="I22" s="507">
        <v>2</v>
      </c>
      <c r="J22" s="507">
        <v>200</v>
      </c>
      <c r="K22" s="508">
        <v>400.51</v>
      </c>
    </row>
    <row r="23" spans="1:11" ht="14.4" customHeight="1" x14ac:dyDescent="0.3">
      <c r="A23" s="503" t="s">
        <v>440</v>
      </c>
      <c r="B23" s="504" t="s">
        <v>464</v>
      </c>
      <c r="C23" s="505" t="s">
        <v>451</v>
      </c>
      <c r="D23" s="506" t="s">
        <v>465</v>
      </c>
      <c r="E23" s="505" t="s">
        <v>595</v>
      </c>
      <c r="F23" s="506" t="s">
        <v>596</v>
      </c>
      <c r="G23" s="505" t="s">
        <v>518</v>
      </c>
      <c r="H23" s="505" t="s">
        <v>519</v>
      </c>
      <c r="I23" s="507">
        <v>53.85</v>
      </c>
      <c r="J23" s="507">
        <v>40</v>
      </c>
      <c r="K23" s="508">
        <v>2153.8000000000002</v>
      </c>
    </row>
    <row r="24" spans="1:11" ht="14.4" customHeight="1" x14ac:dyDescent="0.3">
      <c r="A24" s="503" t="s">
        <v>440</v>
      </c>
      <c r="B24" s="504" t="s">
        <v>464</v>
      </c>
      <c r="C24" s="505" t="s">
        <v>451</v>
      </c>
      <c r="D24" s="506" t="s">
        <v>465</v>
      </c>
      <c r="E24" s="505" t="s">
        <v>595</v>
      </c>
      <c r="F24" s="506" t="s">
        <v>596</v>
      </c>
      <c r="G24" s="505" t="s">
        <v>520</v>
      </c>
      <c r="H24" s="505" t="s">
        <v>521</v>
      </c>
      <c r="I24" s="507">
        <v>68.73</v>
      </c>
      <c r="J24" s="507">
        <v>200</v>
      </c>
      <c r="K24" s="508">
        <v>13745.6</v>
      </c>
    </row>
    <row r="25" spans="1:11" ht="14.4" customHeight="1" x14ac:dyDescent="0.3">
      <c r="A25" s="503" t="s">
        <v>440</v>
      </c>
      <c r="B25" s="504" t="s">
        <v>464</v>
      </c>
      <c r="C25" s="505" t="s">
        <v>451</v>
      </c>
      <c r="D25" s="506" t="s">
        <v>465</v>
      </c>
      <c r="E25" s="505" t="s">
        <v>597</v>
      </c>
      <c r="F25" s="506" t="s">
        <v>598</v>
      </c>
      <c r="G25" s="505" t="s">
        <v>522</v>
      </c>
      <c r="H25" s="505" t="s">
        <v>523</v>
      </c>
      <c r="I25" s="507">
        <v>1.56</v>
      </c>
      <c r="J25" s="507">
        <v>400</v>
      </c>
      <c r="K25" s="508">
        <v>625.20000000000005</v>
      </c>
    </row>
    <row r="26" spans="1:11" ht="14.4" customHeight="1" x14ac:dyDescent="0.3">
      <c r="A26" s="503" t="s">
        <v>440</v>
      </c>
      <c r="B26" s="504" t="s">
        <v>464</v>
      </c>
      <c r="C26" s="505" t="s">
        <v>451</v>
      </c>
      <c r="D26" s="506" t="s">
        <v>465</v>
      </c>
      <c r="E26" s="505" t="s">
        <v>597</v>
      </c>
      <c r="F26" s="506" t="s">
        <v>598</v>
      </c>
      <c r="G26" s="505" t="s">
        <v>524</v>
      </c>
      <c r="H26" s="505" t="s">
        <v>525</v>
      </c>
      <c r="I26" s="507">
        <v>0.43</v>
      </c>
      <c r="J26" s="507">
        <v>4000</v>
      </c>
      <c r="K26" s="508">
        <v>1718.1999999999998</v>
      </c>
    </row>
    <row r="27" spans="1:11" ht="14.4" customHeight="1" x14ac:dyDescent="0.3">
      <c r="A27" s="503" t="s">
        <v>440</v>
      </c>
      <c r="B27" s="504" t="s">
        <v>464</v>
      </c>
      <c r="C27" s="505" t="s">
        <v>451</v>
      </c>
      <c r="D27" s="506" t="s">
        <v>465</v>
      </c>
      <c r="E27" s="505" t="s">
        <v>597</v>
      </c>
      <c r="F27" s="506" t="s">
        <v>598</v>
      </c>
      <c r="G27" s="505" t="s">
        <v>526</v>
      </c>
      <c r="H27" s="505" t="s">
        <v>527</v>
      </c>
      <c r="I27" s="507">
        <v>0.14000000000000001</v>
      </c>
      <c r="J27" s="507">
        <v>3000</v>
      </c>
      <c r="K27" s="508">
        <v>420</v>
      </c>
    </row>
    <row r="28" spans="1:11" ht="14.4" customHeight="1" x14ac:dyDescent="0.3">
      <c r="A28" s="503" t="s">
        <v>440</v>
      </c>
      <c r="B28" s="504" t="s">
        <v>464</v>
      </c>
      <c r="C28" s="505" t="s">
        <v>451</v>
      </c>
      <c r="D28" s="506" t="s">
        <v>465</v>
      </c>
      <c r="E28" s="505" t="s">
        <v>597</v>
      </c>
      <c r="F28" s="506" t="s">
        <v>598</v>
      </c>
      <c r="G28" s="505" t="s">
        <v>528</v>
      </c>
      <c r="H28" s="505" t="s">
        <v>529</v>
      </c>
      <c r="I28" s="507">
        <v>20.329999999999998</v>
      </c>
      <c r="J28" s="507">
        <v>250</v>
      </c>
      <c r="K28" s="508">
        <v>5082</v>
      </c>
    </row>
    <row r="29" spans="1:11" ht="14.4" customHeight="1" x14ac:dyDescent="0.3">
      <c r="A29" s="503" t="s">
        <v>440</v>
      </c>
      <c r="B29" s="504" t="s">
        <v>464</v>
      </c>
      <c r="C29" s="505" t="s">
        <v>451</v>
      </c>
      <c r="D29" s="506" t="s">
        <v>465</v>
      </c>
      <c r="E29" s="505" t="s">
        <v>597</v>
      </c>
      <c r="F29" s="506" t="s">
        <v>598</v>
      </c>
      <c r="G29" s="505" t="s">
        <v>530</v>
      </c>
      <c r="H29" s="505" t="s">
        <v>531</v>
      </c>
      <c r="I29" s="507">
        <v>0.7</v>
      </c>
      <c r="J29" s="507">
        <v>1500</v>
      </c>
      <c r="K29" s="508">
        <v>1052.7</v>
      </c>
    </row>
    <row r="30" spans="1:11" ht="14.4" customHeight="1" x14ac:dyDescent="0.3">
      <c r="A30" s="503" t="s">
        <v>440</v>
      </c>
      <c r="B30" s="504" t="s">
        <v>464</v>
      </c>
      <c r="C30" s="505" t="s">
        <v>451</v>
      </c>
      <c r="D30" s="506" t="s">
        <v>465</v>
      </c>
      <c r="E30" s="505" t="s">
        <v>597</v>
      </c>
      <c r="F30" s="506" t="s">
        <v>598</v>
      </c>
      <c r="G30" s="505" t="s">
        <v>532</v>
      </c>
      <c r="H30" s="505" t="s">
        <v>533</v>
      </c>
      <c r="I30" s="507">
        <v>2940.3</v>
      </c>
      <c r="J30" s="507">
        <v>5</v>
      </c>
      <c r="K30" s="508">
        <v>14701.5</v>
      </c>
    </row>
    <row r="31" spans="1:11" ht="14.4" customHeight="1" x14ac:dyDescent="0.3">
      <c r="A31" s="503" t="s">
        <v>440</v>
      </c>
      <c r="B31" s="504" t="s">
        <v>464</v>
      </c>
      <c r="C31" s="505" t="s">
        <v>451</v>
      </c>
      <c r="D31" s="506" t="s">
        <v>465</v>
      </c>
      <c r="E31" s="505" t="s">
        <v>597</v>
      </c>
      <c r="F31" s="506" t="s">
        <v>598</v>
      </c>
      <c r="G31" s="505" t="s">
        <v>534</v>
      </c>
      <c r="H31" s="505" t="s">
        <v>535</v>
      </c>
      <c r="I31" s="507">
        <v>1282.5</v>
      </c>
      <c r="J31" s="507">
        <v>2</v>
      </c>
      <c r="K31" s="508">
        <v>2565</v>
      </c>
    </row>
    <row r="32" spans="1:11" ht="14.4" customHeight="1" x14ac:dyDescent="0.3">
      <c r="A32" s="503" t="s">
        <v>440</v>
      </c>
      <c r="B32" s="504" t="s">
        <v>464</v>
      </c>
      <c r="C32" s="505" t="s">
        <v>451</v>
      </c>
      <c r="D32" s="506" t="s">
        <v>465</v>
      </c>
      <c r="E32" s="505" t="s">
        <v>597</v>
      </c>
      <c r="F32" s="506" t="s">
        <v>598</v>
      </c>
      <c r="G32" s="505" t="s">
        <v>536</v>
      </c>
      <c r="H32" s="505" t="s">
        <v>537</v>
      </c>
      <c r="I32" s="507">
        <v>3.75</v>
      </c>
      <c r="J32" s="507">
        <v>1920</v>
      </c>
      <c r="K32" s="508">
        <v>7205.55</v>
      </c>
    </row>
    <row r="33" spans="1:11" ht="14.4" customHeight="1" x14ac:dyDescent="0.3">
      <c r="A33" s="503" t="s">
        <v>440</v>
      </c>
      <c r="B33" s="504" t="s">
        <v>464</v>
      </c>
      <c r="C33" s="505" t="s">
        <v>451</v>
      </c>
      <c r="D33" s="506" t="s">
        <v>465</v>
      </c>
      <c r="E33" s="505" t="s">
        <v>597</v>
      </c>
      <c r="F33" s="506" t="s">
        <v>598</v>
      </c>
      <c r="G33" s="505" t="s">
        <v>538</v>
      </c>
      <c r="H33" s="505" t="s">
        <v>539</v>
      </c>
      <c r="I33" s="507">
        <v>2.5099999999999998</v>
      </c>
      <c r="J33" s="507">
        <v>1920</v>
      </c>
      <c r="K33" s="508">
        <v>4815.8</v>
      </c>
    </row>
    <row r="34" spans="1:11" ht="14.4" customHeight="1" x14ac:dyDescent="0.3">
      <c r="A34" s="503" t="s">
        <v>440</v>
      </c>
      <c r="B34" s="504" t="s">
        <v>464</v>
      </c>
      <c r="C34" s="505" t="s">
        <v>451</v>
      </c>
      <c r="D34" s="506" t="s">
        <v>465</v>
      </c>
      <c r="E34" s="505" t="s">
        <v>597</v>
      </c>
      <c r="F34" s="506" t="s">
        <v>598</v>
      </c>
      <c r="G34" s="505" t="s">
        <v>540</v>
      </c>
      <c r="H34" s="505" t="s">
        <v>541</v>
      </c>
      <c r="I34" s="507">
        <v>2649.9</v>
      </c>
      <c r="J34" s="507">
        <v>17</v>
      </c>
      <c r="K34" s="508">
        <v>45048.299999999996</v>
      </c>
    </row>
    <row r="35" spans="1:11" ht="14.4" customHeight="1" x14ac:dyDescent="0.3">
      <c r="A35" s="503" t="s">
        <v>440</v>
      </c>
      <c r="B35" s="504" t="s">
        <v>464</v>
      </c>
      <c r="C35" s="505" t="s">
        <v>451</v>
      </c>
      <c r="D35" s="506" t="s">
        <v>465</v>
      </c>
      <c r="E35" s="505" t="s">
        <v>599</v>
      </c>
      <c r="F35" s="506" t="s">
        <v>600</v>
      </c>
      <c r="G35" s="505" t="s">
        <v>542</v>
      </c>
      <c r="H35" s="505" t="s">
        <v>543</v>
      </c>
      <c r="I35" s="507">
        <v>0.31</v>
      </c>
      <c r="J35" s="507">
        <v>200</v>
      </c>
      <c r="K35" s="508">
        <v>62</v>
      </c>
    </row>
    <row r="36" spans="1:11" ht="14.4" customHeight="1" x14ac:dyDescent="0.3">
      <c r="A36" s="503" t="s">
        <v>440</v>
      </c>
      <c r="B36" s="504" t="s">
        <v>464</v>
      </c>
      <c r="C36" s="505" t="s">
        <v>451</v>
      </c>
      <c r="D36" s="506" t="s">
        <v>465</v>
      </c>
      <c r="E36" s="505" t="s">
        <v>601</v>
      </c>
      <c r="F36" s="506" t="s">
        <v>602</v>
      </c>
      <c r="G36" s="505" t="s">
        <v>502</v>
      </c>
      <c r="H36" s="505" t="s">
        <v>503</v>
      </c>
      <c r="I36" s="507">
        <v>0.73</v>
      </c>
      <c r="J36" s="507">
        <v>200</v>
      </c>
      <c r="K36" s="508">
        <v>145.4</v>
      </c>
    </row>
    <row r="37" spans="1:11" ht="14.4" customHeight="1" x14ac:dyDescent="0.3">
      <c r="A37" s="503" t="s">
        <v>440</v>
      </c>
      <c r="B37" s="504" t="s">
        <v>464</v>
      </c>
      <c r="C37" s="505" t="s">
        <v>451</v>
      </c>
      <c r="D37" s="506" t="s">
        <v>465</v>
      </c>
      <c r="E37" s="505" t="s">
        <v>601</v>
      </c>
      <c r="F37" s="506" t="s">
        <v>602</v>
      </c>
      <c r="G37" s="505" t="s">
        <v>544</v>
      </c>
      <c r="H37" s="505" t="s">
        <v>545</v>
      </c>
      <c r="I37" s="507">
        <v>7.5</v>
      </c>
      <c r="J37" s="507">
        <v>100</v>
      </c>
      <c r="K37" s="508">
        <v>750</v>
      </c>
    </row>
    <row r="38" spans="1:11" ht="14.4" customHeight="1" x14ac:dyDescent="0.3">
      <c r="A38" s="503" t="s">
        <v>440</v>
      </c>
      <c r="B38" s="504" t="s">
        <v>464</v>
      </c>
      <c r="C38" s="505" t="s">
        <v>451</v>
      </c>
      <c r="D38" s="506" t="s">
        <v>465</v>
      </c>
      <c r="E38" s="505" t="s">
        <v>601</v>
      </c>
      <c r="F38" s="506" t="s">
        <v>602</v>
      </c>
      <c r="G38" s="505" t="s">
        <v>546</v>
      </c>
      <c r="H38" s="505" t="s">
        <v>547</v>
      </c>
      <c r="I38" s="507">
        <v>0.71</v>
      </c>
      <c r="J38" s="507">
        <v>600</v>
      </c>
      <c r="K38" s="508">
        <v>426</v>
      </c>
    </row>
    <row r="39" spans="1:11" ht="14.4" customHeight="1" x14ac:dyDescent="0.3">
      <c r="A39" s="503" t="s">
        <v>440</v>
      </c>
      <c r="B39" s="504" t="s">
        <v>464</v>
      </c>
      <c r="C39" s="505" t="s">
        <v>451</v>
      </c>
      <c r="D39" s="506" t="s">
        <v>465</v>
      </c>
      <c r="E39" s="505" t="s">
        <v>601</v>
      </c>
      <c r="F39" s="506" t="s">
        <v>602</v>
      </c>
      <c r="G39" s="505" t="s">
        <v>548</v>
      </c>
      <c r="H39" s="505" t="s">
        <v>549</v>
      </c>
      <c r="I39" s="507">
        <v>0.71</v>
      </c>
      <c r="J39" s="507">
        <v>800</v>
      </c>
      <c r="K39" s="508">
        <v>568</v>
      </c>
    </row>
    <row r="40" spans="1:11" ht="14.4" customHeight="1" x14ac:dyDescent="0.3">
      <c r="A40" s="503" t="s">
        <v>440</v>
      </c>
      <c r="B40" s="504" t="s">
        <v>464</v>
      </c>
      <c r="C40" s="505" t="s">
        <v>451</v>
      </c>
      <c r="D40" s="506" t="s">
        <v>465</v>
      </c>
      <c r="E40" s="505" t="s">
        <v>603</v>
      </c>
      <c r="F40" s="506" t="s">
        <v>604</v>
      </c>
      <c r="G40" s="505" t="s">
        <v>550</v>
      </c>
      <c r="H40" s="505" t="s">
        <v>551</v>
      </c>
      <c r="I40" s="507">
        <v>293.6344756534512</v>
      </c>
      <c r="J40" s="507">
        <v>1</v>
      </c>
      <c r="K40" s="508">
        <v>293.6344756534512</v>
      </c>
    </row>
    <row r="41" spans="1:11" ht="14.4" customHeight="1" x14ac:dyDescent="0.3">
      <c r="A41" s="503" t="s">
        <v>440</v>
      </c>
      <c r="B41" s="504" t="s">
        <v>464</v>
      </c>
      <c r="C41" s="505" t="s">
        <v>451</v>
      </c>
      <c r="D41" s="506" t="s">
        <v>465</v>
      </c>
      <c r="E41" s="505" t="s">
        <v>603</v>
      </c>
      <c r="F41" s="506" t="s">
        <v>604</v>
      </c>
      <c r="G41" s="505" t="s">
        <v>552</v>
      </c>
      <c r="H41" s="505" t="s">
        <v>553</v>
      </c>
      <c r="I41" s="507">
        <v>783.5339381210232</v>
      </c>
      <c r="J41" s="507">
        <v>1</v>
      </c>
      <c r="K41" s="508">
        <v>783.5339381210232</v>
      </c>
    </row>
    <row r="42" spans="1:11" ht="14.4" customHeight="1" x14ac:dyDescent="0.3">
      <c r="A42" s="503" t="s">
        <v>440</v>
      </c>
      <c r="B42" s="504" t="s">
        <v>464</v>
      </c>
      <c r="C42" s="505" t="s">
        <v>451</v>
      </c>
      <c r="D42" s="506" t="s">
        <v>465</v>
      </c>
      <c r="E42" s="505" t="s">
        <v>603</v>
      </c>
      <c r="F42" s="506" t="s">
        <v>604</v>
      </c>
      <c r="G42" s="505" t="s">
        <v>554</v>
      </c>
      <c r="H42" s="505" t="s">
        <v>555</v>
      </c>
      <c r="I42" s="507">
        <v>198.47839868452465</v>
      </c>
      <c r="J42" s="507">
        <v>11</v>
      </c>
      <c r="K42" s="508">
        <v>2183.4141518034116</v>
      </c>
    </row>
    <row r="43" spans="1:11" ht="14.4" customHeight="1" x14ac:dyDescent="0.3">
      <c r="A43" s="503" t="s">
        <v>440</v>
      </c>
      <c r="B43" s="504" t="s">
        <v>464</v>
      </c>
      <c r="C43" s="505" t="s">
        <v>451</v>
      </c>
      <c r="D43" s="506" t="s">
        <v>465</v>
      </c>
      <c r="E43" s="505" t="s">
        <v>603</v>
      </c>
      <c r="F43" s="506" t="s">
        <v>604</v>
      </c>
      <c r="G43" s="505" t="s">
        <v>556</v>
      </c>
      <c r="H43" s="505" t="s">
        <v>557</v>
      </c>
      <c r="I43" s="507">
        <v>253.89855753723768</v>
      </c>
      <c r="J43" s="507">
        <v>4</v>
      </c>
      <c r="K43" s="508">
        <v>1015.5942301489507</v>
      </c>
    </row>
    <row r="44" spans="1:11" ht="14.4" customHeight="1" x14ac:dyDescent="0.3">
      <c r="A44" s="503" t="s">
        <v>440</v>
      </c>
      <c r="B44" s="504" t="s">
        <v>464</v>
      </c>
      <c r="C44" s="505" t="s">
        <v>451</v>
      </c>
      <c r="D44" s="506" t="s">
        <v>465</v>
      </c>
      <c r="E44" s="505" t="s">
        <v>603</v>
      </c>
      <c r="F44" s="506" t="s">
        <v>604</v>
      </c>
      <c r="G44" s="505" t="s">
        <v>558</v>
      </c>
      <c r="H44" s="505" t="s">
        <v>559</v>
      </c>
      <c r="I44" s="507">
        <v>271.05274782781987</v>
      </c>
      <c r="J44" s="507">
        <v>2</v>
      </c>
      <c r="K44" s="508">
        <v>542.10549565563974</v>
      </c>
    </row>
    <row r="45" spans="1:11" ht="14.4" customHeight="1" x14ac:dyDescent="0.3">
      <c r="A45" s="503" t="s">
        <v>440</v>
      </c>
      <c r="B45" s="504" t="s">
        <v>464</v>
      </c>
      <c r="C45" s="505" t="s">
        <v>451</v>
      </c>
      <c r="D45" s="506" t="s">
        <v>465</v>
      </c>
      <c r="E45" s="505" t="s">
        <v>603</v>
      </c>
      <c r="F45" s="506" t="s">
        <v>604</v>
      </c>
      <c r="G45" s="505" t="s">
        <v>560</v>
      </c>
      <c r="H45" s="505" t="s">
        <v>561</v>
      </c>
      <c r="I45" s="507">
        <v>187.58078390132621</v>
      </c>
      <c r="J45" s="507">
        <v>1</v>
      </c>
      <c r="K45" s="508">
        <v>187.58078390132621</v>
      </c>
    </row>
    <row r="46" spans="1:11" ht="14.4" customHeight="1" x14ac:dyDescent="0.3">
      <c r="A46" s="503" t="s">
        <v>440</v>
      </c>
      <c r="B46" s="504" t="s">
        <v>464</v>
      </c>
      <c r="C46" s="505" t="s">
        <v>451</v>
      </c>
      <c r="D46" s="506" t="s">
        <v>465</v>
      </c>
      <c r="E46" s="505" t="s">
        <v>603</v>
      </c>
      <c r="F46" s="506" t="s">
        <v>604</v>
      </c>
      <c r="G46" s="505" t="s">
        <v>562</v>
      </c>
      <c r="H46" s="505" t="s">
        <v>563</v>
      </c>
      <c r="I46" s="507">
        <v>112.53</v>
      </c>
      <c r="J46" s="507">
        <v>6</v>
      </c>
      <c r="K46" s="508">
        <v>675.18000000000006</v>
      </c>
    </row>
    <row r="47" spans="1:11" ht="14.4" customHeight="1" x14ac:dyDescent="0.3">
      <c r="A47" s="503" t="s">
        <v>440</v>
      </c>
      <c r="B47" s="504" t="s">
        <v>464</v>
      </c>
      <c r="C47" s="505" t="s">
        <v>451</v>
      </c>
      <c r="D47" s="506" t="s">
        <v>465</v>
      </c>
      <c r="E47" s="505" t="s">
        <v>603</v>
      </c>
      <c r="F47" s="506" t="s">
        <v>604</v>
      </c>
      <c r="G47" s="505" t="s">
        <v>564</v>
      </c>
      <c r="H47" s="505" t="s">
        <v>565</v>
      </c>
      <c r="I47" s="507">
        <v>588.5</v>
      </c>
      <c r="J47" s="507">
        <v>2</v>
      </c>
      <c r="K47" s="508">
        <v>1177</v>
      </c>
    </row>
    <row r="48" spans="1:11" ht="14.4" customHeight="1" x14ac:dyDescent="0.3">
      <c r="A48" s="503" t="s">
        <v>440</v>
      </c>
      <c r="B48" s="504" t="s">
        <v>464</v>
      </c>
      <c r="C48" s="505" t="s">
        <v>451</v>
      </c>
      <c r="D48" s="506" t="s">
        <v>465</v>
      </c>
      <c r="E48" s="505" t="s">
        <v>603</v>
      </c>
      <c r="F48" s="506" t="s">
        <v>604</v>
      </c>
      <c r="G48" s="505" t="s">
        <v>566</v>
      </c>
      <c r="H48" s="505" t="s">
        <v>567</v>
      </c>
      <c r="I48" s="507">
        <v>146.41</v>
      </c>
      <c r="J48" s="507">
        <v>2</v>
      </c>
      <c r="K48" s="508">
        <v>292.82</v>
      </c>
    </row>
    <row r="49" spans="1:11" ht="14.4" customHeight="1" x14ac:dyDescent="0.3">
      <c r="A49" s="503" t="s">
        <v>440</v>
      </c>
      <c r="B49" s="504" t="s">
        <v>464</v>
      </c>
      <c r="C49" s="505" t="s">
        <v>451</v>
      </c>
      <c r="D49" s="506" t="s">
        <v>465</v>
      </c>
      <c r="E49" s="505" t="s">
        <v>603</v>
      </c>
      <c r="F49" s="506" t="s">
        <v>604</v>
      </c>
      <c r="G49" s="505" t="s">
        <v>568</v>
      </c>
      <c r="H49" s="505" t="s">
        <v>569</v>
      </c>
      <c r="I49" s="507">
        <v>700.25</v>
      </c>
      <c r="J49" s="507">
        <v>22</v>
      </c>
      <c r="K49" s="508">
        <v>18634.3</v>
      </c>
    </row>
    <row r="50" spans="1:11" ht="14.4" customHeight="1" x14ac:dyDescent="0.3">
      <c r="A50" s="503" t="s">
        <v>440</v>
      </c>
      <c r="B50" s="504" t="s">
        <v>464</v>
      </c>
      <c r="C50" s="505" t="s">
        <v>451</v>
      </c>
      <c r="D50" s="506" t="s">
        <v>465</v>
      </c>
      <c r="E50" s="505" t="s">
        <v>603</v>
      </c>
      <c r="F50" s="506" t="s">
        <v>604</v>
      </c>
      <c r="G50" s="505" t="s">
        <v>570</v>
      </c>
      <c r="H50" s="505" t="s">
        <v>571</v>
      </c>
      <c r="I50" s="507">
        <v>99.213333333333324</v>
      </c>
      <c r="J50" s="507">
        <v>10</v>
      </c>
      <c r="K50" s="508">
        <v>987.26</v>
      </c>
    </row>
    <row r="51" spans="1:11" ht="14.4" customHeight="1" x14ac:dyDescent="0.3">
      <c r="A51" s="503" t="s">
        <v>440</v>
      </c>
      <c r="B51" s="504" t="s">
        <v>464</v>
      </c>
      <c r="C51" s="505" t="s">
        <v>451</v>
      </c>
      <c r="D51" s="506" t="s">
        <v>465</v>
      </c>
      <c r="E51" s="505" t="s">
        <v>603</v>
      </c>
      <c r="F51" s="506" t="s">
        <v>604</v>
      </c>
      <c r="G51" s="505" t="s">
        <v>572</v>
      </c>
      <c r="H51" s="505" t="s">
        <v>573</v>
      </c>
      <c r="I51" s="507">
        <v>1337.05</v>
      </c>
      <c r="J51" s="507">
        <v>10</v>
      </c>
      <c r="K51" s="508">
        <v>13370.5</v>
      </c>
    </row>
    <row r="52" spans="1:11" ht="14.4" customHeight="1" x14ac:dyDescent="0.3">
      <c r="A52" s="503" t="s">
        <v>440</v>
      </c>
      <c r="B52" s="504" t="s">
        <v>464</v>
      </c>
      <c r="C52" s="505" t="s">
        <v>451</v>
      </c>
      <c r="D52" s="506" t="s">
        <v>465</v>
      </c>
      <c r="E52" s="505" t="s">
        <v>603</v>
      </c>
      <c r="F52" s="506" t="s">
        <v>604</v>
      </c>
      <c r="G52" s="505" t="s">
        <v>574</v>
      </c>
      <c r="H52" s="505" t="s">
        <v>575</v>
      </c>
      <c r="I52" s="507">
        <v>1161.5999999999999</v>
      </c>
      <c r="J52" s="507">
        <v>2</v>
      </c>
      <c r="K52" s="508">
        <v>2323.1999999999998</v>
      </c>
    </row>
    <row r="53" spans="1:11" ht="14.4" customHeight="1" x14ac:dyDescent="0.3">
      <c r="A53" s="503" t="s">
        <v>440</v>
      </c>
      <c r="B53" s="504" t="s">
        <v>464</v>
      </c>
      <c r="C53" s="505" t="s">
        <v>451</v>
      </c>
      <c r="D53" s="506" t="s">
        <v>465</v>
      </c>
      <c r="E53" s="505" t="s">
        <v>603</v>
      </c>
      <c r="F53" s="506" t="s">
        <v>604</v>
      </c>
      <c r="G53" s="505" t="s">
        <v>576</v>
      </c>
      <c r="H53" s="505" t="s">
        <v>577</v>
      </c>
      <c r="I53" s="507">
        <v>2047.32</v>
      </c>
      <c r="J53" s="507">
        <v>5</v>
      </c>
      <c r="K53" s="508">
        <v>10236.6</v>
      </c>
    </row>
    <row r="54" spans="1:11" ht="14.4" customHeight="1" x14ac:dyDescent="0.3">
      <c r="A54" s="503" t="s">
        <v>440</v>
      </c>
      <c r="B54" s="504" t="s">
        <v>464</v>
      </c>
      <c r="C54" s="505" t="s">
        <v>451</v>
      </c>
      <c r="D54" s="506" t="s">
        <v>465</v>
      </c>
      <c r="E54" s="505" t="s">
        <v>603</v>
      </c>
      <c r="F54" s="506" t="s">
        <v>604</v>
      </c>
      <c r="G54" s="505" t="s">
        <v>578</v>
      </c>
      <c r="H54" s="505" t="s">
        <v>579</v>
      </c>
      <c r="I54" s="507">
        <v>992.2</v>
      </c>
      <c r="J54" s="507">
        <v>2</v>
      </c>
      <c r="K54" s="508">
        <v>1984.4</v>
      </c>
    </row>
    <row r="55" spans="1:11" ht="14.4" customHeight="1" x14ac:dyDescent="0.3">
      <c r="A55" s="503" t="s">
        <v>440</v>
      </c>
      <c r="B55" s="504" t="s">
        <v>464</v>
      </c>
      <c r="C55" s="505" t="s">
        <v>451</v>
      </c>
      <c r="D55" s="506" t="s">
        <v>465</v>
      </c>
      <c r="E55" s="505" t="s">
        <v>603</v>
      </c>
      <c r="F55" s="506" t="s">
        <v>604</v>
      </c>
      <c r="G55" s="505" t="s">
        <v>580</v>
      </c>
      <c r="H55" s="505" t="s">
        <v>581</v>
      </c>
      <c r="I55" s="507">
        <v>32301</v>
      </c>
      <c r="J55" s="507">
        <v>1</v>
      </c>
      <c r="K55" s="508">
        <v>32301</v>
      </c>
    </row>
    <row r="56" spans="1:11" ht="14.4" customHeight="1" x14ac:dyDescent="0.3">
      <c r="A56" s="503" t="s">
        <v>440</v>
      </c>
      <c r="B56" s="504" t="s">
        <v>464</v>
      </c>
      <c r="C56" s="505" t="s">
        <v>451</v>
      </c>
      <c r="D56" s="506" t="s">
        <v>465</v>
      </c>
      <c r="E56" s="505" t="s">
        <v>603</v>
      </c>
      <c r="F56" s="506" t="s">
        <v>604</v>
      </c>
      <c r="G56" s="505" t="s">
        <v>582</v>
      </c>
      <c r="H56" s="505" t="s">
        <v>583</v>
      </c>
      <c r="I56" s="507">
        <v>3936.37</v>
      </c>
      <c r="J56" s="507">
        <v>1</v>
      </c>
      <c r="K56" s="508">
        <v>3936.37</v>
      </c>
    </row>
    <row r="57" spans="1:11" ht="14.4" customHeight="1" x14ac:dyDescent="0.3">
      <c r="A57" s="503" t="s">
        <v>440</v>
      </c>
      <c r="B57" s="504" t="s">
        <v>464</v>
      </c>
      <c r="C57" s="505" t="s">
        <v>451</v>
      </c>
      <c r="D57" s="506" t="s">
        <v>465</v>
      </c>
      <c r="E57" s="505" t="s">
        <v>603</v>
      </c>
      <c r="F57" s="506" t="s">
        <v>604</v>
      </c>
      <c r="G57" s="505" t="s">
        <v>584</v>
      </c>
      <c r="H57" s="505" t="s">
        <v>585</v>
      </c>
      <c r="I57" s="507">
        <v>15967.35</v>
      </c>
      <c r="J57" s="507">
        <v>1</v>
      </c>
      <c r="K57" s="508">
        <v>15967.35</v>
      </c>
    </row>
    <row r="58" spans="1:11" ht="14.4" customHeight="1" x14ac:dyDescent="0.3">
      <c r="A58" s="503" t="s">
        <v>440</v>
      </c>
      <c r="B58" s="504" t="s">
        <v>464</v>
      </c>
      <c r="C58" s="505" t="s">
        <v>451</v>
      </c>
      <c r="D58" s="506" t="s">
        <v>465</v>
      </c>
      <c r="E58" s="505" t="s">
        <v>603</v>
      </c>
      <c r="F58" s="506" t="s">
        <v>604</v>
      </c>
      <c r="G58" s="505" t="s">
        <v>586</v>
      </c>
      <c r="H58" s="505" t="s">
        <v>587</v>
      </c>
      <c r="I58" s="507">
        <v>15967.36</v>
      </c>
      <c r="J58" s="507">
        <v>1</v>
      </c>
      <c r="K58" s="508">
        <v>15967.36</v>
      </c>
    </row>
    <row r="59" spans="1:11" ht="14.4" customHeight="1" x14ac:dyDescent="0.3">
      <c r="A59" s="503" t="s">
        <v>440</v>
      </c>
      <c r="B59" s="504" t="s">
        <v>464</v>
      </c>
      <c r="C59" s="505" t="s">
        <v>451</v>
      </c>
      <c r="D59" s="506" t="s">
        <v>465</v>
      </c>
      <c r="E59" s="505" t="s">
        <v>603</v>
      </c>
      <c r="F59" s="506" t="s">
        <v>604</v>
      </c>
      <c r="G59" s="505" t="s">
        <v>588</v>
      </c>
      <c r="H59" s="505" t="s">
        <v>589</v>
      </c>
      <c r="I59" s="507">
        <v>1633.5</v>
      </c>
      <c r="J59" s="507">
        <v>1</v>
      </c>
      <c r="K59" s="508">
        <v>1633.5</v>
      </c>
    </row>
    <row r="60" spans="1:11" ht="14.4" customHeight="1" thickBot="1" x14ac:dyDescent="0.35">
      <c r="A60" s="491" t="s">
        <v>440</v>
      </c>
      <c r="B60" s="492" t="s">
        <v>464</v>
      </c>
      <c r="C60" s="495" t="s">
        <v>451</v>
      </c>
      <c r="D60" s="509" t="s">
        <v>465</v>
      </c>
      <c r="E60" s="495" t="s">
        <v>603</v>
      </c>
      <c r="F60" s="509" t="s">
        <v>604</v>
      </c>
      <c r="G60" s="495" t="s">
        <v>590</v>
      </c>
      <c r="H60" s="495" t="s">
        <v>591</v>
      </c>
      <c r="I60" s="510">
        <v>834.9</v>
      </c>
      <c r="J60" s="510">
        <v>1</v>
      </c>
      <c r="K60" s="511">
        <v>834.9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0" width="13.109375" hidden="1" customWidth="1"/>
    <col min="21" max="21" width="13.109375" customWidth="1"/>
    <col min="22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373" t="s">
        <v>107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</row>
    <row r="2" spans="1:34" ht="15" thickBot="1" x14ac:dyDescent="0.35">
      <c r="A2" s="224" t="s">
        <v>267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</row>
    <row r="3" spans="1:34" x14ac:dyDescent="0.3">
      <c r="A3" s="243" t="s">
        <v>192</v>
      </c>
      <c r="B3" s="374" t="s">
        <v>173</v>
      </c>
      <c r="C3" s="226">
        <v>0</v>
      </c>
      <c r="D3" s="227">
        <v>101</v>
      </c>
      <c r="E3" s="227">
        <v>102</v>
      </c>
      <c r="F3" s="246">
        <v>305</v>
      </c>
      <c r="G3" s="246">
        <v>306</v>
      </c>
      <c r="H3" s="246">
        <v>408</v>
      </c>
      <c r="I3" s="246">
        <v>409</v>
      </c>
      <c r="J3" s="246">
        <v>410</v>
      </c>
      <c r="K3" s="246">
        <v>415</v>
      </c>
      <c r="L3" s="246">
        <v>416</v>
      </c>
      <c r="M3" s="246">
        <v>418</v>
      </c>
      <c r="N3" s="246">
        <v>419</v>
      </c>
      <c r="O3" s="246">
        <v>420</v>
      </c>
      <c r="P3" s="246">
        <v>421</v>
      </c>
      <c r="Q3" s="246">
        <v>522</v>
      </c>
      <c r="R3" s="246">
        <v>523</v>
      </c>
      <c r="S3" s="246">
        <v>524</v>
      </c>
      <c r="T3" s="246">
        <v>525</v>
      </c>
      <c r="U3" s="246">
        <v>526</v>
      </c>
      <c r="V3" s="246">
        <v>527</v>
      </c>
      <c r="W3" s="246">
        <v>528</v>
      </c>
      <c r="X3" s="246">
        <v>629</v>
      </c>
      <c r="Y3" s="246">
        <v>630</v>
      </c>
      <c r="Z3" s="246">
        <v>636</v>
      </c>
      <c r="AA3" s="246">
        <v>637</v>
      </c>
      <c r="AB3" s="246">
        <v>640</v>
      </c>
      <c r="AC3" s="246">
        <v>642</v>
      </c>
      <c r="AD3" s="246">
        <v>743</v>
      </c>
      <c r="AE3" s="227">
        <v>745</v>
      </c>
      <c r="AF3" s="227">
        <v>746</v>
      </c>
      <c r="AG3" s="521">
        <v>930</v>
      </c>
      <c r="AH3" s="537"/>
    </row>
    <row r="4" spans="1:34" ht="36.6" outlineLevel="1" thickBot="1" x14ac:dyDescent="0.35">
      <c r="A4" s="244">
        <v>2015</v>
      </c>
      <c r="B4" s="375"/>
      <c r="C4" s="228" t="s">
        <v>174</v>
      </c>
      <c r="D4" s="229" t="s">
        <v>175</v>
      </c>
      <c r="E4" s="229" t="s">
        <v>176</v>
      </c>
      <c r="F4" s="247" t="s">
        <v>204</v>
      </c>
      <c r="G4" s="247" t="s">
        <v>205</v>
      </c>
      <c r="H4" s="247" t="s">
        <v>206</v>
      </c>
      <c r="I4" s="247" t="s">
        <v>207</v>
      </c>
      <c r="J4" s="247" t="s">
        <v>208</v>
      </c>
      <c r="K4" s="247" t="s">
        <v>209</v>
      </c>
      <c r="L4" s="247" t="s">
        <v>210</v>
      </c>
      <c r="M4" s="247" t="s">
        <v>211</v>
      </c>
      <c r="N4" s="247" t="s">
        <v>212</v>
      </c>
      <c r="O4" s="247" t="s">
        <v>213</v>
      </c>
      <c r="P4" s="247" t="s">
        <v>214</v>
      </c>
      <c r="Q4" s="247" t="s">
        <v>215</v>
      </c>
      <c r="R4" s="247" t="s">
        <v>216</v>
      </c>
      <c r="S4" s="247" t="s">
        <v>217</v>
      </c>
      <c r="T4" s="247" t="s">
        <v>218</v>
      </c>
      <c r="U4" s="247" t="s">
        <v>219</v>
      </c>
      <c r="V4" s="247" t="s">
        <v>220</v>
      </c>
      <c r="W4" s="247" t="s">
        <v>229</v>
      </c>
      <c r="X4" s="247" t="s">
        <v>221</v>
      </c>
      <c r="Y4" s="247" t="s">
        <v>230</v>
      </c>
      <c r="Z4" s="247" t="s">
        <v>222</v>
      </c>
      <c r="AA4" s="247" t="s">
        <v>223</v>
      </c>
      <c r="AB4" s="247" t="s">
        <v>224</v>
      </c>
      <c r="AC4" s="247" t="s">
        <v>225</v>
      </c>
      <c r="AD4" s="247" t="s">
        <v>226</v>
      </c>
      <c r="AE4" s="229" t="s">
        <v>227</v>
      </c>
      <c r="AF4" s="229" t="s">
        <v>228</v>
      </c>
      <c r="AG4" s="522" t="s">
        <v>194</v>
      </c>
      <c r="AH4" s="537"/>
    </row>
    <row r="5" spans="1:34" x14ac:dyDescent="0.3">
      <c r="A5" s="230" t="s">
        <v>177</v>
      </c>
      <c r="B5" s="266"/>
      <c r="C5" s="267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523"/>
      <c r="AH5" s="537"/>
    </row>
    <row r="6" spans="1:34" ht="15" collapsed="1" thickBot="1" x14ac:dyDescent="0.35">
      <c r="A6" s="231" t="s">
        <v>73</v>
      </c>
      <c r="B6" s="269">
        <f xml:space="preserve">
TRUNC(IF($A$4&lt;=12,SUMIFS('ON Data'!F:F,'ON Data'!$D:$D,$A$4,'ON Data'!$E:$E,1),SUMIFS('ON Data'!F:F,'ON Data'!$E:$E,1)/'ON Data'!$D$3),1)</f>
        <v>22.9</v>
      </c>
      <c r="C6" s="270">
        <f xml:space="preserve">
TRUNC(IF($A$4&lt;=12,SUMIFS('ON Data'!G:G,'ON Data'!$D:$D,$A$4,'ON Data'!$E:$E,1),SUMIFS('ON Data'!G:G,'ON Data'!$E:$E,1)/'ON Data'!$D$3),1)</f>
        <v>0</v>
      </c>
      <c r="D6" s="271">
        <f xml:space="preserve">
TRUNC(IF($A$4&lt;=12,SUMIFS('ON Data'!H:H,'ON Data'!$D:$D,$A$4,'ON Data'!$E:$E,1),SUMIFS('ON Data'!H:H,'ON Data'!$E:$E,1)/'ON Data'!$D$3),1)</f>
        <v>3</v>
      </c>
      <c r="E6" s="271">
        <f xml:space="preserve">
TRUNC(IF($A$4&lt;=12,SUMIFS('ON Data'!I:I,'ON Data'!$D:$D,$A$4,'ON Data'!$E:$E,1),SUMIFS('ON Data'!I:I,'ON Data'!$E:$E,1)/'ON Data'!$D$3),1)</f>
        <v>0</v>
      </c>
      <c r="F6" s="271">
        <f xml:space="preserve">
TRUNC(IF($A$4&lt;=12,SUMIFS('ON Data'!K:K,'ON Data'!$D:$D,$A$4,'ON Data'!$E:$E,1),SUMIFS('ON Data'!K:K,'ON Data'!$E:$E,1)/'ON Data'!$D$3),1)</f>
        <v>2.5</v>
      </c>
      <c r="G6" s="271">
        <f xml:space="preserve">
TRUNC(IF($A$4&lt;=12,SUMIFS('ON Data'!L:L,'ON Data'!$D:$D,$A$4,'ON Data'!$E:$E,1),SUMIFS('ON Data'!L:L,'ON Data'!$E:$E,1)/'ON Data'!$D$3),1)</f>
        <v>0</v>
      </c>
      <c r="H6" s="271">
        <f xml:space="preserve">
TRUNC(IF($A$4&lt;=12,SUMIFS('ON Data'!M:M,'ON Data'!$D:$D,$A$4,'ON Data'!$E:$E,1),SUMIFS('ON Data'!M:M,'ON Data'!$E:$E,1)/'ON Data'!$D$3),1)</f>
        <v>0</v>
      </c>
      <c r="I6" s="271">
        <f xml:space="preserve">
TRUNC(IF($A$4&lt;=12,SUMIFS('ON Data'!N:N,'ON Data'!$D:$D,$A$4,'ON Data'!$E:$E,1),SUMIFS('ON Data'!N:N,'ON Data'!$E:$E,1)/'ON Data'!$D$3),1)</f>
        <v>5.5</v>
      </c>
      <c r="J6" s="271">
        <f xml:space="preserve">
TRUNC(IF($A$4&lt;=12,SUMIFS('ON Data'!O:O,'ON Data'!$D:$D,$A$4,'ON Data'!$E:$E,1),SUMIFS('ON Data'!O:O,'ON Data'!$E:$E,1)/'ON Data'!$D$3),1)</f>
        <v>0</v>
      </c>
      <c r="K6" s="271">
        <f xml:space="preserve">
TRUNC(IF($A$4&lt;=12,SUMIFS('ON Data'!P:P,'ON Data'!$D:$D,$A$4,'ON Data'!$E:$E,1),SUMIFS('ON Data'!P:P,'ON Data'!$E:$E,1)/'ON Data'!$D$3),1)</f>
        <v>0</v>
      </c>
      <c r="L6" s="271">
        <f xml:space="preserve">
TRUNC(IF($A$4&lt;=12,SUMIFS('ON Data'!Q:Q,'ON Data'!$D:$D,$A$4,'ON Data'!$E:$E,1),SUMIFS('ON Data'!Q:Q,'ON Data'!$E:$E,1)/'ON Data'!$D$3),1)</f>
        <v>0</v>
      </c>
      <c r="M6" s="271">
        <f xml:space="preserve">
TRUNC(IF($A$4&lt;=12,SUMIFS('ON Data'!R:R,'ON Data'!$D:$D,$A$4,'ON Data'!$E:$E,1),SUMIFS('ON Data'!R:R,'ON Data'!$E:$E,1)/'ON Data'!$D$3),1)</f>
        <v>0</v>
      </c>
      <c r="N6" s="271">
        <f xml:space="preserve">
TRUNC(IF($A$4&lt;=12,SUMIFS('ON Data'!S:S,'ON Data'!$D:$D,$A$4,'ON Data'!$E:$E,1),SUMIFS('ON Data'!S:S,'ON Data'!$E:$E,1)/'ON Data'!$D$3),1)</f>
        <v>0</v>
      </c>
      <c r="O6" s="271">
        <f xml:space="preserve">
TRUNC(IF($A$4&lt;=12,SUMIFS('ON Data'!T:T,'ON Data'!$D:$D,$A$4,'ON Data'!$E:$E,1),SUMIFS('ON Data'!T:T,'ON Data'!$E:$E,1)/'ON Data'!$D$3),1)</f>
        <v>0</v>
      </c>
      <c r="P6" s="271">
        <f xml:space="preserve">
TRUNC(IF($A$4&lt;=12,SUMIFS('ON Data'!U:U,'ON Data'!$D:$D,$A$4,'ON Data'!$E:$E,1),SUMIFS('ON Data'!U:U,'ON Data'!$E:$E,1)/'ON Data'!$D$3),1)</f>
        <v>0</v>
      </c>
      <c r="Q6" s="271">
        <f xml:space="preserve">
TRUNC(IF($A$4&lt;=12,SUMIFS('ON Data'!V:V,'ON Data'!$D:$D,$A$4,'ON Data'!$E:$E,1),SUMIFS('ON Data'!V:V,'ON Data'!$E:$E,1)/'ON Data'!$D$3),1)</f>
        <v>0</v>
      </c>
      <c r="R6" s="271">
        <f xml:space="preserve">
TRUNC(IF($A$4&lt;=12,SUMIFS('ON Data'!W:W,'ON Data'!$D:$D,$A$4,'ON Data'!$E:$E,1),SUMIFS('ON Data'!W:W,'ON Data'!$E:$E,1)/'ON Data'!$D$3),1)</f>
        <v>0</v>
      </c>
      <c r="S6" s="271">
        <f xml:space="preserve">
TRUNC(IF($A$4&lt;=12,SUMIFS('ON Data'!X:X,'ON Data'!$D:$D,$A$4,'ON Data'!$E:$E,1),SUMIFS('ON Data'!X:X,'ON Data'!$E:$E,1)/'ON Data'!$D$3),1)</f>
        <v>0</v>
      </c>
      <c r="T6" s="271">
        <f xml:space="preserve">
TRUNC(IF($A$4&lt;=12,SUMIFS('ON Data'!Y:Y,'ON Data'!$D:$D,$A$4,'ON Data'!$E:$E,1),SUMIFS('ON Data'!Y:Y,'ON Data'!$E:$E,1)/'ON Data'!$D$3),1)</f>
        <v>0</v>
      </c>
      <c r="U6" s="271">
        <f xml:space="preserve">
TRUNC(IF($A$4&lt;=12,SUMIFS('ON Data'!Z:Z,'ON Data'!$D:$D,$A$4,'ON Data'!$E:$E,1),SUMIFS('ON Data'!Z:Z,'ON Data'!$E:$E,1)/'ON Data'!$D$3),1)</f>
        <v>8.6</v>
      </c>
      <c r="V6" s="271">
        <f xml:space="preserve">
TRUNC(IF($A$4&lt;=12,SUMIFS('ON Data'!AA:AA,'ON Data'!$D:$D,$A$4,'ON Data'!$E:$E,1),SUMIFS('ON Data'!AA:AA,'ON Data'!$E:$E,1)/'ON Data'!$D$3),1)</f>
        <v>0</v>
      </c>
      <c r="W6" s="271">
        <f xml:space="preserve">
TRUNC(IF($A$4&lt;=12,SUMIFS('ON Data'!AB:AB,'ON Data'!$D:$D,$A$4,'ON Data'!$E:$E,1),SUMIFS('ON Data'!AB:AB,'ON Data'!$E:$E,1)/'ON Data'!$D$3),1)</f>
        <v>0</v>
      </c>
      <c r="X6" s="271">
        <f xml:space="preserve">
TRUNC(IF($A$4&lt;=12,SUMIFS('ON Data'!AC:AC,'ON Data'!$D:$D,$A$4,'ON Data'!$E:$E,1),SUMIFS('ON Data'!AC:AC,'ON Data'!$E:$E,1)/'ON Data'!$D$3),1)</f>
        <v>0</v>
      </c>
      <c r="Y6" s="271">
        <f xml:space="preserve">
TRUNC(IF($A$4&lt;=12,SUMIFS('ON Data'!AD:AD,'ON Data'!$D:$D,$A$4,'ON Data'!$E:$E,1),SUMIFS('ON Data'!AD:AD,'ON Data'!$E:$E,1)/'ON Data'!$D$3),1)</f>
        <v>0</v>
      </c>
      <c r="Z6" s="271">
        <f xml:space="preserve">
TRUNC(IF($A$4&lt;=12,SUMIFS('ON Data'!AE:AE,'ON Data'!$D:$D,$A$4,'ON Data'!$E:$E,1),SUMIFS('ON Data'!AE:AE,'ON Data'!$E:$E,1)/'ON Data'!$D$3),1)</f>
        <v>0</v>
      </c>
      <c r="AA6" s="271">
        <f xml:space="preserve">
TRUNC(IF($A$4&lt;=12,SUMIFS('ON Data'!AF:AF,'ON Data'!$D:$D,$A$4,'ON Data'!$E:$E,1),SUMIFS('ON Data'!AF:AF,'ON Data'!$E:$E,1)/'ON Data'!$D$3),1)</f>
        <v>0</v>
      </c>
      <c r="AB6" s="271">
        <f xml:space="preserve">
TRUNC(IF($A$4&lt;=12,SUMIFS('ON Data'!AG:AG,'ON Data'!$D:$D,$A$4,'ON Data'!$E:$E,1),SUMIFS('ON Data'!AG:AG,'ON Data'!$E:$E,1)/'ON Data'!$D$3),1)</f>
        <v>0</v>
      </c>
      <c r="AC6" s="271">
        <f xml:space="preserve">
TRUNC(IF($A$4&lt;=12,SUMIFS('ON Data'!AH:AH,'ON Data'!$D:$D,$A$4,'ON Data'!$E:$E,1),SUMIFS('ON Data'!AH:AH,'ON Data'!$E:$E,1)/'ON Data'!$D$3),1)</f>
        <v>1.5</v>
      </c>
      <c r="AD6" s="271">
        <f xml:space="preserve">
TRUNC(IF($A$4&lt;=12,SUMIFS('ON Data'!AI:AI,'ON Data'!$D:$D,$A$4,'ON Data'!$E:$E,1),SUMIFS('ON Data'!AI:AI,'ON Data'!$E:$E,1)/'ON Data'!$D$3),1)</f>
        <v>0</v>
      </c>
      <c r="AE6" s="271">
        <f xml:space="preserve">
TRUNC(IF($A$4&lt;=12,SUMIFS('ON Data'!AJ:AJ,'ON Data'!$D:$D,$A$4,'ON Data'!$E:$E,1),SUMIFS('ON Data'!AJ:AJ,'ON Data'!$E:$E,1)/'ON Data'!$D$3),1)</f>
        <v>0</v>
      </c>
      <c r="AF6" s="271">
        <f xml:space="preserve">
TRUNC(IF($A$4&lt;=12,SUMIFS('ON Data'!AK:AK,'ON Data'!$D:$D,$A$4,'ON Data'!$E:$E,1),SUMIFS('ON Data'!AK:AK,'ON Data'!$E:$E,1)/'ON Data'!$D$3),1)</f>
        <v>0</v>
      </c>
      <c r="AG6" s="524">
        <f xml:space="preserve">
TRUNC(IF($A$4&lt;=12,SUMIFS('ON Data'!AM:AM,'ON Data'!$D:$D,$A$4,'ON Data'!$E:$E,1),SUMIFS('ON Data'!AM:AM,'ON Data'!$E:$E,1)/'ON Data'!$D$3),1)</f>
        <v>1.8</v>
      </c>
      <c r="AH6" s="537"/>
    </row>
    <row r="7" spans="1:34" ht="15" hidden="1" outlineLevel="1" thickBot="1" x14ac:dyDescent="0.35">
      <c r="A7" s="231" t="s">
        <v>108</v>
      </c>
      <c r="B7" s="269"/>
      <c r="C7" s="272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524"/>
      <c r="AH7" s="537"/>
    </row>
    <row r="8" spans="1:34" ht="15" hidden="1" outlineLevel="1" thickBot="1" x14ac:dyDescent="0.35">
      <c r="A8" s="231" t="s">
        <v>75</v>
      </c>
      <c r="B8" s="269"/>
      <c r="C8" s="272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524"/>
      <c r="AH8" s="537"/>
    </row>
    <row r="9" spans="1:34" ht="15" hidden="1" outlineLevel="1" thickBot="1" x14ac:dyDescent="0.35">
      <c r="A9" s="232" t="s">
        <v>68</v>
      </c>
      <c r="B9" s="273"/>
      <c r="C9" s="274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525"/>
      <c r="AH9" s="537"/>
    </row>
    <row r="10" spans="1:34" x14ac:dyDescent="0.3">
      <c r="A10" s="233" t="s">
        <v>178</v>
      </c>
      <c r="B10" s="248"/>
      <c r="C10" s="249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526"/>
      <c r="AH10" s="537"/>
    </row>
    <row r="11" spans="1:34" x14ac:dyDescent="0.3">
      <c r="A11" s="234" t="s">
        <v>179</v>
      </c>
      <c r="B11" s="251">
        <f xml:space="preserve">
IF($A$4&lt;=12,SUMIFS('ON Data'!F:F,'ON Data'!$D:$D,$A$4,'ON Data'!$E:$E,2),SUMIFS('ON Data'!F:F,'ON Data'!$E:$E,2))</f>
        <v>6689.68</v>
      </c>
      <c r="C11" s="252">
        <f xml:space="preserve">
IF($A$4&lt;=12,SUMIFS('ON Data'!G:G,'ON Data'!$D:$D,$A$4,'ON Data'!$E:$E,2),SUMIFS('ON Data'!G:G,'ON Data'!$E:$E,2))</f>
        <v>0</v>
      </c>
      <c r="D11" s="253">
        <f xml:space="preserve">
IF($A$4&lt;=12,SUMIFS('ON Data'!H:H,'ON Data'!$D:$D,$A$4,'ON Data'!$E:$E,2),SUMIFS('ON Data'!H:H,'ON Data'!$E:$E,2))</f>
        <v>948.8</v>
      </c>
      <c r="E11" s="253">
        <f xml:space="preserve">
IF($A$4&lt;=12,SUMIFS('ON Data'!I:I,'ON Data'!$D:$D,$A$4,'ON Data'!$E:$E,2),SUMIFS('ON Data'!I:I,'ON Data'!$E:$E,2))</f>
        <v>0</v>
      </c>
      <c r="F11" s="253">
        <f xml:space="preserve">
IF($A$4&lt;=12,SUMIFS('ON Data'!K:K,'ON Data'!$D:$D,$A$4,'ON Data'!$E:$E,2),SUMIFS('ON Data'!K:K,'ON Data'!$E:$E,2))</f>
        <v>744</v>
      </c>
      <c r="G11" s="253">
        <f xml:space="preserve">
IF($A$4&lt;=12,SUMIFS('ON Data'!L:L,'ON Data'!$D:$D,$A$4,'ON Data'!$E:$E,2),SUMIFS('ON Data'!L:L,'ON Data'!$E:$E,2))</f>
        <v>0</v>
      </c>
      <c r="H11" s="253">
        <f xml:space="preserve">
IF($A$4&lt;=12,SUMIFS('ON Data'!M:M,'ON Data'!$D:$D,$A$4,'ON Data'!$E:$E,2),SUMIFS('ON Data'!M:M,'ON Data'!$E:$E,2))</f>
        <v>0</v>
      </c>
      <c r="I11" s="253">
        <f xml:space="preserve">
IF($A$4&lt;=12,SUMIFS('ON Data'!N:N,'ON Data'!$D:$D,$A$4,'ON Data'!$E:$E,2),SUMIFS('ON Data'!N:N,'ON Data'!$E:$E,2))</f>
        <v>1716</v>
      </c>
      <c r="J11" s="253">
        <f xml:space="preserve">
IF($A$4&lt;=12,SUMIFS('ON Data'!O:O,'ON Data'!$D:$D,$A$4,'ON Data'!$E:$E,2),SUMIFS('ON Data'!O:O,'ON Data'!$E:$E,2))</f>
        <v>0</v>
      </c>
      <c r="K11" s="253">
        <f xml:space="preserve">
IF($A$4&lt;=12,SUMIFS('ON Data'!P:P,'ON Data'!$D:$D,$A$4,'ON Data'!$E:$E,2),SUMIFS('ON Data'!P:P,'ON Data'!$E:$E,2))</f>
        <v>0</v>
      </c>
      <c r="L11" s="253">
        <f xml:space="preserve">
IF($A$4&lt;=12,SUMIFS('ON Data'!Q:Q,'ON Data'!$D:$D,$A$4,'ON Data'!$E:$E,2),SUMIFS('ON Data'!Q:Q,'ON Data'!$E:$E,2))</f>
        <v>0</v>
      </c>
      <c r="M11" s="253">
        <f xml:space="preserve">
IF($A$4&lt;=12,SUMIFS('ON Data'!R:R,'ON Data'!$D:$D,$A$4,'ON Data'!$E:$E,2),SUMIFS('ON Data'!R:R,'ON Data'!$E:$E,2))</f>
        <v>0</v>
      </c>
      <c r="N11" s="253">
        <f xml:space="preserve">
IF($A$4&lt;=12,SUMIFS('ON Data'!S:S,'ON Data'!$D:$D,$A$4,'ON Data'!$E:$E,2),SUMIFS('ON Data'!S:S,'ON Data'!$E:$E,2))</f>
        <v>0</v>
      </c>
      <c r="O11" s="253">
        <f xml:space="preserve">
IF($A$4&lt;=12,SUMIFS('ON Data'!T:T,'ON Data'!$D:$D,$A$4,'ON Data'!$E:$E,2),SUMIFS('ON Data'!T:T,'ON Data'!$E:$E,2))</f>
        <v>0</v>
      </c>
      <c r="P11" s="253">
        <f xml:space="preserve">
IF($A$4&lt;=12,SUMIFS('ON Data'!U:U,'ON Data'!$D:$D,$A$4,'ON Data'!$E:$E,2),SUMIFS('ON Data'!U:U,'ON Data'!$E:$E,2))</f>
        <v>0</v>
      </c>
      <c r="Q11" s="253">
        <f xml:space="preserve">
IF($A$4&lt;=12,SUMIFS('ON Data'!V:V,'ON Data'!$D:$D,$A$4,'ON Data'!$E:$E,2),SUMIFS('ON Data'!V:V,'ON Data'!$E:$E,2))</f>
        <v>0</v>
      </c>
      <c r="R11" s="253">
        <f xml:space="preserve">
IF($A$4&lt;=12,SUMIFS('ON Data'!W:W,'ON Data'!$D:$D,$A$4,'ON Data'!$E:$E,2),SUMIFS('ON Data'!W:W,'ON Data'!$E:$E,2))</f>
        <v>0</v>
      </c>
      <c r="S11" s="253">
        <f xml:space="preserve">
IF($A$4&lt;=12,SUMIFS('ON Data'!X:X,'ON Data'!$D:$D,$A$4,'ON Data'!$E:$E,2),SUMIFS('ON Data'!X:X,'ON Data'!$E:$E,2))</f>
        <v>0</v>
      </c>
      <c r="T11" s="253">
        <f xml:space="preserve">
IF($A$4&lt;=12,SUMIFS('ON Data'!Y:Y,'ON Data'!$D:$D,$A$4,'ON Data'!$E:$E,2),SUMIFS('ON Data'!Y:Y,'ON Data'!$E:$E,2))</f>
        <v>0</v>
      </c>
      <c r="U11" s="253">
        <f xml:space="preserve">
IF($A$4&lt;=12,SUMIFS('ON Data'!Z:Z,'ON Data'!$D:$D,$A$4,'ON Data'!$E:$E,2),SUMIFS('ON Data'!Z:Z,'ON Data'!$E:$E,2))</f>
        <v>2608.08</v>
      </c>
      <c r="V11" s="253">
        <f xml:space="preserve">
IF($A$4&lt;=12,SUMIFS('ON Data'!AA:AA,'ON Data'!$D:$D,$A$4,'ON Data'!$E:$E,2),SUMIFS('ON Data'!AA:AA,'ON Data'!$E:$E,2))</f>
        <v>0</v>
      </c>
      <c r="W11" s="253">
        <f xml:space="preserve">
IF($A$4&lt;=12,SUMIFS('ON Data'!AB:AB,'ON Data'!$D:$D,$A$4,'ON Data'!$E:$E,2),SUMIFS('ON Data'!AB:AB,'ON Data'!$E:$E,2))</f>
        <v>0</v>
      </c>
      <c r="X11" s="253">
        <f xml:space="preserve">
IF($A$4&lt;=12,SUMIFS('ON Data'!AC:AC,'ON Data'!$D:$D,$A$4,'ON Data'!$E:$E,2),SUMIFS('ON Data'!AC:AC,'ON Data'!$E:$E,2))</f>
        <v>0</v>
      </c>
      <c r="Y11" s="253">
        <f xml:space="preserve">
IF($A$4&lt;=12,SUMIFS('ON Data'!AD:AD,'ON Data'!$D:$D,$A$4,'ON Data'!$E:$E,2),SUMIFS('ON Data'!AD:AD,'ON Data'!$E:$E,2))</f>
        <v>0</v>
      </c>
      <c r="Z11" s="253">
        <f xml:space="preserve">
IF($A$4&lt;=12,SUMIFS('ON Data'!AE:AE,'ON Data'!$D:$D,$A$4,'ON Data'!$E:$E,2),SUMIFS('ON Data'!AE:AE,'ON Data'!$E:$E,2))</f>
        <v>0</v>
      </c>
      <c r="AA11" s="253">
        <f xml:space="preserve">
IF($A$4&lt;=12,SUMIFS('ON Data'!AF:AF,'ON Data'!$D:$D,$A$4,'ON Data'!$E:$E,2),SUMIFS('ON Data'!AF:AF,'ON Data'!$E:$E,2))</f>
        <v>0</v>
      </c>
      <c r="AB11" s="253">
        <f xml:space="preserve">
IF($A$4&lt;=12,SUMIFS('ON Data'!AG:AG,'ON Data'!$D:$D,$A$4,'ON Data'!$E:$E,2),SUMIFS('ON Data'!AG:AG,'ON Data'!$E:$E,2))</f>
        <v>0</v>
      </c>
      <c r="AC11" s="253">
        <f xml:space="preserve">
IF($A$4&lt;=12,SUMIFS('ON Data'!AH:AH,'ON Data'!$D:$D,$A$4,'ON Data'!$E:$E,2),SUMIFS('ON Data'!AH:AH,'ON Data'!$E:$E,2))</f>
        <v>80</v>
      </c>
      <c r="AD11" s="253">
        <f xml:space="preserve">
IF($A$4&lt;=12,SUMIFS('ON Data'!AI:AI,'ON Data'!$D:$D,$A$4,'ON Data'!$E:$E,2),SUMIFS('ON Data'!AI:AI,'ON Data'!$E:$E,2))</f>
        <v>0</v>
      </c>
      <c r="AE11" s="253">
        <f xml:space="preserve">
IF($A$4&lt;=12,SUMIFS('ON Data'!AJ:AJ,'ON Data'!$D:$D,$A$4,'ON Data'!$E:$E,2),SUMIFS('ON Data'!AJ:AJ,'ON Data'!$E:$E,2))</f>
        <v>0</v>
      </c>
      <c r="AF11" s="253">
        <f xml:space="preserve">
IF($A$4&lt;=12,SUMIFS('ON Data'!AK:AK,'ON Data'!$D:$D,$A$4,'ON Data'!$E:$E,2),SUMIFS('ON Data'!AK:AK,'ON Data'!$E:$E,2))</f>
        <v>0</v>
      </c>
      <c r="AG11" s="527">
        <f xml:space="preserve">
IF($A$4&lt;=12,SUMIFS('ON Data'!AM:AM,'ON Data'!$D:$D,$A$4,'ON Data'!$E:$E,2),SUMIFS('ON Data'!AM:AM,'ON Data'!$E:$E,2))</f>
        <v>592.79999999999995</v>
      </c>
      <c r="AH11" s="537"/>
    </row>
    <row r="12" spans="1:34" x14ac:dyDescent="0.3">
      <c r="A12" s="234" t="s">
        <v>180</v>
      </c>
      <c r="B12" s="251">
        <f xml:space="preserve">
IF($A$4&lt;=12,SUMIFS('ON Data'!F:F,'ON Data'!$D:$D,$A$4,'ON Data'!$E:$E,3),SUMIFS('ON Data'!F:F,'ON Data'!$E:$E,3))</f>
        <v>74</v>
      </c>
      <c r="C12" s="252">
        <f xml:space="preserve">
IF($A$4&lt;=12,SUMIFS('ON Data'!G:G,'ON Data'!$D:$D,$A$4,'ON Data'!$E:$E,3),SUMIFS('ON Data'!G:G,'ON Data'!$E:$E,3))</f>
        <v>0</v>
      </c>
      <c r="D12" s="253">
        <f xml:space="preserve">
IF($A$4&lt;=12,SUMIFS('ON Data'!H:H,'ON Data'!$D:$D,$A$4,'ON Data'!$E:$E,3),SUMIFS('ON Data'!H:H,'ON Data'!$E:$E,3))</f>
        <v>40</v>
      </c>
      <c r="E12" s="253">
        <f xml:space="preserve">
IF($A$4&lt;=12,SUMIFS('ON Data'!I:I,'ON Data'!$D:$D,$A$4,'ON Data'!$E:$E,3),SUMIFS('ON Data'!I:I,'ON Data'!$E:$E,3))</f>
        <v>0</v>
      </c>
      <c r="F12" s="253">
        <f xml:space="preserve">
IF($A$4&lt;=12,SUMIFS('ON Data'!K:K,'ON Data'!$D:$D,$A$4,'ON Data'!$E:$E,3),SUMIFS('ON Data'!K:K,'ON Data'!$E:$E,3))</f>
        <v>26</v>
      </c>
      <c r="G12" s="253">
        <f xml:space="preserve">
IF($A$4&lt;=12,SUMIFS('ON Data'!L:L,'ON Data'!$D:$D,$A$4,'ON Data'!$E:$E,3),SUMIFS('ON Data'!L:L,'ON Data'!$E:$E,3))</f>
        <v>0</v>
      </c>
      <c r="H12" s="253">
        <f xml:space="preserve">
IF($A$4&lt;=12,SUMIFS('ON Data'!M:M,'ON Data'!$D:$D,$A$4,'ON Data'!$E:$E,3),SUMIFS('ON Data'!M:M,'ON Data'!$E:$E,3))</f>
        <v>0</v>
      </c>
      <c r="I12" s="253">
        <f xml:space="preserve">
IF($A$4&lt;=12,SUMIFS('ON Data'!N:N,'ON Data'!$D:$D,$A$4,'ON Data'!$E:$E,3),SUMIFS('ON Data'!N:N,'ON Data'!$E:$E,3))</f>
        <v>8</v>
      </c>
      <c r="J12" s="253">
        <f xml:space="preserve">
IF($A$4&lt;=12,SUMIFS('ON Data'!O:O,'ON Data'!$D:$D,$A$4,'ON Data'!$E:$E,3),SUMIFS('ON Data'!O:O,'ON Data'!$E:$E,3))</f>
        <v>0</v>
      </c>
      <c r="K12" s="253">
        <f xml:space="preserve">
IF($A$4&lt;=12,SUMIFS('ON Data'!P:P,'ON Data'!$D:$D,$A$4,'ON Data'!$E:$E,3),SUMIFS('ON Data'!P:P,'ON Data'!$E:$E,3))</f>
        <v>0</v>
      </c>
      <c r="L12" s="253">
        <f xml:space="preserve">
IF($A$4&lt;=12,SUMIFS('ON Data'!Q:Q,'ON Data'!$D:$D,$A$4,'ON Data'!$E:$E,3),SUMIFS('ON Data'!Q:Q,'ON Data'!$E:$E,3))</f>
        <v>0</v>
      </c>
      <c r="M12" s="253">
        <f xml:space="preserve">
IF($A$4&lt;=12,SUMIFS('ON Data'!R:R,'ON Data'!$D:$D,$A$4,'ON Data'!$E:$E,3),SUMIFS('ON Data'!R:R,'ON Data'!$E:$E,3))</f>
        <v>0</v>
      </c>
      <c r="N12" s="253">
        <f xml:space="preserve">
IF($A$4&lt;=12,SUMIFS('ON Data'!S:S,'ON Data'!$D:$D,$A$4,'ON Data'!$E:$E,3),SUMIFS('ON Data'!S:S,'ON Data'!$E:$E,3))</f>
        <v>0</v>
      </c>
      <c r="O12" s="253">
        <f xml:space="preserve">
IF($A$4&lt;=12,SUMIFS('ON Data'!T:T,'ON Data'!$D:$D,$A$4,'ON Data'!$E:$E,3),SUMIFS('ON Data'!T:T,'ON Data'!$E:$E,3))</f>
        <v>0</v>
      </c>
      <c r="P12" s="253">
        <f xml:space="preserve">
IF($A$4&lt;=12,SUMIFS('ON Data'!U:U,'ON Data'!$D:$D,$A$4,'ON Data'!$E:$E,3),SUMIFS('ON Data'!U:U,'ON Data'!$E:$E,3))</f>
        <v>0</v>
      </c>
      <c r="Q12" s="253">
        <f xml:space="preserve">
IF($A$4&lt;=12,SUMIFS('ON Data'!V:V,'ON Data'!$D:$D,$A$4,'ON Data'!$E:$E,3),SUMIFS('ON Data'!V:V,'ON Data'!$E:$E,3))</f>
        <v>0</v>
      </c>
      <c r="R12" s="253">
        <f xml:space="preserve">
IF($A$4&lt;=12,SUMIFS('ON Data'!W:W,'ON Data'!$D:$D,$A$4,'ON Data'!$E:$E,3),SUMIFS('ON Data'!W:W,'ON Data'!$E:$E,3))</f>
        <v>0</v>
      </c>
      <c r="S12" s="253">
        <f xml:space="preserve">
IF($A$4&lt;=12,SUMIFS('ON Data'!X:X,'ON Data'!$D:$D,$A$4,'ON Data'!$E:$E,3),SUMIFS('ON Data'!X:X,'ON Data'!$E:$E,3))</f>
        <v>0</v>
      </c>
      <c r="T12" s="253">
        <f xml:space="preserve">
IF($A$4&lt;=12,SUMIFS('ON Data'!Y:Y,'ON Data'!$D:$D,$A$4,'ON Data'!$E:$E,3),SUMIFS('ON Data'!Y:Y,'ON Data'!$E:$E,3))</f>
        <v>0</v>
      </c>
      <c r="U12" s="253">
        <f xml:space="preserve">
IF($A$4&lt;=12,SUMIFS('ON Data'!Z:Z,'ON Data'!$D:$D,$A$4,'ON Data'!$E:$E,3),SUMIFS('ON Data'!Z:Z,'ON Data'!$E:$E,3))</f>
        <v>0</v>
      </c>
      <c r="V12" s="253">
        <f xml:space="preserve">
IF($A$4&lt;=12,SUMIFS('ON Data'!AA:AA,'ON Data'!$D:$D,$A$4,'ON Data'!$E:$E,3),SUMIFS('ON Data'!AA:AA,'ON Data'!$E:$E,3))</f>
        <v>0</v>
      </c>
      <c r="W12" s="253">
        <f xml:space="preserve">
IF($A$4&lt;=12,SUMIFS('ON Data'!AB:AB,'ON Data'!$D:$D,$A$4,'ON Data'!$E:$E,3),SUMIFS('ON Data'!AB:AB,'ON Data'!$E:$E,3))</f>
        <v>0</v>
      </c>
      <c r="X12" s="253">
        <f xml:space="preserve">
IF($A$4&lt;=12,SUMIFS('ON Data'!AC:AC,'ON Data'!$D:$D,$A$4,'ON Data'!$E:$E,3),SUMIFS('ON Data'!AC:AC,'ON Data'!$E:$E,3))</f>
        <v>0</v>
      </c>
      <c r="Y12" s="253">
        <f xml:space="preserve">
IF($A$4&lt;=12,SUMIFS('ON Data'!AD:AD,'ON Data'!$D:$D,$A$4,'ON Data'!$E:$E,3),SUMIFS('ON Data'!AD:AD,'ON Data'!$E:$E,3))</f>
        <v>0</v>
      </c>
      <c r="Z12" s="253">
        <f xml:space="preserve">
IF($A$4&lt;=12,SUMIFS('ON Data'!AE:AE,'ON Data'!$D:$D,$A$4,'ON Data'!$E:$E,3),SUMIFS('ON Data'!AE:AE,'ON Data'!$E:$E,3))</f>
        <v>0</v>
      </c>
      <c r="AA12" s="253">
        <f xml:space="preserve">
IF($A$4&lt;=12,SUMIFS('ON Data'!AF:AF,'ON Data'!$D:$D,$A$4,'ON Data'!$E:$E,3),SUMIFS('ON Data'!AF:AF,'ON Data'!$E:$E,3))</f>
        <v>0</v>
      </c>
      <c r="AB12" s="253">
        <f xml:space="preserve">
IF($A$4&lt;=12,SUMIFS('ON Data'!AG:AG,'ON Data'!$D:$D,$A$4,'ON Data'!$E:$E,3),SUMIFS('ON Data'!AG:AG,'ON Data'!$E:$E,3))</f>
        <v>0</v>
      </c>
      <c r="AC12" s="253">
        <f xml:space="preserve">
IF($A$4&lt;=12,SUMIFS('ON Data'!AH:AH,'ON Data'!$D:$D,$A$4,'ON Data'!$E:$E,3),SUMIFS('ON Data'!AH:AH,'ON Data'!$E:$E,3))</f>
        <v>0</v>
      </c>
      <c r="AD12" s="253">
        <f xml:space="preserve">
IF($A$4&lt;=12,SUMIFS('ON Data'!AI:AI,'ON Data'!$D:$D,$A$4,'ON Data'!$E:$E,3),SUMIFS('ON Data'!AI:AI,'ON Data'!$E:$E,3))</f>
        <v>0</v>
      </c>
      <c r="AE12" s="253">
        <f xml:space="preserve">
IF($A$4&lt;=12,SUMIFS('ON Data'!AJ:AJ,'ON Data'!$D:$D,$A$4,'ON Data'!$E:$E,3),SUMIFS('ON Data'!AJ:AJ,'ON Data'!$E:$E,3))</f>
        <v>0</v>
      </c>
      <c r="AF12" s="253">
        <f xml:space="preserve">
IF($A$4&lt;=12,SUMIFS('ON Data'!AK:AK,'ON Data'!$D:$D,$A$4,'ON Data'!$E:$E,3),SUMIFS('ON Data'!AK:AK,'ON Data'!$E:$E,3))</f>
        <v>0</v>
      </c>
      <c r="AG12" s="527">
        <f xml:space="preserve">
IF($A$4&lt;=12,SUMIFS('ON Data'!AM:AM,'ON Data'!$D:$D,$A$4,'ON Data'!$E:$E,3),SUMIFS('ON Data'!AM:AM,'ON Data'!$E:$E,3))</f>
        <v>0</v>
      </c>
      <c r="AH12" s="537"/>
    </row>
    <row r="13" spans="1:34" x14ac:dyDescent="0.3">
      <c r="A13" s="234" t="s">
        <v>187</v>
      </c>
      <c r="B13" s="251">
        <f xml:space="preserve">
IF($A$4&lt;=12,SUMIFS('ON Data'!F:F,'ON Data'!$D:$D,$A$4,'ON Data'!$E:$E,4),SUMIFS('ON Data'!F:F,'ON Data'!$E:$E,4))</f>
        <v>10</v>
      </c>
      <c r="C13" s="252">
        <f xml:space="preserve">
IF($A$4&lt;=12,SUMIFS('ON Data'!G:G,'ON Data'!$D:$D,$A$4,'ON Data'!$E:$E,4),SUMIFS('ON Data'!G:G,'ON Data'!$E:$E,4))</f>
        <v>0</v>
      </c>
      <c r="D13" s="253">
        <f xml:space="preserve">
IF($A$4&lt;=12,SUMIFS('ON Data'!H:H,'ON Data'!$D:$D,$A$4,'ON Data'!$E:$E,4),SUMIFS('ON Data'!H:H,'ON Data'!$E:$E,4))</f>
        <v>0</v>
      </c>
      <c r="E13" s="253">
        <f xml:space="preserve">
IF($A$4&lt;=12,SUMIFS('ON Data'!I:I,'ON Data'!$D:$D,$A$4,'ON Data'!$E:$E,4),SUMIFS('ON Data'!I:I,'ON Data'!$E:$E,4))</f>
        <v>0</v>
      </c>
      <c r="F13" s="253">
        <f xml:space="preserve">
IF($A$4&lt;=12,SUMIFS('ON Data'!K:K,'ON Data'!$D:$D,$A$4,'ON Data'!$E:$E,4),SUMIFS('ON Data'!K:K,'ON Data'!$E:$E,4))</f>
        <v>10</v>
      </c>
      <c r="G13" s="253">
        <f xml:space="preserve">
IF($A$4&lt;=12,SUMIFS('ON Data'!L:L,'ON Data'!$D:$D,$A$4,'ON Data'!$E:$E,4),SUMIFS('ON Data'!L:L,'ON Data'!$E:$E,4))</f>
        <v>0</v>
      </c>
      <c r="H13" s="253">
        <f xml:space="preserve">
IF($A$4&lt;=12,SUMIFS('ON Data'!M:M,'ON Data'!$D:$D,$A$4,'ON Data'!$E:$E,4),SUMIFS('ON Data'!M:M,'ON Data'!$E:$E,4))</f>
        <v>0</v>
      </c>
      <c r="I13" s="253">
        <f xml:space="preserve">
IF($A$4&lt;=12,SUMIFS('ON Data'!N:N,'ON Data'!$D:$D,$A$4,'ON Data'!$E:$E,4),SUMIFS('ON Data'!N:N,'ON Data'!$E:$E,4))</f>
        <v>0</v>
      </c>
      <c r="J13" s="253">
        <f xml:space="preserve">
IF($A$4&lt;=12,SUMIFS('ON Data'!O:O,'ON Data'!$D:$D,$A$4,'ON Data'!$E:$E,4),SUMIFS('ON Data'!O:O,'ON Data'!$E:$E,4))</f>
        <v>0</v>
      </c>
      <c r="K13" s="253">
        <f xml:space="preserve">
IF($A$4&lt;=12,SUMIFS('ON Data'!P:P,'ON Data'!$D:$D,$A$4,'ON Data'!$E:$E,4),SUMIFS('ON Data'!P:P,'ON Data'!$E:$E,4))</f>
        <v>0</v>
      </c>
      <c r="L13" s="253">
        <f xml:space="preserve">
IF($A$4&lt;=12,SUMIFS('ON Data'!Q:Q,'ON Data'!$D:$D,$A$4,'ON Data'!$E:$E,4),SUMIFS('ON Data'!Q:Q,'ON Data'!$E:$E,4))</f>
        <v>0</v>
      </c>
      <c r="M13" s="253">
        <f xml:space="preserve">
IF($A$4&lt;=12,SUMIFS('ON Data'!R:R,'ON Data'!$D:$D,$A$4,'ON Data'!$E:$E,4),SUMIFS('ON Data'!R:R,'ON Data'!$E:$E,4))</f>
        <v>0</v>
      </c>
      <c r="N13" s="253">
        <f xml:space="preserve">
IF($A$4&lt;=12,SUMIFS('ON Data'!S:S,'ON Data'!$D:$D,$A$4,'ON Data'!$E:$E,4),SUMIFS('ON Data'!S:S,'ON Data'!$E:$E,4))</f>
        <v>0</v>
      </c>
      <c r="O13" s="253">
        <f xml:space="preserve">
IF($A$4&lt;=12,SUMIFS('ON Data'!T:T,'ON Data'!$D:$D,$A$4,'ON Data'!$E:$E,4),SUMIFS('ON Data'!T:T,'ON Data'!$E:$E,4))</f>
        <v>0</v>
      </c>
      <c r="P13" s="253">
        <f xml:space="preserve">
IF($A$4&lt;=12,SUMIFS('ON Data'!U:U,'ON Data'!$D:$D,$A$4,'ON Data'!$E:$E,4),SUMIFS('ON Data'!U:U,'ON Data'!$E:$E,4))</f>
        <v>0</v>
      </c>
      <c r="Q13" s="253">
        <f xml:space="preserve">
IF($A$4&lt;=12,SUMIFS('ON Data'!V:V,'ON Data'!$D:$D,$A$4,'ON Data'!$E:$E,4),SUMIFS('ON Data'!V:V,'ON Data'!$E:$E,4))</f>
        <v>0</v>
      </c>
      <c r="R13" s="253">
        <f xml:space="preserve">
IF($A$4&lt;=12,SUMIFS('ON Data'!W:W,'ON Data'!$D:$D,$A$4,'ON Data'!$E:$E,4),SUMIFS('ON Data'!W:W,'ON Data'!$E:$E,4))</f>
        <v>0</v>
      </c>
      <c r="S13" s="253">
        <f xml:space="preserve">
IF($A$4&lt;=12,SUMIFS('ON Data'!X:X,'ON Data'!$D:$D,$A$4,'ON Data'!$E:$E,4),SUMIFS('ON Data'!X:X,'ON Data'!$E:$E,4))</f>
        <v>0</v>
      </c>
      <c r="T13" s="253">
        <f xml:space="preserve">
IF($A$4&lt;=12,SUMIFS('ON Data'!Y:Y,'ON Data'!$D:$D,$A$4,'ON Data'!$E:$E,4),SUMIFS('ON Data'!Y:Y,'ON Data'!$E:$E,4))</f>
        <v>0</v>
      </c>
      <c r="U13" s="253">
        <f xml:space="preserve">
IF($A$4&lt;=12,SUMIFS('ON Data'!Z:Z,'ON Data'!$D:$D,$A$4,'ON Data'!$E:$E,4),SUMIFS('ON Data'!Z:Z,'ON Data'!$E:$E,4))</f>
        <v>0</v>
      </c>
      <c r="V13" s="253">
        <f xml:space="preserve">
IF($A$4&lt;=12,SUMIFS('ON Data'!AA:AA,'ON Data'!$D:$D,$A$4,'ON Data'!$E:$E,4),SUMIFS('ON Data'!AA:AA,'ON Data'!$E:$E,4))</f>
        <v>0</v>
      </c>
      <c r="W13" s="253">
        <f xml:space="preserve">
IF($A$4&lt;=12,SUMIFS('ON Data'!AB:AB,'ON Data'!$D:$D,$A$4,'ON Data'!$E:$E,4),SUMIFS('ON Data'!AB:AB,'ON Data'!$E:$E,4))</f>
        <v>0</v>
      </c>
      <c r="X13" s="253">
        <f xml:space="preserve">
IF($A$4&lt;=12,SUMIFS('ON Data'!AC:AC,'ON Data'!$D:$D,$A$4,'ON Data'!$E:$E,4),SUMIFS('ON Data'!AC:AC,'ON Data'!$E:$E,4))</f>
        <v>0</v>
      </c>
      <c r="Y13" s="253">
        <f xml:space="preserve">
IF($A$4&lt;=12,SUMIFS('ON Data'!AD:AD,'ON Data'!$D:$D,$A$4,'ON Data'!$E:$E,4),SUMIFS('ON Data'!AD:AD,'ON Data'!$E:$E,4))</f>
        <v>0</v>
      </c>
      <c r="Z13" s="253">
        <f xml:space="preserve">
IF($A$4&lt;=12,SUMIFS('ON Data'!AE:AE,'ON Data'!$D:$D,$A$4,'ON Data'!$E:$E,4),SUMIFS('ON Data'!AE:AE,'ON Data'!$E:$E,4))</f>
        <v>0</v>
      </c>
      <c r="AA13" s="253">
        <f xml:space="preserve">
IF($A$4&lt;=12,SUMIFS('ON Data'!AF:AF,'ON Data'!$D:$D,$A$4,'ON Data'!$E:$E,4),SUMIFS('ON Data'!AF:AF,'ON Data'!$E:$E,4))</f>
        <v>0</v>
      </c>
      <c r="AB13" s="253">
        <f xml:space="preserve">
IF($A$4&lt;=12,SUMIFS('ON Data'!AG:AG,'ON Data'!$D:$D,$A$4,'ON Data'!$E:$E,4),SUMIFS('ON Data'!AG:AG,'ON Data'!$E:$E,4))</f>
        <v>0</v>
      </c>
      <c r="AC13" s="253">
        <f xml:space="preserve">
IF($A$4&lt;=12,SUMIFS('ON Data'!AH:AH,'ON Data'!$D:$D,$A$4,'ON Data'!$E:$E,4),SUMIFS('ON Data'!AH:AH,'ON Data'!$E:$E,4))</f>
        <v>0</v>
      </c>
      <c r="AD13" s="253">
        <f xml:space="preserve">
IF($A$4&lt;=12,SUMIFS('ON Data'!AI:AI,'ON Data'!$D:$D,$A$4,'ON Data'!$E:$E,4),SUMIFS('ON Data'!AI:AI,'ON Data'!$E:$E,4))</f>
        <v>0</v>
      </c>
      <c r="AE13" s="253">
        <f xml:space="preserve">
IF($A$4&lt;=12,SUMIFS('ON Data'!AJ:AJ,'ON Data'!$D:$D,$A$4,'ON Data'!$E:$E,4),SUMIFS('ON Data'!AJ:AJ,'ON Data'!$E:$E,4))</f>
        <v>0</v>
      </c>
      <c r="AF13" s="253">
        <f xml:space="preserve">
IF($A$4&lt;=12,SUMIFS('ON Data'!AK:AK,'ON Data'!$D:$D,$A$4,'ON Data'!$E:$E,4),SUMIFS('ON Data'!AK:AK,'ON Data'!$E:$E,4))</f>
        <v>0</v>
      </c>
      <c r="AG13" s="527">
        <f xml:space="preserve">
IF($A$4&lt;=12,SUMIFS('ON Data'!AM:AM,'ON Data'!$D:$D,$A$4,'ON Data'!$E:$E,4),SUMIFS('ON Data'!AM:AM,'ON Data'!$E:$E,4))</f>
        <v>0</v>
      </c>
      <c r="AH13" s="537"/>
    </row>
    <row r="14" spans="1:34" ht="15" thickBot="1" x14ac:dyDescent="0.35">
      <c r="A14" s="235" t="s">
        <v>181</v>
      </c>
      <c r="B14" s="254">
        <f xml:space="preserve">
IF($A$4&lt;=12,SUMIFS('ON Data'!F:F,'ON Data'!$D:$D,$A$4,'ON Data'!$E:$E,5),SUMIFS('ON Data'!F:F,'ON Data'!$E:$E,5))</f>
        <v>0</v>
      </c>
      <c r="C14" s="255">
        <f xml:space="preserve">
IF($A$4&lt;=12,SUMIFS('ON Data'!G:G,'ON Data'!$D:$D,$A$4,'ON Data'!$E:$E,5),SUMIFS('ON Data'!G:G,'ON Data'!$E:$E,5))</f>
        <v>0</v>
      </c>
      <c r="D14" s="256">
        <f xml:space="preserve">
IF($A$4&lt;=12,SUMIFS('ON Data'!H:H,'ON Data'!$D:$D,$A$4,'ON Data'!$E:$E,5),SUMIFS('ON Data'!H:H,'ON Data'!$E:$E,5))</f>
        <v>0</v>
      </c>
      <c r="E14" s="256">
        <f xml:space="preserve">
IF($A$4&lt;=12,SUMIFS('ON Data'!I:I,'ON Data'!$D:$D,$A$4,'ON Data'!$E:$E,5),SUMIFS('ON Data'!I:I,'ON Data'!$E:$E,5))</f>
        <v>0</v>
      </c>
      <c r="F14" s="256">
        <f xml:space="preserve">
IF($A$4&lt;=12,SUMIFS('ON Data'!K:K,'ON Data'!$D:$D,$A$4,'ON Data'!$E:$E,5),SUMIFS('ON Data'!K:K,'ON Data'!$E:$E,5))</f>
        <v>0</v>
      </c>
      <c r="G14" s="256">
        <f xml:space="preserve">
IF($A$4&lt;=12,SUMIFS('ON Data'!L:L,'ON Data'!$D:$D,$A$4,'ON Data'!$E:$E,5),SUMIFS('ON Data'!L:L,'ON Data'!$E:$E,5))</f>
        <v>0</v>
      </c>
      <c r="H14" s="256">
        <f xml:space="preserve">
IF($A$4&lt;=12,SUMIFS('ON Data'!M:M,'ON Data'!$D:$D,$A$4,'ON Data'!$E:$E,5),SUMIFS('ON Data'!M:M,'ON Data'!$E:$E,5))</f>
        <v>0</v>
      </c>
      <c r="I14" s="256">
        <f xml:space="preserve">
IF($A$4&lt;=12,SUMIFS('ON Data'!N:N,'ON Data'!$D:$D,$A$4,'ON Data'!$E:$E,5),SUMIFS('ON Data'!N:N,'ON Data'!$E:$E,5))</f>
        <v>0</v>
      </c>
      <c r="J14" s="256">
        <f xml:space="preserve">
IF($A$4&lt;=12,SUMIFS('ON Data'!O:O,'ON Data'!$D:$D,$A$4,'ON Data'!$E:$E,5),SUMIFS('ON Data'!O:O,'ON Data'!$E:$E,5))</f>
        <v>0</v>
      </c>
      <c r="K14" s="256">
        <f xml:space="preserve">
IF($A$4&lt;=12,SUMIFS('ON Data'!P:P,'ON Data'!$D:$D,$A$4,'ON Data'!$E:$E,5),SUMIFS('ON Data'!P:P,'ON Data'!$E:$E,5))</f>
        <v>0</v>
      </c>
      <c r="L14" s="256">
        <f xml:space="preserve">
IF($A$4&lt;=12,SUMIFS('ON Data'!Q:Q,'ON Data'!$D:$D,$A$4,'ON Data'!$E:$E,5),SUMIFS('ON Data'!Q:Q,'ON Data'!$E:$E,5))</f>
        <v>0</v>
      </c>
      <c r="M14" s="256">
        <f xml:space="preserve">
IF($A$4&lt;=12,SUMIFS('ON Data'!R:R,'ON Data'!$D:$D,$A$4,'ON Data'!$E:$E,5),SUMIFS('ON Data'!R:R,'ON Data'!$E:$E,5))</f>
        <v>0</v>
      </c>
      <c r="N14" s="256">
        <f xml:space="preserve">
IF($A$4&lt;=12,SUMIFS('ON Data'!S:S,'ON Data'!$D:$D,$A$4,'ON Data'!$E:$E,5),SUMIFS('ON Data'!S:S,'ON Data'!$E:$E,5))</f>
        <v>0</v>
      </c>
      <c r="O14" s="256">
        <f xml:space="preserve">
IF($A$4&lt;=12,SUMIFS('ON Data'!T:T,'ON Data'!$D:$D,$A$4,'ON Data'!$E:$E,5),SUMIFS('ON Data'!T:T,'ON Data'!$E:$E,5))</f>
        <v>0</v>
      </c>
      <c r="P14" s="256">
        <f xml:space="preserve">
IF($A$4&lt;=12,SUMIFS('ON Data'!U:U,'ON Data'!$D:$D,$A$4,'ON Data'!$E:$E,5),SUMIFS('ON Data'!U:U,'ON Data'!$E:$E,5))</f>
        <v>0</v>
      </c>
      <c r="Q14" s="256">
        <f xml:space="preserve">
IF($A$4&lt;=12,SUMIFS('ON Data'!V:V,'ON Data'!$D:$D,$A$4,'ON Data'!$E:$E,5),SUMIFS('ON Data'!V:V,'ON Data'!$E:$E,5))</f>
        <v>0</v>
      </c>
      <c r="R14" s="256">
        <f xml:space="preserve">
IF($A$4&lt;=12,SUMIFS('ON Data'!W:W,'ON Data'!$D:$D,$A$4,'ON Data'!$E:$E,5),SUMIFS('ON Data'!W:W,'ON Data'!$E:$E,5))</f>
        <v>0</v>
      </c>
      <c r="S14" s="256">
        <f xml:space="preserve">
IF($A$4&lt;=12,SUMIFS('ON Data'!X:X,'ON Data'!$D:$D,$A$4,'ON Data'!$E:$E,5),SUMIFS('ON Data'!X:X,'ON Data'!$E:$E,5))</f>
        <v>0</v>
      </c>
      <c r="T14" s="256">
        <f xml:space="preserve">
IF($A$4&lt;=12,SUMIFS('ON Data'!Y:Y,'ON Data'!$D:$D,$A$4,'ON Data'!$E:$E,5),SUMIFS('ON Data'!Y:Y,'ON Data'!$E:$E,5))</f>
        <v>0</v>
      </c>
      <c r="U14" s="256">
        <f xml:space="preserve">
IF($A$4&lt;=12,SUMIFS('ON Data'!Z:Z,'ON Data'!$D:$D,$A$4,'ON Data'!$E:$E,5),SUMIFS('ON Data'!Z:Z,'ON Data'!$E:$E,5))</f>
        <v>0</v>
      </c>
      <c r="V14" s="256">
        <f xml:space="preserve">
IF($A$4&lt;=12,SUMIFS('ON Data'!AA:AA,'ON Data'!$D:$D,$A$4,'ON Data'!$E:$E,5),SUMIFS('ON Data'!AA:AA,'ON Data'!$E:$E,5))</f>
        <v>0</v>
      </c>
      <c r="W14" s="256">
        <f xml:space="preserve">
IF($A$4&lt;=12,SUMIFS('ON Data'!AB:AB,'ON Data'!$D:$D,$A$4,'ON Data'!$E:$E,5),SUMIFS('ON Data'!AB:AB,'ON Data'!$E:$E,5))</f>
        <v>0</v>
      </c>
      <c r="X14" s="256">
        <f xml:space="preserve">
IF($A$4&lt;=12,SUMIFS('ON Data'!AC:AC,'ON Data'!$D:$D,$A$4,'ON Data'!$E:$E,5),SUMIFS('ON Data'!AC:AC,'ON Data'!$E:$E,5))</f>
        <v>0</v>
      </c>
      <c r="Y14" s="256">
        <f xml:space="preserve">
IF($A$4&lt;=12,SUMIFS('ON Data'!AD:AD,'ON Data'!$D:$D,$A$4,'ON Data'!$E:$E,5),SUMIFS('ON Data'!AD:AD,'ON Data'!$E:$E,5))</f>
        <v>0</v>
      </c>
      <c r="Z14" s="256">
        <f xml:space="preserve">
IF($A$4&lt;=12,SUMIFS('ON Data'!AE:AE,'ON Data'!$D:$D,$A$4,'ON Data'!$E:$E,5),SUMIFS('ON Data'!AE:AE,'ON Data'!$E:$E,5))</f>
        <v>0</v>
      </c>
      <c r="AA14" s="256">
        <f xml:space="preserve">
IF($A$4&lt;=12,SUMIFS('ON Data'!AF:AF,'ON Data'!$D:$D,$A$4,'ON Data'!$E:$E,5),SUMIFS('ON Data'!AF:AF,'ON Data'!$E:$E,5))</f>
        <v>0</v>
      </c>
      <c r="AB14" s="256">
        <f xml:space="preserve">
IF($A$4&lt;=12,SUMIFS('ON Data'!AG:AG,'ON Data'!$D:$D,$A$4,'ON Data'!$E:$E,5),SUMIFS('ON Data'!AG:AG,'ON Data'!$E:$E,5))</f>
        <v>0</v>
      </c>
      <c r="AC14" s="256">
        <f xml:space="preserve">
IF($A$4&lt;=12,SUMIFS('ON Data'!AH:AH,'ON Data'!$D:$D,$A$4,'ON Data'!$E:$E,5),SUMIFS('ON Data'!AH:AH,'ON Data'!$E:$E,5))</f>
        <v>0</v>
      </c>
      <c r="AD14" s="256">
        <f xml:space="preserve">
IF($A$4&lt;=12,SUMIFS('ON Data'!AI:AI,'ON Data'!$D:$D,$A$4,'ON Data'!$E:$E,5),SUMIFS('ON Data'!AI:AI,'ON Data'!$E:$E,5))</f>
        <v>0</v>
      </c>
      <c r="AE14" s="256">
        <f xml:space="preserve">
IF($A$4&lt;=12,SUMIFS('ON Data'!AJ:AJ,'ON Data'!$D:$D,$A$4,'ON Data'!$E:$E,5),SUMIFS('ON Data'!AJ:AJ,'ON Data'!$E:$E,5))</f>
        <v>0</v>
      </c>
      <c r="AF14" s="256">
        <f xml:space="preserve">
IF($A$4&lt;=12,SUMIFS('ON Data'!AK:AK,'ON Data'!$D:$D,$A$4,'ON Data'!$E:$E,5),SUMIFS('ON Data'!AK:AK,'ON Data'!$E:$E,5))</f>
        <v>0</v>
      </c>
      <c r="AG14" s="528">
        <f xml:space="preserve">
IF($A$4&lt;=12,SUMIFS('ON Data'!AM:AM,'ON Data'!$D:$D,$A$4,'ON Data'!$E:$E,5),SUMIFS('ON Data'!AM:AM,'ON Data'!$E:$E,5))</f>
        <v>0</v>
      </c>
      <c r="AH14" s="537"/>
    </row>
    <row r="15" spans="1:34" x14ac:dyDescent="0.3">
      <c r="A15" s="152" t="s">
        <v>191</v>
      </c>
      <c r="B15" s="257"/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529"/>
      <c r="AH15" s="537"/>
    </row>
    <row r="16" spans="1:34" x14ac:dyDescent="0.3">
      <c r="A16" s="236" t="s">
        <v>182</v>
      </c>
      <c r="B16" s="251">
        <f xml:space="preserve">
IF($A$4&lt;=12,SUMIFS('ON Data'!F:F,'ON Data'!$D:$D,$A$4,'ON Data'!$E:$E,7),SUMIFS('ON Data'!F:F,'ON Data'!$E:$E,7))</f>
        <v>0</v>
      </c>
      <c r="C16" s="252">
        <f xml:space="preserve">
IF($A$4&lt;=12,SUMIFS('ON Data'!G:G,'ON Data'!$D:$D,$A$4,'ON Data'!$E:$E,7),SUMIFS('ON Data'!G:G,'ON Data'!$E:$E,7))</f>
        <v>0</v>
      </c>
      <c r="D16" s="253">
        <f xml:space="preserve">
IF($A$4&lt;=12,SUMIFS('ON Data'!H:H,'ON Data'!$D:$D,$A$4,'ON Data'!$E:$E,7),SUMIFS('ON Data'!H:H,'ON Data'!$E:$E,7))</f>
        <v>0</v>
      </c>
      <c r="E16" s="253">
        <f xml:space="preserve">
IF($A$4&lt;=12,SUMIFS('ON Data'!I:I,'ON Data'!$D:$D,$A$4,'ON Data'!$E:$E,7),SUMIFS('ON Data'!I:I,'ON Data'!$E:$E,7))</f>
        <v>0</v>
      </c>
      <c r="F16" s="253">
        <f xml:space="preserve">
IF($A$4&lt;=12,SUMIFS('ON Data'!K:K,'ON Data'!$D:$D,$A$4,'ON Data'!$E:$E,7),SUMIFS('ON Data'!K:K,'ON Data'!$E:$E,7))</f>
        <v>0</v>
      </c>
      <c r="G16" s="253">
        <f xml:space="preserve">
IF($A$4&lt;=12,SUMIFS('ON Data'!L:L,'ON Data'!$D:$D,$A$4,'ON Data'!$E:$E,7),SUMIFS('ON Data'!L:L,'ON Data'!$E:$E,7))</f>
        <v>0</v>
      </c>
      <c r="H16" s="253">
        <f xml:space="preserve">
IF($A$4&lt;=12,SUMIFS('ON Data'!M:M,'ON Data'!$D:$D,$A$4,'ON Data'!$E:$E,7),SUMIFS('ON Data'!M:M,'ON Data'!$E:$E,7))</f>
        <v>0</v>
      </c>
      <c r="I16" s="253">
        <f xml:space="preserve">
IF($A$4&lt;=12,SUMIFS('ON Data'!N:N,'ON Data'!$D:$D,$A$4,'ON Data'!$E:$E,7),SUMIFS('ON Data'!N:N,'ON Data'!$E:$E,7))</f>
        <v>0</v>
      </c>
      <c r="J16" s="253">
        <f xml:space="preserve">
IF($A$4&lt;=12,SUMIFS('ON Data'!O:O,'ON Data'!$D:$D,$A$4,'ON Data'!$E:$E,7),SUMIFS('ON Data'!O:O,'ON Data'!$E:$E,7))</f>
        <v>0</v>
      </c>
      <c r="K16" s="253">
        <f xml:space="preserve">
IF($A$4&lt;=12,SUMIFS('ON Data'!P:P,'ON Data'!$D:$D,$A$4,'ON Data'!$E:$E,7),SUMIFS('ON Data'!P:P,'ON Data'!$E:$E,7))</f>
        <v>0</v>
      </c>
      <c r="L16" s="253">
        <f xml:space="preserve">
IF($A$4&lt;=12,SUMIFS('ON Data'!Q:Q,'ON Data'!$D:$D,$A$4,'ON Data'!$E:$E,7),SUMIFS('ON Data'!Q:Q,'ON Data'!$E:$E,7))</f>
        <v>0</v>
      </c>
      <c r="M16" s="253">
        <f xml:space="preserve">
IF($A$4&lt;=12,SUMIFS('ON Data'!R:R,'ON Data'!$D:$D,$A$4,'ON Data'!$E:$E,7),SUMIFS('ON Data'!R:R,'ON Data'!$E:$E,7))</f>
        <v>0</v>
      </c>
      <c r="N16" s="253">
        <f xml:space="preserve">
IF($A$4&lt;=12,SUMIFS('ON Data'!S:S,'ON Data'!$D:$D,$A$4,'ON Data'!$E:$E,7),SUMIFS('ON Data'!S:S,'ON Data'!$E:$E,7))</f>
        <v>0</v>
      </c>
      <c r="O16" s="253">
        <f xml:space="preserve">
IF($A$4&lt;=12,SUMIFS('ON Data'!T:T,'ON Data'!$D:$D,$A$4,'ON Data'!$E:$E,7),SUMIFS('ON Data'!T:T,'ON Data'!$E:$E,7))</f>
        <v>0</v>
      </c>
      <c r="P16" s="253">
        <f xml:space="preserve">
IF($A$4&lt;=12,SUMIFS('ON Data'!U:U,'ON Data'!$D:$D,$A$4,'ON Data'!$E:$E,7),SUMIFS('ON Data'!U:U,'ON Data'!$E:$E,7))</f>
        <v>0</v>
      </c>
      <c r="Q16" s="253">
        <f xml:space="preserve">
IF($A$4&lt;=12,SUMIFS('ON Data'!V:V,'ON Data'!$D:$D,$A$4,'ON Data'!$E:$E,7),SUMIFS('ON Data'!V:V,'ON Data'!$E:$E,7))</f>
        <v>0</v>
      </c>
      <c r="R16" s="253">
        <f xml:space="preserve">
IF($A$4&lt;=12,SUMIFS('ON Data'!W:W,'ON Data'!$D:$D,$A$4,'ON Data'!$E:$E,7),SUMIFS('ON Data'!W:W,'ON Data'!$E:$E,7))</f>
        <v>0</v>
      </c>
      <c r="S16" s="253">
        <f xml:space="preserve">
IF($A$4&lt;=12,SUMIFS('ON Data'!X:X,'ON Data'!$D:$D,$A$4,'ON Data'!$E:$E,7),SUMIFS('ON Data'!X:X,'ON Data'!$E:$E,7))</f>
        <v>0</v>
      </c>
      <c r="T16" s="253">
        <f xml:space="preserve">
IF($A$4&lt;=12,SUMIFS('ON Data'!Y:Y,'ON Data'!$D:$D,$A$4,'ON Data'!$E:$E,7),SUMIFS('ON Data'!Y:Y,'ON Data'!$E:$E,7))</f>
        <v>0</v>
      </c>
      <c r="U16" s="253">
        <f xml:space="preserve">
IF($A$4&lt;=12,SUMIFS('ON Data'!Z:Z,'ON Data'!$D:$D,$A$4,'ON Data'!$E:$E,7),SUMIFS('ON Data'!Z:Z,'ON Data'!$E:$E,7))</f>
        <v>0</v>
      </c>
      <c r="V16" s="253">
        <f xml:space="preserve">
IF($A$4&lt;=12,SUMIFS('ON Data'!AA:AA,'ON Data'!$D:$D,$A$4,'ON Data'!$E:$E,7),SUMIFS('ON Data'!AA:AA,'ON Data'!$E:$E,7))</f>
        <v>0</v>
      </c>
      <c r="W16" s="253">
        <f xml:space="preserve">
IF($A$4&lt;=12,SUMIFS('ON Data'!AB:AB,'ON Data'!$D:$D,$A$4,'ON Data'!$E:$E,7),SUMIFS('ON Data'!AB:AB,'ON Data'!$E:$E,7))</f>
        <v>0</v>
      </c>
      <c r="X16" s="253">
        <f xml:space="preserve">
IF($A$4&lt;=12,SUMIFS('ON Data'!AC:AC,'ON Data'!$D:$D,$A$4,'ON Data'!$E:$E,7),SUMIFS('ON Data'!AC:AC,'ON Data'!$E:$E,7))</f>
        <v>0</v>
      </c>
      <c r="Y16" s="253">
        <f xml:space="preserve">
IF($A$4&lt;=12,SUMIFS('ON Data'!AD:AD,'ON Data'!$D:$D,$A$4,'ON Data'!$E:$E,7),SUMIFS('ON Data'!AD:AD,'ON Data'!$E:$E,7))</f>
        <v>0</v>
      </c>
      <c r="Z16" s="253">
        <f xml:space="preserve">
IF($A$4&lt;=12,SUMIFS('ON Data'!AE:AE,'ON Data'!$D:$D,$A$4,'ON Data'!$E:$E,7),SUMIFS('ON Data'!AE:AE,'ON Data'!$E:$E,7))</f>
        <v>0</v>
      </c>
      <c r="AA16" s="253">
        <f xml:space="preserve">
IF($A$4&lt;=12,SUMIFS('ON Data'!AF:AF,'ON Data'!$D:$D,$A$4,'ON Data'!$E:$E,7),SUMIFS('ON Data'!AF:AF,'ON Data'!$E:$E,7))</f>
        <v>0</v>
      </c>
      <c r="AB16" s="253">
        <f xml:space="preserve">
IF($A$4&lt;=12,SUMIFS('ON Data'!AG:AG,'ON Data'!$D:$D,$A$4,'ON Data'!$E:$E,7),SUMIFS('ON Data'!AG:AG,'ON Data'!$E:$E,7))</f>
        <v>0</v>
      </c>
      <c r="AC16" s="253">
        <f xml:space="preserve">
IF($A$4&lt;=12,SUMIFS('ON Data'!AH:AH,'ON Data'!$D:$D,$A$4,'ON Data'!$E:$E,7),SUMIFS('ON Data'!AH:AH,'ON Data'!$E:$E,7))</f>
        <v>0</v>
      </c>
      <c r="AD16" s="253">
        <f xml:space="preserve">
IF($A$4&lt;=12,SUMIFS('ON Data'!AI:AI,'ON Data'!$D:$D,$A$4,'ON Data'!$E:$E,7),SUMIFS('ON Data'!AI:AI,'ON Data'!$E:$E,7))</f>
        <v>0</v>
      </c>
      <c r="AE16" s="253">
        <f xml:space="preserve">
IF($A$4&lt;=12,SUMIFS('ON Data'!AJ:AJ,'ON Data'!$D:$D,$A$4,'ON Data'!$E:$E,7),SUMIFS('ON Data'!AJ:AJ,'ON Data'!$E:$E,7))</f>
        <v>0</v>
      </c>
      <c r="AF16" s="253">
        <f xml:space="preserve">
IF($A$4&lt;=12,SUMIFS('ON Data'!AK:AK,'ON Data'!$D:$D,$A$4,'ON Data'!$E:$E,7),SUMIFS('ON Data'!AK:AK,'ON Data'!$E:$E,7))</f>
        <v>0</v>
      </c>
      <c r="AG16" s="527">
        <f xml:space="preserve">
IF($A$4&lt;=12,SUMIFS('ON Data'!AM:AM,'ON Data'!$D:$D,$A$4,'ON Data'!$E:$E,7),SUMIFS('ON Data'!AM:AM,'ON Data'!$E:$E,7))</f>
        <v>0</v>
      </c>
      <c r="AH16" s="537"/>
    </row>
    <row r="17" spans="1:34" x14ac:dyDescent="0.3">
      <c r="A17" s="236" t="s">
        <v>183</v>
      </c>
      <c r="B17" s="251">
        <f xml:space="preserve">
IF($A$4&lt;=12,SUMIFS('ON Data'!F:F,'ON Data'!$D:$D,$A$4,'ON Data'!$E:$E,8),SUMIFS('ON Data'!F:F,'ON Data'!$E:$E,8))</f>
        <v>0</v>
      </c>
      <c r="C17" s="252">
        <f xml:space="preserve">
IF($A$4&lt;=12,SUMIFS('ON Data'!G:G,'ON Data'!$D:$D,$A$4,'ON Data'!$E:$E,8),SUMIFS('ON Data'!G:G,'ON Data'!$E:$E,8))</f>
        <v>0</v>
      </c>
      <c r="D17" s="253">
        <f xml:space="preserve">
IF($A$4&lt;=12,SUMIFS('ON Data'!H:H,'ON Data'!$D:$D,$A$4,'ON Data'!$E:$E,8),SUMIFS('ON Data'!H:H,'ON Data'!$E:$E,8))</f>
        <v>0</v>
      </c>
      <c r="E17" s="253">
        <f xml:space="preserve">
IF($A$4&lt;=12,SUMIFS('ON Data'!I:I,'ON Data'!$D:$D,$A$4,'ON Data'!$E:$E,8),SUMIFS('ON Data'!I:I,'ON Data'!$E:$E,8))</f>
        <v>0</v>
      </c>
      <c r="F17" s="253">
        <f xml:space="preserve">
IF($A$4&lt;=12,SUMIFS('ON Data'!K:K,'ON Data'!$D:$D,$A$4,'ON Data'!$E:$E,8),SUMIFS('ON Data'!K:K,'ON Data'!$E:$E,8))</f>
        <v>0</v>
      </c>
      <c r="G17" s="253">
        <f xml:space="preserve">
IF($A$4&lt;=12,SUMIFS('ON Data'!L:L,'ON Data'!$D:$D,$A$4,'ON Data'!$E:$E,8),SUMIFS('ON Data'!L:L,'ON Data'!$E:$E,8))</f>
        <v>0</v>
      </c>
      <c r="H17" s="253">
        <f xml:space="preserve">
IF($A$4&lt;=12,SUMIFS('ON Data'!M:M,'ON Data'!$D:$D,$A$4,'ON Data'!$E:$E,8),SUMIFS('ON Data'!M:M,'ON Data'!$E:$E,8))</f>
        <v>0</v>
      </c>
      <c r="I17" s="253">
        <f xml:space="preserve">
IF($A$4&lt;=12,SUMIFS('ON Data'!N:N,'ON Data'!$D:$D,$A$4,'ON Data'!$E:$E,8),SUMIFS('ON Data'!N:N,'ON Data'!$E:$E,8))</f>
        <v>0</v>
      </c>
      <c r="J17" s="253">
        <f xml:space="preserve">
IF($A$4&lt;=12,SUMIFS('ON Data'!O:O,'ON Data'!$D:$D,$A$4,'ON Data'!$E:$E,8),SUMIFS('ON Data'!O:O,'ON Data'!$E:$E,8))</f>
        <v>0</v>
      </c>
      <c r="K17" s="253">
        <f xml:space="preserve">
IF($A$4&lt;=12,SUMIFS('ON Data'!P:P,'ON Data'!$D:$D,$A$4,'ON Data'!$E:$E,8),SUMIFS('ON Data'!P:P,'ON Data'!$E:$E,8))</f>
        <v>0</v>
      </c>
      <c r="L17" s="253">
        <f xml:space="preserve">
IF($A$4&lt;=12,SUMIFS('ON Data'!Q:Q,'ON Data'!$D:$D,$A$4,'ON Data'!$E:$E,8),SUMIFS('ON Data'!Q:Q,'ON Data'!$E:$E,8))</f>
        <v>0</v>
      </c>
      <c r="M17" s="253">
        <f xml:space="preserve">
IF($A$4&lt;=12,SUMIFS('ON Data'!R:R,'ON Data'!$D:$D,$A$4,'ON Data'!$E:$E,8),SUMIFS('ON Data'!R:R,'ON Data'!$E:$E,8))</f>
        <v>0</v>
      </c>
      <c r="N17" s="253">
        <f xml:space="preserve">
IF($A$4&lt;=12,SUMIFS('ON Data'!S:S,'ON Data'!$D:$D,$A$4,'ON Data'!$E:$E,8),SUMIFS('ON Data'!S:S,'ON Data'!$E:$E,8))</f>
        <v>0</v>
      </c>
      <c r="O17" s="253">
        <f xml:space="preserve">
IF($A$4&lt;=12,SUMIFS('ON Data'!T:T,'ON Data'!$D:$D,$A$4,'ON Data'!$E:$E,8),SUMIFS('ON Data'!T:T,'ON Data'!$E:$E,8))</f>
        <v>0</v>
      </c>
      <c r="P17" s="253">
        <f xml:space="preserve">
IF($A$4&lt;=12,SUMIFS('ON Data'!U:U,'ON Data'!$D:$D,$A$4,'ON Data'!$E:$E,8),SUMIFS('ON Data'!U:U,'ON Data'!$E:$E,8))</f>
        <v>0</v>
      </c>
      <c r="Q17" s="253">
        <f xml:space="preserve">
IF($A$4&lt;=12,SUMIFS('ON Data'!V:V,'ON Data'!$D:$D,$A$4,'ON Data'!$E:$E,8),SUMIFS('ON Data'!V:V,'ON Data'!$E:$E,8))</f>
        <v>0</v>
      </c>
      <c r="R17" s="253">
        <f xml:space="preserve">
IF($A$4&lt;=12,SUMIFS('ON Data'!W:W,'ON Data'!$D:$D,$A$4,'ON Data'!$E:$E,8),SUMIFS('ON Data'!W:W,'ON Data'!$E:$E,8))</f>
        <v>0</v>
      </c>
      <c r="S17" s="253">
        <f xml:space="preserve">
IF($A$4&lt;=12,SUMIFS('ON Data'!X:X,'ON Data'!$D:$D,$A$4,'ON Data'!$E:$E,8),SUMIFS('ON Data'!X:X,'ON Data'!$E:$E,8))</f>
        <v>0</v>
      </c>
      <c r="T17" s="253">
        <f xml:space="preserve">
IF($A$4&lt;=12,SUMIFS('ON Data'!Y:Y,'ON Data'!$D:$D,$A$4,'ON Data'!$E:$E,8),SUMIFS('ON Data'!Y:Y,'ON Data'!$E:$E,8))</f>
        <v>0</v>
      </c>
      <c r="U17" s="253">
        <f xml:space="preserve">
IF($A$4&lt;=12,SUMIFS('ON Data'!Z:Z,'ON Data'!$D:$D,$A$4,'ON Data'!$E:$E,8),SUMIFS('ON Data'!Z:Z,'ON Data'!$E:$E,8))</f>
        <v>0</v>
      </c>
      <c r="V17" s="253">
        <f xml:space="preserve">
IF($A$4&lt;=12,SUMIFS('ON Data'!AA:AA,'ON Data'!$D:$D,$A$4,'ON Data'!$E:$E,8),SUMIFS('ON Data'!AA:AA,'ON Data'!$E:$E,8))</f>
        <v>0</v>
      </c>
      <c r="W17" s="253">
        <f xml:space="preserve">
IF($A$4&lt;=12,SUMIFS('ON Data'!AB:AB,'ON Data'!$D:$D,$A$4,'ON Data'!$E:$E,8),SUMIFS('ON Data'!AB:AB,'ON Data'!$E:$E,8))</f>
        <v>0</v>
      </c>
      <c r="X17" s="253">
        <f xml:space="preserve">
IF($A$4&lt;=12,SUMIFS('ON Data'!AC:AC,'ON Data'!$D:$D,$A$4,'ON Data'!$E:$E,8),SUMIFS('ON Data'!AC:AC,'ON Data'!$E:$E,8))</f>
        <v>0</v>
      </c>
      <c r="Y17" s="253">
        <f xml:space="preserve">
IF($A$4&lt;=12,SUMIFS('ON Data'!AD:AD,'ON Data'!$D:$D,$A$4,'ON Data'!$E:$E,8),SUMIFS('ON Data'!AD:AD,'ON Data'!$E:$E,8))</f>
        <v>0</v>
      </c>
      <c r="Z17" s="253">
        <f xml:space="preserve">
IF($A$4&lt;=12,SUMIFS('ON Data'!AE:AE,'ON Data'!$D:$D,$A$4,'ON Data'!$E:$E,8),SUMIFS('ON Data'!AE:AE,'ON Data'!$E:$E,8))</f>
        <v>0</v>
      </c>
      <c r="AA17" s="253">
        <f xml:space="preserve">
IF($A$4&lt;=12,SUMIFS('ON Data'!AF:AF,'ON Data'!$D:$D,$A$4,'ON Data'!$E:$E,8),SUMIFS('ON Data'!AF:AF,'ON Data'!$E:$E,8))</f>
        <v>0</v>
      </c>
      <c r="AB17" s="253">
        <f xml:space="preserve">
IF($A$4&lt;=12,SUMIFS('ON Data'!AG:AG,'ON Data'!$D:$D,$A$4,'ON Data'!$E:$E,8),SUMIFS('ON Data'!AG:AG,'ON Data'!$E:$E,8))</f>
        <v>0</v>
      </c>
      <c r="AC17" s="253">
        <f xml:space="preserve">
IF($A$4&lt;=12,SUMIFS('ON Data'!AH:AH,'ON Data'!$D:$D,$A$4,'ON Data'!$E:$E,8),SUMIFS('ON Data'!AH:AH,'ON Data'!$E:$E,8))</f>
        <v>0</v>
      </c>
      <c r="AD17" s="253">
        <f xml:space="preserve">
IF($A$4&lt;=12,SUMIFS('ON Data'!AI:AI,'ON Data'!$D:$D,$A$4,'ON Data'!$E:$E,8),SUMIFS('ON Data'!AI:AI,'ON Data'!$E:$E,8))</f>
        <v>0</v>
      </c>
      <c r="AE17" s="253">
        <f xml:space="preserve">
IF($A$4&lt;=12,SUMIFS('ON Data'!AJ:AJ,'ON Data'!$D:$D,$A$4,'ON Data'!$E:$E,8),SUMIFS('ON Data'!AJ:AJ,'ON Data'!$E:$E,8))</f>
        <v>0</v>
      </c>
      <c r="AF17" s="253">
        <f xml:space="preserve">
IF($A$4&lt;=12,SUMIFS('ON Data'!AK:AK,'ON Data'!$D:$D,$A$4,'ON Data'!$E:$E,8),SUMIFS('ON Data'!AK:AK,'ON Data'!$E:$E,8))</f>
        <v>0</v>
      </c>
      <c r="AG17" s="527">
        <f xml:space="preserve">
IF($A$4&lt;=12,SUMIFS('ON Data'!AM:AM,'ON Data'!$D:$D,$A$4,'ON Data'!$E:$E,8),SUMIFS('ON Data'!AM:AM,'ON Data'!$E:$E,8))</f>
        <v>0</v>
      </c>
      <c r="AH17" s="537"/>
    </row>
    <row r="18" spans="1:34" x14ac:dyDescent="0.3">
      <c r="A18" s="236" t="s">
        <v>184</v>
      </c>
      <c r="B18" s="251">
        <f xml:space="preserve">
B19-B16-B17</f>
        <v>10376</v>
      </c>
      <c r="C18" s="252">
        <f t="shared" ref="C18" si="0" xml:space="preserve">
C19-C16-C17</f>
        <v>0</v>
      </c>
      <c r="D18" s="253">
        <f t="shared" ref="D18:AG18" si="1" xml:space="preserve">
D19-D16-D17</f>
        <v>0</v>
      </c>
      <c r="E18" s="253">
        <f t="shared" si="1"/>
        <v>0</v>
      </c>
      <c r="F18" s="253">
        <f t="shared" si="1"/>
        <v>670</v>
      </c>
      <c r="G18" s="253">
        <f t="shared" si="1"/>
        <v>0</v>
      </c>
      <c r="H18" s="253">
        <f t="shared" si="1"/>
        <v>0</v>
      </c>
      <c r="I18" s="253">
        <f t="shared" si="1"/>
        <v>7235</v>
      </c>
      <c r="J18" s="253">
        <f t="shared" si="1"/>
        <v>0</v>
      </c>
      <c r="K18" s="253">
        <f t="shared" si="1"/>
        <v>0</v>
      </c>
      <c r="L18" s="253">
        <f t="shared" si="1"/>
        <v>0</v>
      </c>
      <c r="M18" s="253">
        <f t="shared" si="1"/>
        <v>0</v>
      </c>
      <c r="N18" s="253">
        <f t="shared" si="1"/>
        <v>0</v>
      </c>
      <c r="O18" s="253">
        <f t="shared" si="1"/>
        <v>0</v>
      </c>
      <c r="P18" s="253">
        <f t="shared" si="1"/>
        <v>0</v>
      </c>
      <c r="Q18" s="253">
        <f t="shared" si="1"/>
        <v>0</v>
      </c>
      <c r="R18" s="253">
        <f t="shared" si="1"/>
        <v>0</v>
      </c>
      <c r="S18" s="253">
        <f t="shared" si="1"/>
        <v>0</v>
      </c>
      <c r="T18" s="253">
        <f t="shared" si="1"/>
        <v>0</v>
      </c>
      <c r="U18" s="253">
        <f t="shared" si="1"/>
        <v>0</v>
      </c>
      <c r="V18" s="253">
        <f t="shared" si="1"/>
        <v>0</v>
      </c>
      <c r="W18" s="253">
        <f t="shared" si="1"/>
        <v>0</v>
      </c>
      <c r="X18" s="253">
        <f t="shared" si="1"/>
        <v>0</v>
      </c>
      <c r="Y18" s="253">
        <f t="shared" si="1"/>
        <v>0</v>
      </c>
      <c r="Z18" s="253">
        <f t="shared" si="1"/>
        <v>0</v>
      </c>
      <c r="AA18" s="253">
        <f t="shared" si="1"/>
        <v>0</v>
      </c>
      <c r="AB18" s="253">
        <f t="shared" si="1"/>
        <v>0</v>
      </c>
      <c r="AC18" s="253">
        <f t="shared" si="1"/>
        <v>0</v>
      </c>
      <c r="AD18" s="253">
        <f t="shared" si="1"/>
        <v>0</v>
      </c>
      <c r="AE18" s="253">
        <f t="shared" si="1"/>
        <v>0</v>
      </c>
      <c r="AF18" s="253">
        <f t="shared" si="1"/>
        <v>0</v>
      </c>
      <c r="AG18" s="527">
        <f t="shared" si="1"/>
        <v>2471</v>
      </c>
      <c r="AH18" s="537"/>
    </row>
    <row r="19" spans="1:34" ht="15" thickBot="1" x14ac:dyDescent="0.35">
      <c r="A19" s="237" t="s">
        <v>185</v>
      </c>
      <c r="B19" s="260">
        <f xml:space="preserve">
IF($A$4&lt;=12,SUMIFS('ON Data'!F:F,'ON Data'!$D:$D,$A$4,'ON Data'!$E:$E,9),SUMIFS('ON Data'!F:F,'ON Data'!$E:$E,9))</f>
        <v>10376</v>
      </c>
      <c r="C19" s="261">
        <f xml:space="preserve">
IF($A$4&lt;=12,SUMIFS('ON Data'!G:G,'ON Data'!$D:$D,$A$4,'ON Data'!$E:$E,9),SUMIFS('ON Data'!G:G,'ON Data'!$E:$E,9))</f>
        <v>0</v>
      </c>
      <c r="D19" s="262">
        <f xml:space="preserve">
IF($A$4&lt;=12,SUMIFS('ON Data'!H:H,'ON Data'!$D:$D,$A$4,'ON Data'!$E:$E,9),SUMIFS('ON Data'!H:H,'ON Data'!$E:$E,9))</f>
        <v>0</v>
      </c>
      <c r="E19" s="262">
        <f xml:space="preserve">
IF($A$4&lt;=12,SUMIFS('ON Data'!I:I,'ON Data'!$D:$D,$A$4,'ON Data'!$E:$E,9),SUMIFS('ON Data'!I:I,'ON Data'!$E:$E,9))</f>
        <v>0</v>
      </c>
      <c r="F19" s="262">
        <f xml:space="preserve">
IF($A$4&lt;=12,SUMIFS('ON Data'!K:K,'ON Data'!$D:$D,$A$4,'ON Data'!$E:$E,9),SUMIFS('ON Data'!K:K,'ON Data'!$E:$E,9))</f>
        <v>670</v>
      </c>
      <c r="G19" s="262">
        <f xml:space="preserve">
IF($A$4&lt;=12,SUMIFS('ON Data'!L:L,'ON Data'!$D:$D,$A$4,'ON Data'!$E:$E,9),SUMIFS('ON Data'!L:L,'ON Data'!$E:$E,9))</f>
        <v>0</v>
      </c>
      <c r="H19" s="262">
        <f xml:space="preserve">
IF($A$4&lt;=12,SUMIFS('ON Data'!M:M,'ON Data'!$D:$D,$A$4,'ON Data'!$E:$E,9),SUMIFS('ON Data'!M:M,'ON Data'!$E:$E,9))</f>
        <v>0</v>
      </c>
      <c r="I19" s="262">
        <f xml:space="preserve">
IF($A$4&lt;=12,SUMIFS('ON Data'!N:N,'ON Data'!$D:$D,$A$4,'ON Data'!$E:$E,9),SUMIFS('ON Data'!N:N,'ON Data'!$E:$E,9))</f>
        <v>7235</v>
      </c>
      <c r="J19" s="262">
        <f xml:space="preserve">
IF($A$4&lt;=12,SUMIFS('ON Data'!O:O,'ON Data'!$D:$D,$A$4,'ON Data'!$E:$E,9),SUMIFS('ON Data'!O:O,'ON Data'!$E:$E,9))</f>
        <v>0</v>
      </c>
      <c r="K19" s="262">
        <f xml:space="preserve">
IF($A$4&lt;=12,SUMIFS('ON Data'!P:P,'ON Data'!$D:$D,$A$4,'ON Data'!$E:$E,9),SUMIFS('ON Data'!P:P,'ON Data'!$E:$E,9))</f>
        <v>0</v>
      </c>
      <c r="L19" s="262">
        <f xml:space="preserve">
IF($A$4&lt;=12,SUMIFS('ON Data'!Q:Q,'ON Data'!$D:$D,$A$4,'ON Data'!$E:$E,9),SUMIFS('ON Data'!Q:Q,'ON Data'!$E:$E,9))</f>
        <v>0</v>
      </c>
      <c r="M19" s="262">
        <f xml:space="preserve">
IF($A$4&lt;=12,SUMIFS('ON Data'!R:R,'ON Data'!$D:$D,$A$4,'ON Data'!$E:$E,9),SUMIFS('ON Data'!R:R,'ON Data'!$E:$E,9))</f>
        <v>0</v>
      </c>
      <c r="N19" s="262">
        <f xml:space="preserve">
IF($A$4&lt;=12,SUMIFS('ON Data'!S:S,'ON Data'!$D:$D,$A$4,'ON Data'!$E:$E,9),SUMIFS('ON Data'!S:S,'ON Data'!$E:$E,9))</f>
        <v>0</v>
      </c>
      <c r="O19" s="262">
        <f xml:space="preserve">
IF($A$4&lt;=12,SUMIFS('ON Data'!T:T,'ON Data'!$D:$D,$A$4,'ON Data'!$E:$E,9),SUMIFS('ON Data'!T:T,'ON Data'!$E:$E,9))</f>
        <v>0</v>
      </c>
      <c r="P19" s="262">
        <f xml:space="preserve">
IF($A$4&lt;=12,SUMIFS('ON Data'!U:U,'ON Data'!$D:$D,$A$4,'ON Data'!$E:$E,9),SUMIFS('ON Data'!U:U,'ON Data'!$E:$E,9))</f>
        <v>0</v>
      </c>
      <c r="Q19" s="262">
        <f xml:space="preserve">
IF($A$4&lt;=12,SUMIFS('ON Data'!V:V,'ON Data'!$D:$D,$A$4,'ON Data'!$E:$E,9),SUMIFS('ON Data'!V:V,'ON Data'!$E:$E,9))</f>
        <v>0</v>
      </c>
      <c r="R19" s="262">
        <f xml:space="preserve">
IF($A$4&lt;=12,SUMIFS('ON Data'!W:W,'ON Data'!$D:$D,$A$4,'ON Data'!$E:$E,9),SUMIFS('ON Data'!W:W,'ON Data'!$E:$E,9))</f>
        <v>0</v>
      </c>
      <c r="S19" s="262">
        <f xml:space="preserve">
IF($A$4&lt;=12,SUMIFS('ON Data'!X:X,'ON Data'!$D:$D,$A$4,'ON Data'!$E:$E,9),SUMIFS('ON Data'!X:X,'ON Data'!$E:$E,9))</f>
        <v>0</v>
      </c>
      <c r="T19" s="262">
        <f xml:space="preserve">
IF($A$4&lt;=12,SUMIFS('ON Data'!Y:Y,'ON Data'!$D:$D,$A$4,'ON Data'!$E:$E,9),SUMIFS('ON Data'!Y:Y,'ON Data'!$E:$E,9))</f>
        <v>0</v>
      </c>
      <c r="U19" s="262">
        <f xml:space="preserve">
IF($A$4&lt;=12,SUMIFS('ON Data'!Z:Z,'ON Data'!$D:$D,$A$4,'ON Data'!$E:$E,9),SUMIFS('ON Data'!Z:Z,'ON Data'!$E:$E,9))</f>
        <v>0</v>
      </c>
      <c r="V19" s="262">
        <f xml:space="preserve">
IF($A$4&lt;=12,SUMIFS('ON Data'!AA:AA,'ON Data'!$D:$D,$A$4,'ON Data'!$E:$E,9),SUMIFS('ON Data'!AA:AA,'ON Data'!$E:$E,9))</f>
        <v>0</v>
      </c>
      <c r="W19" s="262">
        <f xml:space="preserve">
IF($A$4&lt;=12,SUMIFS('ON Data'!AB:AB,'ON Data'!$D:$D,$A$4,'ON Data'!$E:$E,9),SUMIFS('ON Data'!AB:AB,'ON Data'!$E:$E,9))</f>
        <v>0</v>
      </c>
      <c r="X19" s="262">
        <f xml:space="preserve">
IF($A$4&lt;=12,SUMIFS('ON Data'!AC:AC,'ON Data'!$D:$D,$A$4,'ON Data'!$E:$E,9),SUMIFS('ON Data'!AC:AC,'ON Data'!$E:$E,9))</f>
        <v>0</v>
      </c>
      <c r="Y19" s="262">
        <f xml:space="preserve">
IF($A$4&lt;=12,SUMIFS('ON Data'!AD:AD,'ON Data'!$D:$D,$A$4,'ON Data'!$E:$E,9),SUMIFS('ON Data'!AD:AD,'ON Data'!$E:$E,9))</f>
        <v>0</v>
      </c>
      <c r="Z19" s="262">
        <f xml:space="preserve">
IF($A$4&lt;=12,SUMIFS('ON Data'!AE:AE,'ON Data'!$D:$D,$A$4,'ON Data'!$E:$E,9),SUMIFS('ON Data'!AE:AE,'ON Data'!$E:$E,9))</f>
        <v>0</v>
      </c>
      <c r="AA19" s="262">
        <f xml:space="preserve">
IF($A$4&lt;=12,SUMIFS('ON Data'!AF:AF,'ON Data'!$D:$D,$A$4,'ON Data'!$E:$E,9),SUMIFS('ON Data'!AF:AF,'ON Data'!$E:$E,9))</f>
        <v>0</v>
      </c>
      <c r="AB19" s="262">
        <f xml:space="preserve">
IF($A$4&lt;=12,SUMIFS('ON Data'!AG:AG,'ON Data'!$D:$D,$A$4,'ON Data'!$E:$E,9),SUMIFS('ON Data'!AG:AG,'ON Data'!$E:$E,9))</f>
        <v>0</v>
      </c>
      <c r="AC19" s="262">
        <f xml:space="preserve">
IF($A$4&lt;=12,SUMIFS('ON Data'!AH:AH,'ON Data'!$D:$D,$A$4,'ON Data'!$E:$E,9),SUMIFS('ON Data'!AH:AH,'ON Data'!$E:$E,9))</f>
        <v>0</v>
      </c>
      <c r="AD19" s="262">
        <f xml:space="preserve">
IF($A$4&lt;=12,SUMIFS('ON Data'!AI:AI,'ON Data'!$D:$D,$A$4,'ON Data'!$E:$E,9),SUMIFS('ON Data'!AI:AI,'ON Data'!$E:$E,9))</f>
        <v>0</v>
      </c>
      <c r="AE19" s="262">
        <f xml:space="preserve">
IF($A$4&lt;=12,SUMIFS('ON Data'!AJ:AJ,'ON Data'!$D:$D,$A$4,'ON Data'!$E:$E,9),SUMIFS('ON Data'!AJ:AJ,'ON Data'!$E:$E,9))</f>
        <v>0</v>
      </c>
      <c r="AF19" s="262">
        <f xml:space="preserve">
IF($A$4&lt;=12,SUMIFS('ON Data'!AK:AK,'ON Data'!$D:$D,$A$4,'ON Data'!$E:$E,9),SUMIFS('ON Data'!AK:AK,'ON Data'!$E:$E,9))</f>
        <v>0</v>
      </c>
      <c r="AG19" s="530">
        <f xml:space="preserve">
IF($A$4&lt;=12,SUMIFS('ON Data'!AM:AM,'ON Data'!$D:$D,$A$4,'ON Data'!$E:$E,9),SUMIFS('ON Data'!AM:AM,'ON Data'!$E:$E,9))</f>
        <v>2471</v>
      </c>
      <c r="AH19" s="537"/>
    </row>
    <row r="20" spans="1:34" ht="15" collapsed="1" thickBot="1" x14ac:dyDescent="0.35">
      <c r="A20" s="238" t="s">
        <v>73</v>
      </c>
      <c r="B20" s="263">
        <f xml:space="preserve">
IF($A$4&lt;=12,SUMIFS('ON Data'!F:F,'ON Data'!$D:$D,$A$4,'ON Data'!$E:$E,6),SUMIFS('ON Data'!F:F,'ON Data'!$E:$E,6))</f>
        <v>1425532</v>
      </c>
      <c r="C20" s="264">
        <f xml:space="preserve">
IF($A$4&lt;=12,SUMIFS('ON Data'!G:G,'ON Data'!$D:$D,$A$4,'ON Data'!$E:$E,6),SUMIFS('ON Data'!G:G,'ON Data'!$E:$E,6))</f>
        <v>0</v>
      </c>
      <c r="D20" s="265">
        <f xml:space="preserve">
IF($A$4&lt;=12,SUMIFS('ON Data'!H:H,'ON Data'!$D:$D,$A$4,'ON Data'!$E:$E,6),SUMIFS('ON Data'!H:H,'ON Data'!$E:$E,6))</f>
        <v>301409</v>
      </c>
      <c r="E20" s="265">
        <f xml:space="preserve">
IF($A$4&lt;=12,SUMIFS('ON Data'!I:I,'ON Data'!$D:$D,$A$4,'ON Data'!$E:$E,6),SUMIFS('ON Data'!I:I,'ON Data'!$E:$E,6))</f>
        <v>0</v>
      </c>
      <c r="F20" s="265">
        <f xml:space="preserve">
IF($A$4&lt;=12,SUMIFS('ON Data'!K:K,'ON Data'!$D:$D,$A$4,'ON Data'!$E:$E,6),SUMIFS('ON Data'!K:K,'ON Data'!$E:$E,6))</f>
        <v>172287</v>
      </c>
      <c r="G20" s="265">
        <f xml:space="preserve">
IF($A$4&lt;=12,SUMIFS('ON Data'!L:L,'ON Data'!$D:$D,$A$4,'ON Data'!$E:$E,6),SUMIFS('ON Data'!L:L,'ON Data'!$E:$E,6))</f>
        <v>0</v>
      </c>
      <c r="H20" s="265">
        <f xml:space="preserve">
IF($A$4&lt;=12,SUMIFS('ON Data'!M:M,'ON Data'!$D:$D,$A$4,'ON Data'!$E:$E,6),SUMIFS('ON Data'!M:M,'ON Data'!$E:$E,6))</f>
        <v>0</v>
      </c>
      <c r="I20" s="265">
        <f xml:space="preserve">
IF($A$4&lt;=12,SUMIFS('ON Data'!N:N,'ON Data'!$D:$D,$A$4,'ON Data'!$E:$E,6),SUMIFS('ON Data'!N:N,'ON Data'!$E:$E,6))</f>
        <v>294943</v>
      </c>
      <c r="J20" s="265">
        <f xml:space="preserve">
IF($A$4&lt;=12,SUMIFS('ON Data'!O:O,'ON Data'!$D:$D,$A$4,'ON Data'!$E:$E,6),SUMIFS('ON Data'!O:O,'ON Data'!$E:$E,6))</f>
        <v>0</v>
      </c>
      <c r="K20" s="265">
        <f xml:space="preserve">
IF($A$4&lt;=12,SUMIFS('ON Data'!P:P,'ON Data'!$D:$D,$A$4,'ON Data'!$E:$E,6),SUMIFS('ON Data'!P:P,'ON Data'!$E:$E,6))</f>
        <v>0</v>
      </c>
      <c r="L20" s="265">
        <f xml:space="preserve">
IF($A$4&lt;=12,SUMIFS('ON Data'!Q:Q,'ON Data'!$D:$D,$A$4,'ON Data'!$E:$E,6),SUMIFS('ON Data'!Q:Q,'ON Data'!$E:$E,6))</f>
        <v>0</v>
      </c>
      <c r="M20" s="265">
        <f xml:space="preserve">
IF($A$4&lt;=12,SUMIFS('ON Data'!R:R,'ON Data'!$D:$D,$A$4,'ON Data'!$E:$E,6),SUMIFS('ON Data'!R:R,'ON Data'!$E:$E,6))</f>
        <v>0</v>
      </c>
      <c r="N20" s="265">
        <f xml:space="preserve">
IF($A$4&lt;=12,SUMIFS('ON Data'!S:S,'ON Data'!$D:$D,$A$4,'ON Data'!$E:$E,6),SUMIFS('ON Data'!S:S,'ON Data'!$E:$E,6))</f>
        <v>0</v>
      </c>
      <c r="O20" s="265">
        <f xml:space="preserve">
IF($A$4&lt;=12,SUMIFS('ON Data'!T:T,'ON Data'!$D:$D,$A$4,'ON Data'!$E:$E,6),SUMIFS('ON Data'!T:T,'ON Data'!$E:$E,6))</f>
        <v>0</v>
      </c>
      <c r="P20" s="265">
        <f xml:space="preserve">
IF($A$4&lt;=12,SUMIFS('ON Data'!U:U,'ON Data'!$D:$D,$A$4,'ON Data'!$E:$E,6),SUMIFS('ON Data'!U:U,'ON Data'!$E:$E,6))</f>
        <v>0</v>
      </c>
      <c r="Q20" s="265">
        <f xml:space="preserve">
IF($A$4&lt;=12,SUMIFS('ON Data'!V:V,'ON Data'!$D:$D,$A$4,'ON Data'!$E:$E,6),SUMIFS('ON Data'!V:V,'ON Data'!$E:$E,6))</f>
        <v>0</v>
      </c>
      <c r="R20" s="265">
        <f xml:space="preserve">
IF($A$4&lt;=12,SUMIFS('ON Data'!W:W,'ON Data'!$D:$D,$A$4,'ON Data'!$E:$E,6),SUMIFS('ON Data'!W:W,'ON Data'!$E:$E,6))</f>
        <v>0</v>
      </c>
      <c r="S20" s="265">
        <f xml:space="preserve">
IF($A$4&lt;=12,SUMIFS('ON Data'!X:X,'ON Data'!$D:$D,$A$4,'ON Data'!$E:$E,6),SUMIFS('ON Data'!X:X,'ON Data'!$E:$E,6))</f>
        <v>0</v>
      </c>
      <c r="T20" s="265">
        <f xml:space="preserve">
IF($A$4&lt;=12,SUMIFS('ON Data'!Y:Y,'ON Data'!$D:$D,$A$4,'ON Data'!$E:$E,6),SUMIFS('ON Data'!Y:Y,'ON Data'!$E:$E,6))</f>
        <v>0</v>
      </c>
      <c r="U20" s="265">
        <f xml:space="preserve">
IF($A$4&lt;=12,SUMIFS('ON Data'!Z:Z,'ON Data'!$D:$D,$A$4,'ON Data'!$E:$E,6),SUMIFS('ON Data'!Z:Z,'ON Data'!$E:$E,6))</f>
        <v>569676</v>
      </c>
      <c r="V20" s="265">
        <f xml:space="preserve">
IF($A$4&lt;=12,SUMIFS('ON Data'!AA:AA,'ON Data'!$D:$D,$A$4,'ON Data'!$E:$E,6),SUMIFS('ON Data'!AA:AA,'ON Data'!$E:$E,6))</f>
        <v>0</v>
      </c>
      <c r="W20" s="265">
        <f xml:space="preserve">
IF($A$4&lt;=12,SUMIFS('ON Data'!AB:AB,'ON Data'!$D:$D,$A$4,'ON Data'!$E:$E,6),SUMIFS('ON Data'!AB:AB,'ON Data'!$E:$E,6))</f>
        <v>0</v>
      </c>
      <c r="X20" s="265">
        <f xml:space="preserve">
IF($A$4&lt;=12,SUMIFS('ON Data'!AC:AC,'ON Data'!$D:$D,$A$4,'ON Data'!$E:$E,6),SUMIFS('ON Data'!AC:AC,'ON Data'!$E:$E,6))</f>
        <v>0</v>
      </c>
      <c r="Y20" s="265">
        <f xml:space="preserve">
IF($A$4&lt;=12,SUMIFS('ON Data'!AD:AD,'ON Data'!$D:$D,$A$4,'ON Data'!$E:$E,6),SUMIFS('ON Data'!AD:AD,'ON Data'!$E:$E,6))</f>
        <v>0</v>
      </c>
      <c r="Z20" s="265">
        <f xml:space="preserve">
IF($A$4&lt;=12,SUMIFS('ON Data'!AE:AE,'ON Data'!$D:$D,$A$4,'ON Data'!$E:$E,6),SUMIFS('ON Data'!AE:AE,'ON Data'!$E:$E,6))</f>
        <v>0</v>
      </c>
      <c r="AA20" s="265">
        <f xml:space="preserve">
IF($A$4&lt;=12,SUMIFS('ON Data'!AF:AF,'ON Data'!$D:$D,$A$4,'ON Data'!$E:$E,6),SUMIFS('ON Data'!AF:AF,'ON Data'!$E:$E,6))</f>
        <v>0</v>
      </c>
      <c r="AB20" s="265">
        <f xml:space="preserve">
IF($A$4&lt;=12,SUMIFS('ON Data'!AG:AG,'ON Data'!$D:$D,$A$4,'ON Data'!$E:$E,6),SUMIFS('ON Data'!AG:AG,'ON Data'!$E:$E,6))</f>
        <v>0</v>
      </c>
      <c r="AC20" s="265">
        <f xml:space="preserve">
IF($A$4&lt;=12,SUMIFS('ON Data'!AH:AH,'ON Data'!$D:$D,$A$4,'ON Data'!$E:$E,6),SUMIFS('ON Data'!AH:AH,'ON Data'!$E:$E,6))</f>
        <v>6645</v>
      </c>
      <c r="AD20" s="265">
        <f xml:space="preserve">
IF($A$4&lt;=12,SUMIFS('ON Data'!AI:AI,'ON Data'!$D:$D,$A$4,'ON Data'!$E:$E,6),SUMIFS('ON Data'!AI:AI,'ON Data'!$E:$E,6))</f>
        <v>0</v>
      </c>
      <c r="AE20" s="265">
        <f xml:space="preserve">
IF($A$4&lt;=12,SUMIFS('ON Data'!AJ:AJ,'ON Data'!$D:$D,$A$4,'ON Data'!$E:$E,6),SUMIFS('ON Data'!AJ:AJ,'ON Data'!$E:$E,6))</f>
        <v>0</v>
      </c>
      <c r="AF20" s="265">
        <f xml:space="preserve">
IF($A$4&lt;=12,SUMIFS('ON Data'!AK:AK,'ON Data'!$D:$D,$A$4,'ON Data'!$E:$E,6),SUMIFS('ON Data'!AK:AK,'ON Data'!$E:$E,6))</f>
        <v>0</v>
      </c>
      <c r="AG20" s="531">
        <f xml:space="preserve">
IF($A$4&lt;=12,SUMIFS('ON Data'!AM:AM,'ON Data'!$D:$D,$A$4,'ON Data'!$E:$E,6),SUMIFS('ON Data'!AM:AM,'ON Data'!$E:$E,6))</f>
        <v>80572</v>
      </c>
      <c r="AH20" s="537"/>
    </row>
    <row r="21" spans="1:34" ht="15" hidden="1" outlineLevel="1" thickBot="1" x14ac:dyDescent="0.35">
      <c r="A21" s="231" t="s">
        <v>108</v>
      </c>
      <c r="B21" s="251">
        <f xml:space="preserve">
IF($A$4&lt;=12,SUMIFS('ON Data'!F:F,'ON Data'!$D:$D,$A$4,'ON Data'!$E:$E,12),SUMIFS('ON Data'!F:F,'ON Data'!$E:$E,12))</f>
        <v>0</v>
      </c>
      <c r="C21" s="252">
        <f xml:space="preserve">
IF($A$4&lt;=12,SUMIFS('ON Data'!G:G,'ON Data'!$D:$D,$A$4,'ON Data'!$E:$E,12),SUMIFS('ON Data'!G:G,'ON Data'!$E:$E,12))</f>
        <v>0</v>
      </c>
      <c r="D21" s="253">
        <f xml:space="preserve">
IF($A$4&lt;=12,SUMIFS('ON Data'!H:H,'ON Data'!$D:$D,$A$4,'ON Data'!$E:$E,12),SUMIFS('ON Data'!H:H,'ON Data'!$E:$E,12))</f>
        <v>0</v>
      </c>
      <c r="E21" s="253">
        <f xml:space="preserve">
IF($A$4&lt;=12,SUMIFS('ON Data'!I:I,'ON Data'!$D:$D,$A$4,'ON Data'!$E:$E,12),SUMIFS('ON Data'!I:I,'ON Data'!$E:$E,12))</f>
        <v>0</v>
      </c>
      <c r="F21" s="253">
        <f xml:space="preserve">
IF($A$4&lt;=12,SUMIFS('ON Data'!K:K,'ON Data'!$D:$D,$A$4,'ON Data'!$E:$E,12),SUMIFS('ON Data'!K:K,'ON Data'!$E:$E,12))</f>
        <v>0</v>
      </c>
      <c r="G21" s="253">
        <f xml:space="preserve">
IF($A$4&lt;=12,SUMIFS('ON Data'!L:L,'ON Data'!$D:$D,$A$4,'ON Data'!$E:$E,12),SUMIFS('ON Data'!L:L,'ON Data'!$E:$E,12))</f>
        <v>0</v>
      </c>
      <c r="H21" s="253">
        <f xml:space="preserve">
IF($A$4&lt;=12,SUMIFS('ON Data'!M:M,'ON Data'!$D:$D,$A$4,'ON Data'!$E:$E,12),SUMIFS('ON Data'!M:M,'ON Data'!$E:$E,12))</f>
        <v>0</v>
      </c>
      <c r="I21" s="253">
        <f xml:space="preserve">
IF($A$4&lt;=12,SUMIFS('ON Data'!N:N,'ON Data'!$D:$D,$A$4,'ON Data'!$E:$E,12),SUMIFS('ON Data'!N:N,'ON Data'!$E:$E,12))</f>
        <v>0</v>
      </c>
      <c r="J21" s="253">
        <f xml:space="preserve">
IF($A$4&lt;=12,SUMIFS('ON Data'!O:O,'ON Data'!$D:$D,$A$4,'ON Data'!$E:$E,12),SUMIFS('ON Data'!O:O,'ON Data'!$E:$E,12))</f>
        <v>0</v>
      </c>
      <c r="K21" s="253">
        <f xml:space="preserve">
IF($A$4&lt;=12,SUMIFS('ON Data'!P:P,'ON Data'!$D:$D,$A$4,'ON Data'!$E:$E,12),SUMIFS('ON Data'!P:P,'ON Data'!$E:$E,12))</f>
        <v>0</v>
      </c>
      <c r="L21" s="253">
        <f xml:space="preserve">
IF($A$4&lt;=12,SUMIFS('ON Data'!Q:Q,'ON Data'!$D:$D,$A$4,'ON Data'!$E:$E,12),SUMIFS('ON Data'!Q:Q,'ON Data'!$E:$E,12))</f>
        <v>0</v>
      </c>
      <c r="M21" s="253">
        <f xml:space="preserve">
IF($A$4&lt;=12,SUMIFS('ON Data'!R:R,'ON Data'!$D:$D,$A$4,'ON Data'!$E:$E,12),SUMIFS('ON Data'!R:R,'ON Data'!$E:$E,12))</f>
        <v>0</v>
      </c>
      <c r="N21" s="253">
        <f xml:space="preserve">
IF($A$4&lt;=12,SUMIFS('ON Data'!S:S,'ON Data'!$D:$D,$A$4,'ON Data'!$E:$E,12),SUMIFS('ON Data'!S:S,'ON Data'!$E:$E,12))</f>
        <v>0</v>
      </c>
      <c r="O21" s="253">
        <f xml:space="preserve">
IF($A$4&lt;=12,SUMIFS('ON Data'!T:T,'ON Data'!$D:$D,$A$4,'ON Data'!$E:$E,12),SUMIFS('ON Data'!T:T,'ON Data'!$E:$E,12))</f>
        <v>0</v>
      </c>
      <c r="P21" s="253">
        <f xml:space="preserve">
IF($A$4&lt;=12,SUMIFS('ON Data'!U:U,'ON Data'!$D:$D,$A$4,'ON Data'!$E:$E,12),SUMIFS('ON Data'!U:U,'ON Data'!$E:$E,12))</f>
        <v>0</v>
      </c>
      <c r="Q21" s="253">
        <f xml:space="preserve">
IF($A$4&lt;=12,SUMIFS('ON Data'!V:V,'ON Data'!$D:$D,$A$4,'ON Data'!$E:$E,12),SUMIFS('ON Data'!V:V,'ON Data'!$E:$E,12))</f>
        <v>0</v>
      </c>
      <c r="R21" s="253">
        <f xml:space="preserve">
IF($A$4&lt;=12,SUMIFS('ON Data'!W:W,'ON Data'!$D:$D,$A$4,'ON Data'!$E:$E,12),SUMIFS('ON Data'!W:W,'ON Data'!$E:$E,12))</f>
        <v>0</v>
      </c>
      <c r="S21" s="253">
        <f xml:space="preserve">
IF($A$4&lt;=12,SUMIFS('ON Data'!X:X,'ON Data'!$D:$D,$A$4,'ON Data'!$E:$E,12),SUMIFS('ON Data'!X:X,'ON Data'!$E:$E,12))</f>
        <v>0</v>
      </c>
      <c r="T21" s="253">
        <f xml:space="preserve">
IF($A$4&lt;=12,SUMIFS('ON Data'!Y:Y,'ON Data'!$D:$D,$A$4,'ON Data'!$E:$E,12),SUMIFS('ON Data'!Y:Y,'ON Data'!$E:$E,12))</f>
        <v>0</v>
      </c>
      <c r="U21" s="253">
        <f xml:space="preserve">
IF($A$4&lt;=12,SUMIFS('ON Data'!Z:Z,'ON Data'!$D:$D,$A$4,'ON Data'!$E:$E,12),SUMIFS('ON Data'!Z:Z,'ON Data'!$E:$E,12))</f>
        <v>0</v>
      </c>
      <c r="V21" s="253">
        <f xml:space="preserve">
IF($A$4&lt;=12,SUMIFS('ON Data'!AA:AA,'ON Data'!$D:$D,$A$4,'ON Data'!$E:$E,12),SUMIFS('ON Data'!AA:AA,'ON Data'!$E:$E,12))</f>
        <v>0</v>
      </c>
      <c r="W21" s="253">
        <f xml:space="preserve">
IF($A$4&lt;=12,SUMIFS('ON Data'!AB:AB,'ON Data'!$D:$D,$A$4,'ON Data'!$E:$E,12),SUMIFS('ON Data'!AB:AB,'ON Data'!$E:$E,12))</f>
        <v>0</v>
      </c>
      <c r="X21" s="253">
        <f xml:space="preserve">
IF($A$4&lt;=12,SUMIFS('ON Data'!AC:AC,'ON Data'!$D:$D,$A$4,'ON Data'!$E:$E,12),SUMIFS('ON Data'!AC:AC,'ON Data'!$E:$E,12))</f>
        <v>0</v>
      </c>
      <c r="Y21" s="253">
        <f xml:space="preserve">
IF($A$4&lt;=12,SUMIFS('ON Data'!AD:AD,'ON Data'!$D:$D,$A$4,'ON Data'!$E:$E,12),SUMIFS('ON Data'!AD:AD,'ON Data'!$E:$E,12))</f>
        <v>0</v>
      </c>
      <c r="Z21" s="253">
        <f xml:space="preserve">
IF($A$4&lt;=12,SUMIFS('ON Data'!AE:AE,'ON Data'!$D:$D,$A$4,'ON Data'!$E:$E,12),SUMIFS('ON Data'!AE:AE,'ON Data'!$E:$E,12))</f>
        <v>0</v>
      </c>
      <c r="AA21" s="253">
        <f xml:space="preserve">
IF($A$4&lt;=12,SUMIFS('ON Data'!AF:AF,'ON Data'!$D:$D,$A$4,'ON Data'!$E:$E,12),SUMIFS('ON Data'!AF:AF,'ON Data'!$E:$E,12))</f>
        <v>0</v>
      </c>
      <c r="AB21" s="253">
        <f xml:space="preserve">
IF($A$4&lt;=12,SUMIFS('ON Data'!AG:AG,'ON Data'!$D:$D,$A$4,'ON Data'!$E:$E,12),SUMIFS('ON Data'!AG:AG,'ON Data'!$E:$E,12))</f>
        <v>0</v>
      </c>
      <c r="AC21" s="253">
        <f xml:space="preserve">
IF($A$4&lt;=12,SUMIFS('ON Data'!AH:AH,'ON Data'!$D:$D,$A$4,'ON Data'!$E:$E,12),SUMIFS('ON Data'!AH:AH,'ON Data'!$E:$E,12))</f>
        <v>0</v>
      </c>
      <c r="AD21" s="253">
        <f xml:space="preserve">
IF($A$4&lt;=12,SUMIFS('ON Data'!AI:AI,'ON Data'!$D:$D,$A$4,'ON Data'!$E:$E,12),SUMIFS('ON Data'!AI:AI,'ON Data'!$E:$E,12))</f>
        <v>0</v>
      </c>
      <c r="AE21" s="253">
        <f xml:space="preserve">
IF($A$4&lt;=12,SUMIFS('ON Data'!AJ:AJ,'ON Data'!$D:$D,$A$4,'ON Data'!$E:$E,12),SUMIFS('ON Data'!AJ:AJ,'ON Data'!$E:$E,12))</f>
        <v>0</v>
      </c>
      <c r="AF21" s="253">
        <f xml:space="preserve">
IF($A$4&lt;=12,SUMIFS('ON Data'!AK:AK,'ON Data'!$D:$D,$A$4,'ON Data'!$E:$E,12),SUMIFS('ON Data'!AK:AK,'ON Data'!$E:$E,12))</f>
        <v>0</v>
      </c>
      <c r="AG21" s="527">
        <f xml:space="preserve">
IF($A$4&lt;=12,SUMIFS('ON Data'!AM:AM,'ON Data'!$D:$D,$A$4,'ON Data'!$E:$E,12),SUMIFS('ON Data'!AM:AM,'ON Data'!$E:$E,12))</f>
        <v>0</v>
      </c>
      <c r="AH21" s="537"/>
    </row>
    <row r="22" spans="1:34" ht="15" hidden="1" outlineLevel="1" thickBot="1" x14ac:dyDescent="0.35">
      <c r="A22" s="231" t="s">
        <v>75</v>
      </c>
      <c r="B22" s="307" t="str">
        <f xml:space="preserve">
IF(OR(B21="",B21=0),"",B20/B21)</f>
        <v/>
      </c>
      <c r="C22" s="308" t="str">
        <f t="shared" ref="C22:AG22" si="2" xml:space="preserve">
IF(OR(C21="",C21=0),"",C20/C21)</f>
        <v/>
      </c>
      <c r="D22" s="309" t="str">
        <f t="shared" si="2"/>
        <v/>
      </c>
      <c r="E22" s="309" t="str">
        <f t="shared" si="2"/>
        <v/>
      </c>
      <c r="F22" s="309" t="str">
        <f t="shared" si="2"/>
        <v/>
      </c>
      <c r="G22" s="309" t="str">
        <f t="shared" si="2"/>
        <v/>
      </c>
      <c r="H22" s="309" t="str">
        <f t="shared" si="2"/>
        <v/>
      </c>
      <c r="I22" s="309" t="str">
        <f t="shared" si="2"/>
        <v/>
      </c>
      <c r="J22" s="309" t="str">
        <f t="shared" si="2"/>
        <v/>
      </c>
      <c r="K22" s="309" t="str">
        <f t="shared" si="2"/>
        <v/>
      </c>
      <c r="L22" s="309" t="str">
        <f t="shared" si="2"/>
        <v/>
      </c>
      <c r="M22" s="309" t="str">
        <f t="shared" si="2"/>
        <v/>
      </c>
      <c r="N22" s="309" t="str">
        <f t="shared" si="2"/>
        <v/>
      </c>
      <c r="O22" s="309" t="str">
        <f t="shared" si="2"/>
        <v/>
      </c>
      <c r="P22" s="309" t="str">
        <f t="shared" si="2"/>
        <v/>
      </c>
      <c r="Q22" s="309" t="str">
        <f t="shared" si="2"/>
        <v/>
      </c>
      <c r="R22" s="309" t="str">
        <f t="shared" si="2"/>
        <v/>
      </c>
      <c r="S22" s="309" t="str">
        <f t="shared" si="2"/>
        <v/>
      </c>
      <c r="T22" s="309" t="str">
        <f t="shared" si="2"/>
        <v/>
      </c>
      <c r="U22" s="309" t="str">
        <f t="shared" si="2"/>
        <v/>
      </c>
      <c r="V22" s="309" t="str">
        <f t="shared" si="2"/>
        <v/>
      </c>
      <c r="W22" s="309" t="str">
        <f t="shared" si="2"/>
        <v/>
      </c>
      <c r="X22" s="309" t="str">
        <f t="shared" si="2"/>
        <v/>
      </c>
      <c r="Y22" s="309" t="str">
        <f t="shared" si="2"/>
        <v/>
      </c>
      <c r="Z22" s="309" t="str">
        <f t="shared" si="2"/>
        <v/>
      </c>
      <c r="AA22" s="309" t="str">
        <f t="shared" si="2"/>
        <v/>
      </c>
      <c r="AB22" s="309" t="str">
        <f t="shared" si="2"/>
        <v/>
      </c>
      <c r="AC22" s="309" t="str">
        <f t="shared" si="2"/>
        <v/>
      </c>
      <c r="AD22" s="309" t="str">
        <f t="shared" si="2"/>
        <v/>
      </c>
      <c r="AE22" s="309" t="str">
        <f t="shared" si="2"/>
        <v/>
      </c>
      <c r="AF22" s="309" t="str">
        <f t="shared" si="2"/>
        <v/>
      </c>
      <c r="AG22" s="532" t="str">
        <f t="shared" si="2"/>
        <v/>
      </c>
      <c r="AH22" s="537"/>
    </row>
    <row r="23" spans="1:34" ht="15" hidden="1" outlineLevel="1" thickBot="1" x14ac:dyDescent="0.35">
      <c r="A23" s="239" t="s">
        <v>68</v>
      </c>
      <c r="B23" s="254">
        <f xml:space="preserve">
IF(B21="","",B20-B21)</f>
        <v>1425532</v>
      </c>
      <c r="C23" s="255">
        <f t="shared" ref="C23:AG23" si="3" xml:space="preserve">
IF(C21="","",C20-C21)</f>
        <v>0</v>
      </c>
      <c r="D23" s="256">
        <f t="shared" si="3"/>
        <v>301409</v>
      </c>
      <c r="E23" s="256">
        <f t="shared" si="3"/>
        <v>0</v>
      </c>
      <c r="F23" s="256">
        <f t="shared" si="3"/>
        <v>172287</v>
      </c>
      <c r="G23" s="256">
        <f t="shared" si="3"/>
        <v>0</v>
      </c>
      <c r="H23" s="256">
        <f t="shared" si="3"/>
        <v>0</v>
      </c>
      <c r="I23" s="256">
        <f t="shared" si="3"/>
        <v>294943</v>
      </c>
      <c r="J23" s="256">
        <f t="shared" si="3"/>
        <v>0</v>
      </c>
      <c r="K23" s="256">
        <f t="shared" si="3"/>
        <v>0</v>
      </c>
      <c r="L23" s="256">
        <f t="shared" si="3"/>
        <v>0</v>
      </c>
      <c r="M23" s="256">
        <f t="shared" si="3"/>
        <v>0</v>
      </c>
      <c r="N23" s="256">
        <f t="shared" si="3"/>
        <v>0</v>
      </c>
      <c r="O23" s="256">
        <f t="shared" si="3"/>
        <v>0</v>
      </c>
      <c r="P23" s="256">
        <f t="shared" si="3"/>
        <v>0</v>
      </c>
      <c r="Q23" s="256">
        <f t="shared" si="3"/>
        <v>0</v>
      </c>
      <c r="R23" s="256">
        <f t="shared" si="3"/>
        <v>0</v>
      </c>
      <c r="S23" s="256">
        <f t="shared" si="3"/>
        <v>0</v>
      </c>
      <c r="T23" s="256">
        <f t="shared" si="3"/>
        <v>0</v>
      </c>
      <c r="U23" s="256">
        <f t="shared" si="3"/>
        <v>569676</v>
      </c>
      <c r="V23" s="256">
        <f t="shared" si="3"/>
        <v>0</v>
      </c>
      <c r="W23" s="256">
        <f t="shared" si="3"/>
        <v>0</v>
      </c>
      <c r="X23" s="256">
        <f t="shared" si="3"/>
        <v>0</v>
      </c>
      <c r="Y23" s="256">
        <f t="shared" si="3"/>
        <v>0</v>
      </c>
      <c r="Z23" s="256">
        <f t="shared" si="3"/>
        <v>0</v>
      </c>
      <c r="AA23" s="256">
        <f t="shared" si="3"/>
        <v>0</v>
      </c>
      <c r="AB23" s="256">
        <f t="shared" si="3"/>
        <v>0</v>
      </c>
      <c r="AC23" s="256">
        <f t="shared" si="3"/>
        <v>6645</v>
      </c>
      <c r="AD23" s="256">
        <f t="shared" si="3"/>
        <v>0</v>
      </c>
      <c r="AE23" s="256">
        <f t="shared" si="3"/>
        <v>0</v>
      </c>
      <c r="AF23" s="256">
        <f t="shared" si="3"/>
        <v>0</v>
      </c>
      <c r="AG23" s="528">
        <f t="shared" si="3"/>
        <v>80572</v>
      </c>
      <c r="AH23" s="537"/>
    </row>
    <row r="24" spans="1:34" x14ac:dyDescent="0.3">
      <c r="A24" s="233" t="s">
        <v>186</v>
      </c>
      <c r="B24" s="280" t="s">
        <v>3</v>
      </c>
      <c r="C24" s="538" t="s">
        <v>197</v>
      </c>
      <c r="D24" s="512"/>
      <c r="E24" s="513"/>
      <c r="F24" s="513" t="s">
        <v>198</v>
      </c>
      <c r="G24" s="513"/>
      <c r="H24" s="513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  <c r="U24" s="513"/>
      <c r="V24" s="513"/>
      <c r="W24" s="513"/>
      <c r="X24" s="513"/>
      <c r="Y24" s="513"/>
      <c r="Z24" s="513"/>
      <c r="AA24" s="513"/>
      <c r="AB24" s="513"/>
      <c r="AC24" s="513"/>
      <c r="AD24" s="513"/>
      <c r="AE24" s="513"/>
      <c r="AF24" s="513"/>
      <c r="AG24" s="533" t="s">
        <v>199</v>
      </c>
      <c r="AH24" s="537"/>
    </row>
    <row r="25" spans="1:34" x14ac:dyDescent="0.3">
      <c r="A25" s="234" t="s">
        <v>73</v>
      </c>
      <c r="B25" s="251">
        <f xml:space="preserve">
SUM(C25:AG25)</f>
        <v>8905</v>
      </c>
      <c r="C25" s="539">
        <f xml:space="preserve">
IF($A$4&lt;=12,SUMIFS('ON Data'!H:H,'ON Data'!$D:$D,$A$4,'ON Data'!$E:$E,10),SUMIFS('ON Data'!H:H,'ON Data'!$E:$E,10))</f>
        <v>2300</v>
      </c>
      <c r="D25" s="514"/>
      <c r="E25" s="515"/>
      <c r="F25" s="515">
        <f xml:space="preserve">
IF($A$4&lt;=12,SUMIFS('ON Data'!K:K,'ON Data'!$D:$D,$A$4,'ON Data'!$E:$E,10),SUMIFS('ON Data'!K:K,'ON Data'!$E:$E,10))</f>
        <v>6605</v>
      </c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34">
        <f xml:space="preserve">
IF($A$4&lt;=12,SUMIFS('ON Data'!AM:AM,'ON Data'!$D:$D,$A$4,'ON Data'!$E:$E,10),SUMIFS('ON Data'!AM:AM,'ON Data'!$E:$E,10))</f>
        <v>0</v>
      </c>
      <c r="AH25" s="537"/>
    </row>
    <row r="26" spans="1:34" x14ac:dyDescent="0.3">
      <c r="A26" s="240" t="s">
        <v>196</v>
      </c>
      <c r="B26" s="260">
        <f xml:space="preserve">
SUM(C26:AG26)</f>
        <v>11766.5</v>
      </c>
      <c r="C26" s="539">
        <f xml:space="preserve">
IF($A$4&lt;=12,SUMIFS('ON Data'!H:H,'ON Data'!$D:$D,$A$4,'ON Data'!$E:$E,11),SUMIFS('ON Data'!H:H,'ON Data'!$E:$E,11))</f>
        <v>3599.8333333333335</v>
      </c>
      <c r="D26" s="514"/>
      <c r="E26" s="515"/>
      <c r="F26" s="516">
        <f xml:space="preserve">
IF($A$4&lt;=12,SUMIFS('ON Data'!K:K,'ON Data'!$D:$D,$A$4,'ON Data'!$E:$E,11),SUMIFS('ON Data'!K:K,'ON Data'!$E:$E,11))</f>
        <v>8166.666666666667</v>
      </c>
      <c r="G26" s="516"/>
      <c r="H26" s="516"/>
      <c r="I26" s="516"/>
      <c r="J26" s="516"/>
      <c r="K26" s="516"/>
      <c r="L26" s="516"/>
      <c r="M26" s="516"/>
      <c r="N26" s="516"/>
      <c r="O26" s="516"/>
      <c r="P26" s="516"/>
      <c r="Q26" s="516"/>
      <c r="R26" s="516"/>
      <c r="S26" s="516"/>
      <c r="T26" s="516"/>
      <c r="U26" s="516"/>
      <c r="V26" s="516"/>
      <c r="W26" s="516"/>
      <c r="X26" s="516"/>
      <c r="Y26" s="516"/>
      <c r="Z26" s="516"/>
      <c r="AA26" s="516"/>
      <c r="AB26" s="516"/>
      <c r="AC26" s="516"/>
      <c r="AD26" s="516"/>
      <c r="AE26" s="516"/>
      <c r="AF26" s="516"/>
      <c r="AG26" s="534">
        <f xml:space="preserve">
IF($A$4&lt;=12,SUMIFS('ON Data'!AM:AM,'ON Data'!$D:$D,$A$4,'ON Data'!$E:$E,11),SUMIFS('ON Data'!AM:AM,'ON Data'!$E:$E,11))</f>
        <v>0</v>
      </c>
      <c r="AH26" s="537"/>
    </row>
    <row r="27" spans="1:34" x14ac:dyDescent="0.3">
      <c r="A27" s="240" t="s">
        <v>75</v>
      </c>
      <c r="B27" s="281">
        <f xml:space="preserve">
IF(B26=0,0,B25/B26)</f>
        <v>0.75680958653805297</v>
      </c>
      <c r="C27" s="540">
        <f xml:space="preserve">
IF(C26=0,0,C25/C26)</f>
        <v>0.63891846844761324</v>
      </c>
      <c r="D27" s="517"/>
      <c r="E27" s="518"/>
      <c r="F27" s="518">
        <f xml:space="preserve">
IF(F26=0,0,F25/F26)</f>
        <v>0.80877551020408156</v>
      </c>
      <c r="G27" s="518"/>
      <c r="H27" s="518"/>
      <c r="I27" s="518"/>
      <c r="J27" s="518"/>
      <c r="K27" s="518"/>
      <c r="L27" s="518"/>
      <c r="M27" s="518"/>
      <c r="N27" s="518"/>
      <c r="O27" s="518"/>
      <c r="P27" s="518"/>
      <c r="Q27" s="518"/>
      <c r="R27" s="518"/>
      <c r="S27" s="518"/>
      <c r="T27" s="518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35">
        <f xml:space="preserve">
IF(AG26=0,0,AG25/AG26)</f>
        <v>0</v>
      </c>
      <c r="AH27" s="537"/>
    </row>
    <row r="28" spans="1:34" ht="15" thickBot="1" x14ac:dyDescent="0.35">
      <c r="A28" s="240" t="s">
        <v>195</v>
      </c>
      <c r="B28" s="260">
        <f xml:space="preserve">
SUM(C28:AG28)</f>
        <v>2861.5000000000005</v>
      </c>
      <c r="C28" s="541">
        <f xml:space="preserve">
C26-C25</f>
        <v>1299.8333333333335</v>
      </c>
      <c r="D28" s="519"/>
      <c r="E28" s="520"/>
      <c r="F28" s="520">
        <f xml:space="preserve">
F26-F25</f>
        <v>1561.666666666667</v>
      </c>
      <c r="G28" s="520"/>
      <c r="H28" s="520"/>
      <c r="I28" s="520"/>
      <c r="J28" s="520"/>
      <c r="K28" s="520"/>
      <c r="L28" s="520"/>
      <c r="M28" s="520"/>
      <c r="N28" s="520"/>
      <c r="O28" s="520"/>
      <c r="P28" s="520"/>
      <c r="Q28" s="520"/>
      <c r="R28" s="520"/>
      <c r="S28" s="520"/>
      <c r="T28" s="520"/>
      <c r="U28" s="520"/>
      <c r="V28" s="520"/>
      <c r="W28" s="520"/>
      <c r="X28" s="520"/>
      <c r="Y28" s="520"/>
      <c r="Z28" s="520"/>
      <c r="AA28" s="520"/>
      <c r="AB28" s="520"/>
      <c r="AC28" s="520"/>
      <c r="AD28" s="520"/>
      <c r="AE28" s="520"/>
      <c r="AF28" s="520"/>
      <c r="AG28" s="536">
        <f xml:space="preserve">
AG26-AG25</f>
        <v>0</v>
      </c>
      <c r="AH28" s="537"/>
    </row>
    <row r="29" spans="1:34" x14ac:dyDescent="0.3">
      <c r="A29" s="241"/>
      <c r="B29" s="241"/>
      <c r="C29" s="242"/>
      <c r="D29" s="241"/>
      <c r="E29" s="241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1"/>
      <c r="AF29" s="241"/>
      <c r="AG29" s="241"/>
    </row>
    <row r="30" spans="1:34" x14ac:dyDescent="0.3">
      <c r="A30" s="102" t="s">
        <v>150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40"/>
    </row>
    <row r="31" spans="1:34" x14ac:dyDescent="0.3">
      <c r="A31" s="103" t="s">
        <v>193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40"/>
    </row>
    <row r="32" spans="1:34" ht="14.4" customHeight="1" x14ac:dyDescent="0.3">
      <c r="A32" s="277" t="s">
        <v>190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</row>
    <row r="33" spans="1:1" x14ac:dyDescent="0.3">
      <c r="A33" s="279" t="s">
        <v>200</v>
      </c>
    </row>
    <row r="34" spans="1:1" x14ac:dyDescent="0.3">
      <c r="A34" s="279" t="s">
        <v>201</v>
      </c>
    </row>
    <row r="35" spans="1:1" x14ac:dyDescent="0.3">
      <c r="A35" s="279" t="s">
        <v>202</v>
      </c>
    </row>
    <row r="36" spans="1:1" x14ac:dyDescent="0.3">
      <c r="A36" s="279" t="s">
        <v>203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8"/>
  <sheetViews>
    <sheetView showGridLines="0" showRowColHeaders="0" workbookViewId="0"/>
  </sheetViews>
  <sheetFormatPr defaultRowHeight="14.4" x14ac:dyDescent="0.3"/>
  <cols>
    <col min="1" max="16384" width="8.88671875" style="220"/>
  </cols>
  <sheetData>
    <row r="1" spans="1:40" x14ac:dyDescent="0.3">
      <c r="A1" s="220" t="s">
        <v>606</v>
      </c>
    </row>
    <row r="2" spans="1:40" x14ac:dyDescent="0.3">
      <c r="A2" s="224" t="s">
        <v>267</v>
      </c>
    </row>
    <row r="3" spans="1:40" x14ac:dyDescent="0.3">
      <c r="A3" s="220" t="s">
        <v>160</v>
      </c>
      <c r="B3" s="245">
        <v>2015</v>
      </c>
      <c r="D3" s="221">
        <f>MAX(D5:D1048576)</f>
        <v>2</v>
      </c>
      <c r="F3" s="221">
        <f>SUMIF($E5:$E1048576,"&lt;10",F5:F1048576)</f>
        <v>1442727.58</v>
      </c>
      <c r="G3" s="221">
        <f t="shared" ref="G3:AN3" si="0">SUMIF($E5:$E1048576,"&lt;10",G5:G1048576)</f>
        <v>0</v>
      </c>
      <c r="H3" s="221">
        <f t="shared" si="0"/>
        <v>302403.90000000002</v>
      </c>
      <c r="I3" s="221">
        <f t="shared" si="0"/>
        <v>0</v>
      </c>
      <c r="J3" s="221">
        <f t="shared" si="0"/>
        <v>0</v>
      </c>
      <c r="K3" s="221">
        <f t="shared" si="0"/>
        <v>173742</v>
      </c>
      <c r="L3" s="221">
        <f t="shared" si="0"/>
        <v>0</v>
      </c>
      <c r="M3" s="221">
        <f t="shared" si="0"/>
        <v>0</v>
      </c>
      <c r="N3" s="221">
        <f t="shared" si="0"/>
        <v>303913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1">
        <f t="shared" si="0"/>
        <v>0</v>
      </c>
      <c r="T3" s="221">
        <f t="shared" si="0"/>
        <v>0</v>
      </c>
      <c r="U3" s="221">
        <f t="shared" si="0"/>
        <v>0</v>
      </c>
      <c r="V3" s="221">
        <f t="shared" si="0"/>
        <v>0</v>
      </c>
      <c r="W3" s="221">
        <f t="shared" si="0"/>
        <v>0</v>
      </c>
      <c r="X3" s="221">
        <f t="shared" si="0"/>
        <v>0</v>
      </c>
      <c r="Y3" s="221">
        <f t="shared" si="0"/>
        <v>0</v>
      </c>
      <c r="Z3" s="221">
        <f t="shared" si="0"/>
        <v>572301.28</v>
      </c>
      <c r="AA3" s="221">
        <f t="shared" si="0"/>
        <v>0</v>
      </c>
      <c r="AB3" s="221">
        <f t="shared" si="0"/>
        <v>0</v>
      </c>
      <c r="AC3" s="221">
        <f t="shared" si="0"/>
        <v>0</v>
      </c>
      <c r="AD3" s="221">
        <f t="shared" si="0"/>
        <v>0</v>
      </c>
      <c r="AE3" s="221">
        <f t="shared" si="0"/>
        <v>0</v>
      </c>
      <c r="AF3" s="221">
        <f t="shared" si="0"/>
        <v>0</v>
      </c>
      <c r="AG3" s="221">
        <f t="shared" si="0"/>
        <v>0</v>
      </c>
      <c r="AH3" s="221">
        <f t="shared" si="0"/>
        <v>6728</v>
      </c>
      <c r="AI3" s="221">
        <f t="shared" si="0"/>
        <v>0</v>
      </c>
      <c r="AJ3" s="221">
        <f t="shared" si="0"/>
        <v>0</v>
      </c>
      <c r="AK3" s="221">
        <f t="shared" si="0"/>
        <v>0</v>
      </c>
      <c r="AL3" s="221">
        <f t="shared" si="0"/>
        <v>0</v>
      </c>
      <c r="AM3" s="221">
        <f t="shared" si="0"/>
        <v>83639.399999999994</v>
      </c>
      <c r="AN3" s="221">
        <f t="shared" si="0"/>
        <v>0</v>
      </c>
    </row>
    <row r="4" spans="1:40" x14ac:dyDescent="0.3">
      <c r="A4" s="220" t="s">
        <v>161</v>
      </c>
      <c r="B4" s="245">
        <v>1</v>
      </c>
      <c r="C4" s="222" t="s">
        <v>5</v>
      </c>
      <c r="D4" s="223" t="s">
        <v>67</v>
      </c>
      <c r="E4" s="223" t="s">
        <v>155</v>
      </c>
      <c r="F4" s="223" t="s">
        <v>3</v>
      </c>
      <c r="G4" s="223" t="s">
        <v>156</v>
      </c>
      <c r="H4" s="223" t="s">
        <v>157</v>
      </c>
      <c r="I4" s="223" t="s">
        <v>158</v>
      </c>
      <c r="J4" s="223" t="s">
        <v>159</v>
      </c>
      <c r="K4" s="223">
        <v>305</v>
      </c>
      <c r="L4" s="223">
        <v>306</v>
      </c>
      <c r="M4" s="223">
        <v>408</v>
      </c>
      <c r="N4" s="223">
        <v>409</v>
      </c>
      <c r="O4" s="223">
        <v>410</v>
      </c>
      <c r="P4" s="223">
        <v>415</v>
      </c>
      <c r="Q4" s="223">
        <v>416</v>
      </c>
      <c r="R4" s="223">
        <v>418</v>
      </c>
      <c r="S4" s="223">
        <v>419</v>
      </c>
      <c r="T4" s="223">
        <v>420</v>
      </c>
      <c r="U4" s="223">
        <v>421</v>
      </c>
      <c r="V4" s="223">
        <v>522</v>
      </c>
      <c r="W4" s="223">
        <v>523</v>
      </c>
      <c r="X4" s="223">
        <v>524</v>
      </c>
      <c r="Y4" s="223">
        <v>525</v>
      </c>
      <c r="Z4" s="223">
        <v>526</v>
      </c>
      <c r="AA4" s="223">
        <v>527</v>
      </c>
      <c r="AB4" s="223">
        <v>528</v>
      </c>
      <c r="AC4" s="223">
        <v>629</v>
      </c>
      <c r="AD4" s="223">
        <v>630</v>
      </c>
      <c r="AE4" s="223">
        <v>636</v>
      </c>
      <c r="AF4" s="223">
        <v>637</v>
      </c>
      <c r="AG4" s="223">
        <v>640</v>
      </c>
      <c r="AH4" s="223">
        <v>642</v>
      </c>
      <c r="AI4" s="223">
        <v>743</v>
      </c>
      <c r="AJ4" s="223">
        <v>745</v>
      </c>
      <c r="AK4" s="223">
        <v>746</v>
      </c>
      <c r="AL4" s="223">
        <v>747</v>
      </c>
      <c r="AM4" s="223">
        <v>930</v>
      </c>
      <c r="AN4" s="223">
        <v>940</v>
      </c>
    </row>
    <row r="5" spans="1:40" x14ac:dyDescent="0.3">
      <c r="A5" s="220" t="s">
        <v>162</v>
      </c>
      <c r="B5" s="245">
        <v>2</v>
      </c>
      <c r="C5" s="220">
        <v>28</v>
      </c>
      <c r="D5" s="220">
        <v>1</v>
      </c>
      <c r="E5" s="220">
        <v>1</v>
      </c>
      <c r="F5" s="220">
        <v>22.4</v>
      </c>
      <c r="G5" s="220">
        <v>0</v>
      </c>
      <c r="H5" s="220">
        <v>3</v>
      </c>
      <c r="I5" s="220">
        <v>0</v>
      </c>
      <c r="J5" s="220">
        <v>0</v>
      </c>
      <c r="K5" s="220">
        <v>2.5</v>
      </c>
      <c r="L5" s="220">
        <v>0</v>
      </c>
      <c r="M5" s="220">
        <v>0</v>
      </c>
      <c r="N5" s="220">
        <v>5.5</v>
      </c>
      <c r="O5" s="220">
        <v>0</v>
      </c>
      <c r="P5" s="220">
        <v>0</v>
      </c>
      <c r="Q5" s="220">
        <v>0</v>
      </c>
      <c r="R5" s="220">
        <v>0</v>
      </c>
      <c r="S5" s="220">
        <v>0</v>
      </c>
      <c r="T5" s="220">
        <v>0</v>
      </c>
      <c r="U5" s="220">
        <v>0</v>
      </c>
      <c r="V5" s="220">
        <v>0</v>
      </c>
      <c r="W5" s="220">
        <v>0</v>
      </c>
      <c r="X5" s="220">
        <v>0</v>
      </c>
      <c r="Y5" s="220">
        <v>0</v>
      </c>
      <c r="Z5" s="220">
        <v>8.6</v>
      </c>
      <c r="AA5" s="220">
        <v>0</v>
      </c>
      <c r="AB5" s="220">
        <v>0</v>
      </c>
      <c r="AC5" s="220">
        <v>0</v>
      </c>
      <c r="AD5" s="220">
        <v>0</v>
      </c>
      <c r="AE5" s="220">
        <v>0</v>
      </c>
      <c r="AF5" s="220">
        <v>0</v>
      </c>
      <c r="AG5" s="220">
        <v>0</v>
      </c>
      <c r="AH5" s="220">
        <v>1</v>
      </c>
      <c r="AI5" s="220">
        <v>0</v>
      </c>
      <c r="AJ5" s="220">
        <v>0</v>
      </c>
      <c r="AK5" s="220">
        <v>0</v>
      </c>
      <c r="AL5" s="220">
        <v>0</v>
      </c>
      <c r="AM5" s="220">
        <v>1.8</v>
      </c>
      <c r="AN5" s="220">
        <v>0</v>
      </c>
    </row>
    <row r="6" spans="1:40" x14ac:dyDescent="0.3">
      <c r="A6" s="220" t="s">
        <v>163</v>
      </c>
      <c r="B6" s="245">
        <v>3</v>
      </c>
      <c r="C6" s="220">
        <v>28</v>
      </c>
      <c r="D6" s="220">
        <v>1</v>
      </c>
      <c r="E6" s="220">
        <v>2</v>
      </c>
      <c r="F6" s="220">
        <v>3481.64</v>
      </c>
      <c r="G6" s="220">
        <v>0</v>
      </c>
      <c r="H6" s="220">
        <v>512.79999999999995</v>
      </c>
      <c r="I6" s="220">
        <v>0</v>
      </c>
      <c r="J6" s="220">
        <v>0</v>
      </c>
      <c r="K6" s="220">
        <v>424</v>
      </c>
      <c r="L6" s="220">
        <v>0</v>
      </c>
      <c r="M6" s="220">
        <v>0</v>
      </c>
      <c r="N6" s="220">
        <v>948</v>
      </c>
      <c r="O6" s="220">
        <v>0</v>
      </c>
      <c r="P6" s="220">
        <v>0</v>
      </c>
      <c r="Q6" s="220">
        <v>0</v>
      </c>
      <c r="R6" s="220">
        <v>0</v>
      </c>
      <c r="S6" s="220">
        <v>0</v>
      </c>
      <c r="T6" s="220">
        <v>0</v>
      </c>
      <c r="U6" s="220">
        <v>0</v>
      </c>
      <c r="V6" s="220">
        <v>0</v>
      </c>
      <c r="W6" s="220">
        <v>0</v>
      </c>
      <c r="X6" s="220">
        <v>0</v>
      </c>
      <c r="Y6" s="220">
        <v>0</v>
      </c>
      <c r="Z6" s="220">
        <v>1280.04</v>
      </c>
      <c r="AA6" s="220">
        <v>0</v>
      </c>
      <c r="AB6" s="220">
        <v>0</v>
      </c>
      <c r="AC6" s="220">
        <v>0</v>
      </c>
      <c r="AD6" s="220">
        <v>0</v>
      </c>
      <c r="AE6" s="220">
        <v>0</v>
      </c>
      <c r="AF6" s="220">
        <v>0</v>
      </c>
      <c r="AG6" s="220">
        <v>0</v>
      </c>
      <c r="AH6" s="220">
        <v>0</v>
      </c>
      <c r="AI6" s="220">
        <v>0</v>
      </c>
      <c r="AJ6" s="220">
        <v>0</v>
      </c>
      <c r="AK6" s="220">
        <v>0</v>
      </c>
      <c r="AL6" s="220">
        <v>0</v>
      </c>
      <c r="AM6" s="220">
        <v>316.8</v>
      </c>
      <c r="AN6" s="220">
        <v>0</v>
      </c>
    </row>
    <row r="7" spans="1:40" x14ac:dyDescent="0.3">
      <c r="A7" s="220" t="s">
        <v>164</v>
      </c>
      <c r="B7" s="245">
        <v>4</v>
      </c>
      <c r="C7" s="220">
        <v>28</v>
      </c>
      <c r="D7" s="220">
        <v>1</v>
      </c>
      <c r="E7" s="220">
        <v>3</v>
      </c>
      <c r="F7" s="220">
        <v>54</v>
      </c>
      <c r="G7" s="220">
        <v>0</v>
      </c>
      <c r="H7" s="220">
        <v>40</v>
      </c>
      <c r="I7" s="220">
        <v>0</v>
      </c>
      <c r="J7" s="220">
        <v>0</v>
      </c>
      <c r="K7" s="220">
        <v>10</v>
      </c>
      <c r="L7" s="220">
        <v>0</v>
      </c>
      <c r="M7" s="220">
        <v>0</v>
      </c>
      <c r="N7" s="220">
        <v>4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0">
        <v>0</v>
      </c>
      <c r="W7" s="220">
        <v>0</v>
      </c>
      <c r="X7" s="220">
        <v>0</v>
      </c>
      <c r="Y7" s="220">
        <v>0</v>
      </c>
      <c r="Z7" s="220">
        <v>0</v>
      </c>
      <c r="AA7" s="220">
        <v>0</v>
      </c>
      <c r="AB7" s="220">
        <v>0</v>
      </c>
      <c r="AC7" s="220">
        <v>0</v>
      </c>
      <c r="AD7" s="220">
        <v>0</v>
      </c>
      <c r="AE7" s="220">
        <v>0</v>
      </c>
      <c r="AF7" s="220">
        <v>0</v>
      </c>
      <c r="AG7" s="220">
        <v>0</v>
      </c>
      <c r="AH7" s="220">
        <v>0</v>
      </c>
      <c r="AI7" s="220">
        <v>0</v>
      </c>
      <c r="AJ7" s="220">
        <v>0</v>
      </c>
      <c r="AK7" s="220">
        <v>0</v>
      </c>
      <c r="AL7" s="220">
        <v>0</v>
      </c>
      <c r="AM7" s="220">
        <v>0</v>
      </c>
      <c r="AN7" s="220">
        <v>0</v>
      </c>
    </row>
    <row r="8" spans="1:40" x14ac:dyDescent="0.3">
      <c r="A8" s="220" t="s">
        <v>165</v>
      </c>
      <c r="B8" s="245">
        <v>5</v>
      </c>
      <c r="C8" s="220">
        <v>28</v>
      </c>
      <c r="D8" s="220">
        <v>1</v>
      </c>
      <c r="E8" s="220">
        <v>6</v>
      </c>
      <c r="F8" s="220">
        <v>708848</v>
      </c>
      <c r="G8" s="220">
        <v>0</v>
      </c>
      <c r="H8" s="220">
        <v>158599</v>
      </c>
      <c r="I8" s="220">
        <v>0</v>
      </c>
      <c r="J8" s="220">
        <v>0</v>
      </c>
      <c r="K8" s="220">
        <v>83772</v>
      </c>
      <c r="L8" s="220">
        <v>0</v>
      </c>
      <c r="M8" s="220">
        <v>0</v>
      </c>
      <c r="N8" s="220">
        <v>150998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0">
        <v>0</v>
      </c>
      <c r="W8" s="220">
        <v>0</v>
      </c>
      <c r="X8" s="220">
        <v>0</v>
      </c>
      <c r="Y8" s="220">
        <v>0</v>
      </c>
      <c r="Z8" s="220">
        <v>273988</v>
      </c>
      <c r="AA8" s="220">
        <v>0</v>
      </c>
      <c r="AB8" s="220">
        <v>0</v>
      </c>
      <c r="AC8" s="220">
        <v>0</v>
      </c>
      <c r="AD8" s="220">
        <v>0</v>
      </c>
      <c r="AE8" s="220">
        <v>0</v>
      </c>
      <c r="AF8" s="220">
        <v>0</v>
      </c>
      <c r="AG8" s="220">
        <v>0</v>
      </c>
      <c r="AH8" s="220">
        <v>0</v>
      </c>
      <c r="AI8" s="220">
        <v>0</v>
      </c>
      <c r="AJ8" s="220">
        <v>0</v>
      </c>
      <c r="AK8" s="220">
        <v>0</v>
      </c>
      <c r="AL8" s="220">
        <v>0</v>
      </c>
      <c r="AM8" s="220">
        <v>41491</v>
      </c>
      <c r="AN8" s="220">
        <v>0</v>
      </c>
    </row>
    <row r="9" spans="1:40" x14ac:dyDescent="0.3">
      <c r="A9" s="220" t="s">
        <v>166</v>
      </c>
      <c r="B9" s="245">
        <v>6</v>
      </c>
      <c r="C9" s="220">
        <v>28</v>
      </c>
      <c r="D9" s="220">
        <v>1</v>
      </c>
      <c r="E9" s="220">
        <v>9</v>
      </c>
      <c r="F9" s="220">
        <v>10376</v>
      </c>
      <c r="G9" s="220">
        <v>0</v>
      </c>
      <c r="H9" s="220">
        <v>0</v>
      </c>
      <c r="I9" s="220">
        <v>0</v>
      </c>
      <c r="J9" s="220">
        <v>0</v>
      </c>
      <c r="K9" s="220">
        <v>670</v>
      </c>
      <c r="L9" s="220">
        <v>0</v>
      </c>
      <c r="M9" s="220">
        <v>0</v>
      </c>
      <c r="N9" s="220">
        <v>7235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0">
        <v>0</v>
      </c>
      <c r="W9" s="220">
        <v>0</v>
      </c>
      <c r="X9" s="220">
        <v>0</v>
      </c>
      <c r="Y9" s="220">
        <v>0</v>
      </c>
      <c r="Z9" s="220">
        <v>0</v>
      </c>
      <c r="AA9" s="220">
        <v>0</v>
      </c>
      <c r="AB9" s="220">
        <v>0</v>
      </c>
      <c r="AC9" s="220">
        <v>0</v>
      </c>
      <c r="AD9" s="220">
        <v>0</v>
      </c>
      <c r="AE9" s="220">
        <v>0</v>
      </c>
      <c r="AF9" s="220">
        <v>0</v>
      </c>
      <c r="AG9" s="220">
        <v>0</v>
      </c>
      <c r="AH9" s="220">
        <v>0</v>
      </c>
      <c r="AI9" s="220">
        <v>0</v>
      </c>
      <c r="AJ9" s="220">
        <v>0</v>
      </c>
      <c r="AK9" s="220">
        <v>0</v>
      </c>
      <c r="AL9" s="220">
        <v>0</v>
      </c>
      <c r="AM9" s="220">
        <v>2471</v>
      </c>
      <c r="AN9" s="220">
        <v>0</v>
      </c>
    </row>
    <row r="10" spans="1:40" x14ac:dyDescent="0.3">
      <c r="A10" s="220" t="s">
        <v>167</v>
      </c>
      <c r="B10" s="245">
        <v>7</v>
      </c>
      <c r="C10" s="220">
        <v>28</v>
      </c>
      <c r="D10" s="220">
        <v>1</v>
      </c>
      <c r="E10" s="220">
        <v>10</v>
      </c>
      <c r="F10" s="220">
        <v>6800</v>
      </c>
      <c r="G10" s="220">
        <v>0</v>
      </c>
      <c r="H10" s="220">
        <v>800</v>
      </c>
      <c r="I10" s="220">
        <v>0</v>
      </c>
      <c r="J10" s="220">
        <v>0</v>
      </c>
      <c r="K10" s="220">
        <v>6000</v>
      </c>
      <c r="L10" s="220">
        <v>0</v>
      </c>
      <c r="M10" s="220">
        <v>0</v>
      </c>
      <c r="N10" s="220">
        <v>0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0</v>
      </c>
      <c r="U10" s="220">
        <v>0</v>
      </c>
      <c r="V10" s="220">
        <v>0</v>
      </c>
      <c r="W10" s="220">
        <v>0</v>
      </c>
      <c r="X10" s="220">
        <v>0</v>
      </c>
      <c r="Y10" s="220">
        <v>0</v>
      </c>
      <c r="Z10" s="220">
        <v>0</v>
      </c>
      <c r="AA10" s="220">
        <v>0</v>
      </c>
      <c r="AB10" s="220">
        <v>0</v>
      </c>
      <c r="AC10" s="220">
        <v>0</v>
      </c>
      <c r="AD10" s="220">
        <v>0</v>
      </c>
      <c r="AE10" s="220">
        <v>0</v>
      </c>
      <c r="AF10" s="220">
        <v>0</v>
      </c>
      <c r="AG10" s="220">
        <v>0</v>
      </c>
      <c r="AH10" s="220">
        <v>0</v>
      </c>
      <c r="AI10" s="220">
        <v>0</v>
      </c>
      <c r="AJ10" s="220">
        <v>0</v>
      </c>
      <c r="AK10" s="220">
        <v>0</v>
      </c>
      <c r="AL10" s="220">
        <v>0</v>
      </c>
      <c r="AM10" s="220">
        <v>0</v>
      </c>
      <c r="AN10" s="220">
        <v>0</v>
      </c>
    </row>
    <row r="11" spans="1:40" x14ac:dyDescent="0.3">
      <c r="A11" s="220" t="s">
        <v>168</v>
      </c>
      <c r="B11" s="245">
        <v>8</v>
      </c>
      <c r="C11" s="220">
        <v>28</v>
      </c>
      <c r="D11" s="220">
        <v>1</v>
      </c>
      <c r="E11" s="220">
        <v>11</v>
      </c>
      <c r="F11" s="220">
        <v>5883.25</v>
      </c>
      <c r="G11" s="220">
        <v>0</v>
      </c>
      <c r="H11" s="220">
        <v>1799.9166666666667</v>
      </c>
      <c r="I11" s="220">
        <v>0</v>
      </c>
      <c r="J11" s="220">
        <v>0</v>
      </c>
      <c r="K11" s="220">
        <v>4083.3333333333335</v>
      </c>
      <c r="L11" s="220">
        <v>0</v>
      </c>
      <c r="M11" s="220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0">
        <v>0</v>
      </c>
      <c r="W11" s="220">
        <v>0</v>
      </c>
      <c r="X11" s="220">
        <v>0</v>
      </c>
      <c r="Y11" s="220">
        <v>0</v>
      </c>
      <c r="Z11" s="220">
        <v>0</v>
      </c>
      <c r="AA11" s="220">
        <v>0</v>
      </c>
      <c r="AB11" s="220">
        <v>0</v>
      </c>
      <c r="AC11" s="220">
        <v>0</v>
      </c>
      <c r="AD11" s="220">
        <v>0</v>
      </c>
      <c r="AE11" s="220">
        <v>0</v>
      </c>
      <c r="AF11" s="220">
        <v>0</v>
      </c>
      <c r="AG11" s="220">
        <v>0</v>
      </c>
      <c r="AH11" s="220">
        <v>0</v>
      </c>
      <c r="AI11" s="220">
        <v>0</v>
      </c>
      <c r="AJ11" s="220">
        <v>0</v>
      </c>
      <c r="AK11" s="220">
        <v>0</v>
      </c>
      <c r="AL11" s="220">
        <v>0</v>
      </c>
      <c r="AM11" s="220">
        <v>0</v>
      </c>
      <c r="AN11" s="220">
        <v>0</v>
      </c>
    </row>
    <row r="12" spans="1:40" x14ac:dyDescent="0.3">
      <c r="A12" s="220" t="s">
        <v>169</v>
      </c>
      <c r="B12" s="245">
        <v>9</v>
      </c>
      <c r="C12" s="220">
        <v>28</v>
      </c>
      <c r="D12" s="220">
        <v>2</v>
      </c>
      <c r="E12" s="220">
        <v>1</v>
      </c>
      <c r="F12" s="220">
        <v>23.5</v>
      </c>
      <c r="G12" s="220">
        <v>0</v>
      </c>
      <c r="H12" s="220">
        <v>3.1</v>
      </c>
      <c r="I12" s="220">
        <v>0</v>
      </c>
      <c r="J12" s="220">
        <v>0</v>
      </c>
      <c r="K12" s="220">
        <v>2.5</v>
      </c>
      <c r="L12" s="220">
        <v>0</v>
      </c>
      <c r="M12" s="220">
        <v>0</v>
      </c>
      <c r="N12" s="220">
        <v>5.5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0">
        <v>0</v>
      </c>
      <c r="W12" s="220">
        <v>0</v>
      </c>
      <c r="X12" s="220">
        <v>0</v>
      </c>
      <c r="Y12" s="220">
        <v>0</v>
      </c>
      <c r="Z12" s="220">
        <v>8.6</v>
      </c>
      <c r="AA12" s="220">
        <v>0</v>
      </c>
      <c r="AB12" s="220">
        <v>0</v>
      </c>
      <c r="AC12" s="220">
        <v>0</v>
      </c>
      <c r="AD12" s="220">
        <v>0</v>
      </c>
      <c r="AE12" s="220">
        <v>0</v>
      </c>
      <c r="AF12" s="220">
        <v>0</v>
      </c>
      <c r="AG12" s="220">
        <v>0</v>
      </c>
      <c r="AH12" s="220">
        <v>2</v>
      </c>
      <c r="AI12" s="220">
        <v>0</v>
      </c>
      <c r="AJ12" s="220">
        <v>0</v>
      </c>
      <c r="AK12" s="220">
        <v>0</v>
      </c>
      <c r="AL12" s="220">
        <v>0</v>
      </c>
      <c r="AM12" s="220">
        <v>1.8</v>
      </c>
      <c r="AN12" s="220">
        <v>0</v>
      </c>
    </row>
    <row r="13" spans="1:40" x14ac:dyDescent="0.3">
      <c r="A13" s="220" t="s">
        <v>170</v>
      </c>
      <c r="B13" s="245">
        <v>10</v>
      </c>
      <c r="C13" s="220">
        <v>28</v>
      </c>
      <c r="D13" s="220">
        <v>2</v>
      </c>
      <c r="E13" s="220">
        <v>2</v>
      </c>
      <c r="F13" s="220">
        <v>3208.04</v>
      </c>
      <c r="G13" s="220">
        <v>0</v>
      </c>
      <c r="H13" s="220">
        <v>436</v>
      </c>
      <c r="I13" s="220">
        <v>0</v>
      </c>
      <c r="J13" s="220">
        <v>0</v>
      </c>
      <c r="K13" s="220">
        <v>320</v>
      </c>
      <c r="L13" s="220">
        <v>0</v>
      </c>
      <c r="M13" s="220">
        <v>0</v>
      </c>
      <c r="N13" s="220">
        <v>768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0</v>
      </c>
      <c r="X13" s="220">
        <v>0</v>
      </c>
      <c r="Y13" s="220">
        <v>0</v>
      </c>
      <c r="Z13" s="220">
        <v>1328.04</v>
      </c>
      <c r="AA13" s="220">
        <v>0</v>
      </c>
      <c r="AB13" s="220">
        <v>0</v>
      </c>
      <c r="AC13" s="220">
        <v>0</v>
      </c>
      <c r="AD13" s="220">
        <v>0</v>
      </c>
      <c r="AE13" s="220">
        <v>0</v>
      </c>
      <c r="AF13" s="220">
        <v>0</v>
      </c>
      <c r="AG13" s="220">
        <v>0</v>
      </c>
      <c r="AH13" s="220">
        <v>80</v>
      </c>
      <c r="AI13" s="220">
        <v>0</v>
      </c>
      <c r="AJ13" s="220">
        <v>0</v>
      </c>
      <c r="AK13" s="220">
        <v>0</v>
      </c>
      <c r="AL13" s="220">
        <v>0</v>
      </c>
      <c r="AM13" s="220">
        <v>276</v>
      </c>
      <c r="AN13" s="220">
        <v>0</v>
      </c>
    </row>
    <row r="14" spans="1:40" x14ac:dyDescent="0.3">
      <c r="A14" s="220" t="s">
        <v>171</v>
      </c>
      <c r="B14" s="245">
        <v>11</v>
      </c>
      <c r="C14" s="220">
        <v>28</v>
      </c>
      <c r="D14" s="220">
        <v>2</v>
      </c>
      <c r="E14" s="220">
        <v>3</v>
      </c>
      <c r="F14" s="220">
        <v>20</v>
      </c>
      <c r="G14" s="220">
        <v>0</v>
      </c>
      <c r="H14" s="220">
        <v>0</v>
      </c>
      <c r="I14" s="220">
        <v>0</v>
      </c>
      <c r="J14" s="220">
        <v>0</v>
      </c>
      <c r="K14" s="220">
        <v>16</v>
      </c>
      <c r="L14" s="220">
        <v>0</v>
      </c>
      <c r="M14" s="220">
        <v>0</v>
      </c>
      <c r="N14" s="220">
        <v>4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20">
        <v>0</v>
      </c>
      <c r="Y14" s="220">
        <v>0</v>
      </c>
      <c r="Z14" s="220">
        <v>0</v>
      </c>
      <c r="AA14" s="220">
        <v>0</v>
      </c>
      <c r="AB14" s="220">
        <v>0</v>
      </c>
      <c r="AC14" s="220">
        <v>0</v>
      </c>
      <c r="AD14" s="220">
        <v>0</v>
      </c>
      <c r="AE14" s="220">
        <v>0</v>
      </c>
      <c r="AF14" s="220">
        <v>0</v>
      </c>
      <c r="AG14" s="220">
        <v>0</v>
      </c>
      <c r="AH14" s="220">
        <v>0</v>
      </c>
      <c r="AI14" s="220">
        <v>0</v>
      </c>
      <c r="AJ14" s="220">
        <v>0</v>
      </c>
      <c r="AK14" s="220">
        <v>0</v>
      </c>
      <c r="AL14" s="220">
        <v>0</v>
      </c>
      <c r="AM14" s="220">
        <v>0</v>
      </c>
      <c r="AN14" s="220">
        <v>0</v>
      </c>
    </row>
    <row r="15" spans="1:40" x14ac:dyDescent="0.3">
      <c r="A15" s="220" t="s">
        <v>172</v>
      </c>
      <c r="B15" s="245">
        <v>12</v>
      </c>
      <c r="C15" s="220">
        <v>28</v>
      </c>
      <c r="D15" s="220">
        <v>2</v>
      </c>
      <c r="E15" s="220">
        <v>4</v>
      </c>
      <c r="F15" s="220">
        <v>10</v>
      </c>
      <c r="G15" s="220">
        <v>0</v>
      </c>
      <c r="H15" s="220">
        <v>0</v>
      </c>
      <c r="I15" s="220">
        <v>0</v>
      </c>
      <c r="J15" s="220">
        <v>0</v>
      </c>
      <c r="K15" s="220">
        <v>10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20">
        <v>0</v>
      </c>
      <c r="Y15" s="220">
        <v>0</v>
      </c>
      <c r="Z15" s="220">
        <v>0</v>
      </c>
      <c r="AA15" s="220">
        <v>0</v>
      </c>
      <c r="AB15" s="220">
        <v>0</v>
      </c>
      <c r="AC15" s="220">
        <v>0</v>
      </c>
      <c r="AD15" s="220">
        <v>0</v>
      </c>
      <c r="AE15" s="220">
        <v>0</v>
      </c>
      <c r="AF15" s="220">
        <v>0</v>
      </c>
      <c r="AG15" s="220">
        <v>0</v>
      </c>
      <c r="AH15" s="220">
        <v>0</v>
      </c>
      <c r="AI15" s="220">
        <v>0</v>
      </c>
      <c r="AJ15" s="220">
        <v>0</v>
      </c>
      <c r="AK15" s="220">
        <v>0</v>
      </c>
      <c r="AL15" s="220">
        <v>0</v>
      </c>
      <c r="AM15" s="220">
        <v>0</v>
      </c>
      <c r="AN15" s="220">
        <v>0</v>
      </c>
    </row>
    <row r="16" spans="1:40" x14ac:dyDescent="0.3">
      <c r="A16" s="220" t="s">
        <v>160</v>
      </c>
      <c r="B16" s="245">
        <v>2015</v>
      </c>
      <c r="C16" s="220">
        <v>28</v>
      </c>
      <c r="D16" s="220">
        <v>2</v>
      </c>
      <c r="E16" s="220">
        <v>6</v>
      </c>
      <c r="F16" s="220">
        <v>716684</v>
      </c>
      <c r="G16" s="220">
        <v>0</v>
      </c>
      <c r="H16" s="220">
        <v>142810</v>
      </c>
      <c r="I16" s="220">
        <v>0</v>
      </c>
      <c r="J16" s="220">
        <v>0</v>
      </c>
      <c r="K16" s="220">
        <v>88515</v>
      </c>
      <c r="L16" s="220">
        <v>0</v>
      </c>
      <c r="M16" s="220">
        <v>0</v>
      </c>
      <c r="N16" s="220">
        <v>143945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20">
        <v>0</v>
      </c>
      <c r="Y16" s="220">
        <v>0</v>
      </c>
      <c r="Z16" s="220">
        <v>295688</v>
      </c>
      <c r="AA16" s="220">
        <v>0</v>
      </c>
      <c r="AB16" s="220">
        <v>0</v>
      </c>
      <c r="AC16" s="220">
        <v>0</v>
      </c>
      <c r="AD16" s="220">
        <v>0</v>
      </c>
      <c r="AE16" s="220">
        <v>0</v>
      </c>
      <c r="AF16" s="220">
        <v>0</v>
      </c>
      <c r="AG16" s="220">
        <v>0</v>
      </c>
      <c r="AH16" s="220">
        <v>6645</v>
      </c>
      <c r="AI16" s="220">
        <v>0</v>
      </c>
      <c r="AJ16" s="220">
        <v>0</v>
      </c>
      <c r="AK16" s="220">
        <v>0</v>
      </c>
      <c r="AL16" s="220">
        <v>0</v>
      </c>
      <c r="AM16" s="220">
        <v>39081</v>
      </c>
      <c r="AN16" s="220">
        <v>0</v>
      </c>
    </row>
    <row r="17" spans="3:40" x14ac:dyDescent="0.3">
      <c r="C17" s="220">
        <v>28</v>
      </c>
      <c r="D17" s="220">
        <v>2</v>
      </c>
      <c r="E17" s="220">
        <v>10</v>
      </c>
      <c r="F17" s="220">
        <v>2105</v>
      </c>
      <c r="G17" s="220">
        <v>0</v>
      </c>
      <c r="H17" s="220">
        <v>1500</v>
      </c>
      <c r="I17" s="220">
        <v>0</v>
      </c>
      <c r="J17" s="220">
        <v>0</v>
      </c>
      <c r="K17" s="220">
        <v>605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20">
        <v>0</v>
      </c>
      <c r="Y17" s="220">
        <v>0</v>
      </c>
      <c r="Z17" s="220">
        <v>0</v>
      </c>
      <c r="AA17" s="220">
        <v>0</v>
      </c>
      <c r="AB17" s="220">
        <v>0</v>
      </c>
      <c r="AC17" s="220">
        <v>0</v>
      </c>
      <c r="AD17" s="220">
        <v>0</v>
      </c>
      <c r="AE17" s="220">
        <v>0</v>
      </c>
      <c r="AF17" s="220">
        <v>0</v>
      </c>
      <c r="AG17" s="220">
        <v>0</v>
      </c>
      <c r="AH17" s="220">
        <v>0</v>
      </c>
      <c r="AI17" s="220">
        <v>0</v>
      </c>
      <c r="AJ17" s="220">
        <v>0</v>
      </c>
      <c r="AK17" s="220">
        <v>0</v>
      </c>
      <c r="AL17" s="220">
        <v>0</v>
      </c>
      <c r="AM17" s="220">
        <v>0</v>
      </c>
      <c r="AN17" s="220">
        <v>0</v>
      </c>
    </row>
    <row r="18" spans="3:40" x14ac:dyDescent="0.3">
      <c r="C18" s="220">
        <v>28</v>
      </c>
      <c r="D18" s="220">
        <v>2</v>
      </c>
      <c r="E18" s="220">
        <v>11</v>
      </c>
      <c r="F18" s="220">
        <v>5883.25</v>
      </c>
      <c r="G18" s="220">
        <v>0</v>
      </c>
      <c r="H18" s="220">
        <v>1799.9166666666667</v>
      </c>
      <c r="I18" s="220">
        <v>0</v>
      </c>
      <c r="J18" s="220">
        <v>0</v>
      </c>
      <c r="K18" s="220">
        <v>4083.3333333333335</v>
      </c>
      <c r="L18" s="220">
        <v>0</v>
      </c>
      <c r="M18" s="220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0</v>
      </c>
      <c r="X18" s="220">
        <v>0</v>
      </c>
      <c r="Y18" s="220">
        <v>0</v>
      </c>
      <c r="Z18" s="220">
        <v>0</v>
      </c>
      <c r="AA18" s="220">
        <v>0</v>
      </c>
      <c r="AB18" s="220">
        <v>0</v>
      </c>
      <c r="AC18" s="220">
        <v>0</v>
      </c>
      <c r="AD18" s="220">
        <v>0</v>
      </c>
      <c r="AE18" s="220">
        <v>0</v>
      </c>
      <c r="AF18" s="220">
        <v>0</v>
      </c>
      <c r="AG18" s="220">
        <v>0</v>
      </c>
      <c r="AH18" s="220">
        <v>0</v>
      </c>
      <c r="AI18" s="220">
        <v>0</v>
      </c>
      <c r="AJ18" s="220">
        <v>0</v>
      </c>
      <c r="AK18" s="220">
        <v>0</v>
      </c>
      <c r="AL18" s="220">
        <v>0</v>
      </c>
      <c r="AM18" s="220">
        <v>0</v>
      </c>
      <c r="AN18" s="22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9" bestFit="1" customWidth="1"/>
    <col min="2" max="2" width="7.77734375" style="95" customWidth="1"/>
    <col min="3" max="3" width="5.44140625" style="119" hidden="1" customWidth="1"/>
    <col min="4" max="4" width="7.77734375" style="95" customWidth="1"/>
    <col min="5" max="5" width="5.44140625" style="119" hidden="1" customWidth="1"/>
    <col min="6" max="6" width="7.77734375" style="95" customWidth="1"/>
    <col min="7" max="7" width="7.77734375" style="200" customWidth="1"/>
    <col min="8" max="8" width="7.77734375" style="95" customWidth="1"/>
    <col min="9" max="9" width="5.44140625" style="119" hidden="1" customWidth="1"/>
    <col min="10" max="10" width="7.77734375" style="95" customWidth="1"/>
    <col min="11" max="11" width="5.44140625" style="119" hidden="1" customWidth="1"/>
    <col min="12" max="12" width="7.77734375" style="95" customWidth="1"/>
    <col min="13" max="13" width="7.77734375" style="200" customWidth="1"/>
    <col min="14" max="14" width="7.77734375" style="95" customWidth="1"/>
    <col min="15" max="15" width="5" style="119" hidden="1" customWidth="1"/>
    <col min="16" max="16" width="7.77734375" style="95" customWidth="1"/>
    <col min="17" max="17" width="5" style="119" hidden="1" customWidth="1"/>
    <col min="18" max="18" width="7.77734375" style="95" customWidth="1"/>
    <col min="19" max="19" width="7.77734375" style="200" customWidth="1"/>
    <col min="20" max="16384" width="8.88671875" style="119"/>
  </cols>
  <sheetData>
    <row r="1" spans="1:19" ht="18.600000000000001" customHeight="1" thickBot="1" x14ac:dyDescent="0.4">
      <c r="A1" s="376" t="s">
        <v>614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</row>
    <row r="2" spans="1:19" ht="14.4" customHeight="1" thickBot="1" x14ac:dyDescent="0.35">
      <c r="A2" s="224" t="s">
        <v>267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14.4" customHeight="1" thickBot="1" x14ac:dyDescent="0.35">
      <c r="A3" s="210" t="s">
        <v>129</v>
      </c>
      <c r="B3" s="211">
        <f>SUBTOTAL(9,B6:B1048576)</f>
        <v>8833806</v>
      </c>
      <c r="C3" s="212">
        <f t="shared" ref="C3:R3" si="0">SUBTOTAL(9,C6:C1048576)</f>
        <v>4</v>
      </c>
      <c r="D3" s="212">
        <f t="shared" si="0"/>
        <v>7910838</v>
      </c>
      <c r="E3" s="212">
        <f t="shared" si="0"/>
        <v>3.196169524564576</v>
      </c>
      <c r="F3" s="212">
        <f t="shared" si="0"/>
        <v>7177722</v>
      </c>
      <c r="G3" s="213">
        <f>IF(B3&lt;&gt;0,F3/B3,"")</f>
        <v>0.812528823929346</v>
      </c>
      <c r="H3" s="214">
        <f t="shared" si="0"/>
        <v>16018.01</v>
      </c>
      <c r="I3" s="212">
        <f t="shared" si="0"/>
        <v>2</v>
      </c>
      <c r="J3" s="212">
        <f t="shared" si="0"/>
        <v>6880.25</v>
      </c>
      <c r="K3" s="212">
        <f t="shared" si="0"/>
        <v>1.2341413842406981</v>
      </c>
      <c r="L3" s="212">
        <f t="shared" si="0"/>
        <v>0</v>
      </c>
      <c r="M3" s="215">
        <f>IF(H3&lt;&gt;0,L3/H3,"")</f>
        <v>0</v>
      </c>
      <c r="N3" s="211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3" t="str">
        <f>IF(N3&lt;&gt;0,R3/N3,"")</f>
        <v/>
      </c>
    </row>
    <row r="4" spans="1:19" ht="14.4" customHeight="1" x14ac:dyDescent="0.3">
      <c r="A4" s="377" t="s">
        <v>99</v>
      </c>
      <c r="B4" s="378" t="s">
        <v>100</v>
      </c>
      <c r="C4" s="379"/>
      <c r="D4" s="379"/>
      <c r="E4" s="379"/>
      <c r="F4" s="379"/>
      <c r="G4" s="380"/>
      <c r="H4" s="378" t="s">
        <v>101</v>
      </c>
      <c r="I4" s="379"/>
      <c r="J4" s="379"/>
      <c r="K4" s="379"/>
      <c r="L4" s="379"/>
      <c r="M4" s="380"/>
      <c r="N4" s="378" t="s">
        <v>102</v>
      </c>
      <c r="O4" s="379"/>
      <c r="P4" s="379"/>
      <c r="Q4" s="379"/>
      <c r="R4" s="379"/>
      <c r="S4" s="380"/>
    </row>
    <row r="5" spans="1:19" ht="14.4" customHeight="1" thickBot="1" x14ac:dyDescent="0.35">
      <c r="A5" s="542"/>
      <c r="B5" s="543">
        <v>2013</v>
      </c>
      <c r="C5" s="544"/>
      <c r="D5" s="544">
        <v>2014</v>
      </c>
      <c r="E5" s="544"/>
      <c r="F5" s="544">
        <v>2015</v>
      </c>
      <c r="G5" s="545" t="s">
        <v>2</v>
      </c>
      <c r="H5" s="543">
        <v>2013</v>
      </c>
      <c r="I5" s="544"/>
      <c r="J5" s="544">
        <v>2014</v>
      </c>
      <c r="K5" s="544"/>
      <c r="L5" s="544">
        <v>2015</v>
      </c>
      <c r="M5" s="545" t="s">
        <v>2</v>
      </c>
      <c r="N5" s="543">
        <v>2013</v>
      </c>
      <c r="O5" s="544"/>
      <c r="P5" s="544">
        <v>2014</v>
      </c>
      <c r="Q5" s="544"/>
      <c r="R5" s="544">
        <v>2015</v>
      </c>
      <c r="S5" s="545" t="s">
        <v>2</v>
      </c>
    </row>
    <row r="6" spans="1:19" ht="14.4" customHeight="1" x14ac:dyDescent="0.3">
      <c r="A6" s="551" t="s">
        <v>607</v>
      </c>
      <c r="B6" s="546">
        <v>1648852</v>
      </c>
      <c r="C6" s="485">
        <v>1</v>
      </c>
      <c r="D6" s="546">
        <v>1390175</v>
      </c>
      <c r="E6" s="485">
        <v>0.84311690800629768</v>
      </c>
      <c r="F6" s="546">
        <v>544709</v>
      </c>
      <c r="G6" s="490">
        <v>0.33035651471448013</v>
      </c>
      <c r="H6" s="546">
        <v>4116.18</v>
      </c>
      <c r="I6" s="485">
        <v>1</v>
      </c>
      <c r="J6" s="546">
        <v>4128.1499999999996</v>
      </c>
      <c r="K6" s="485">
        <v>1.002908036091716</v>
      </c>
      <c r="L6" s="546"/>
      <c r="M6" s="490"/>
      <c r="N6" s="546"/>
      <c r="O6" s="485"/>
      <c r="P6" s="546"/>
      <c r="Q6" s="485"/>
      <c r="R6" s="546"/>
      <c r="S6" s="111"/>
    </row>
    <row r="7" spans="1:19" ht="14.4" customHeight="1" x14ac:dyDescent="0.3">
      <c r="A7" s="552" t="s">
        <v>608</v>
      </c>
      <c r="B7" s="547">
        <v>1961</v>
      </c>
      <c r="C7" s="441">
        <v>1</v>
      </c>
      <c r="D7" s="547">
        <v>981</v>
      </c>
      <c r="E7" s="441">
        <v>0.50025497195308521</v>
      </c>
      <c r="F7" s="547"/>
      <c r="G7" s="548"/>
      <c r="H7" s="547"/>
      <c r="I7" s="441"/>
      <c r="J7" s="547"/>
      <c r="K7" s="441"/>
      <c r="L7" s="547"/>
      <c r="M7" s="548"/>
      <c r="N7" s="547"/>
      <c r="O7" s="441"/>
      <c r="P7" s="547"/>
      <c r="Q7" s="441"/>
      <c r="R7" s="547"/>
      <c r="S7" s="549"/>
    </row>
    <row r="8" spans="1:19" ht="14.4" customHeight="1" x14ac:dyDescent="0.3">
      <c r="A8" s="552" t="s">
        <v>609</v>
      </c>
      <c r="B8" s="547">
        <v>1090241</v>
      </c>
      <c r="C8" s="441">
        <v>1</v>
      </c>
      <c r="D8" s="547">
        <v>1039340</v>
      </c>
      <c r="E8" s="441">
        <v>0.95331215758717569</v>
      </c>
      <c r="F8" s="547"/>
      <c r="G8" s="548"/>
      <c r="H8" s="547">
        <v>11901.83</v>
      </c>
      <c r="I8" s="441">
        <v>1</v>
      </c>
      <c r="J8" s="547">
        <v>2752.1</v>
      </c>
      <c r="K8" s="441">
        <v>0.23123334814898214</v>
      </c>
      <c r="L8" s="547"/>
      <c r="M8" s="548"/>
      <c r="N8" s="547"/>
      <c r="O8" s="441"/>
      <c r="P8" s="547"/>
      <c r="Q8" s="441"/>
      <c r="R8" s="547"/>
      <c r="S8" s="549"/>
    </row>
    <row r="9" spans="1:19" ht="14.4" customHeight="1" thickBot="1" x14ac:dyDescent="0.35">
      <c r="A9" s="553" t="s">
        <v>610</v>
      </c>
      <c r="B9" s="550">
        <v>6092752</v>
      </c>
      <c r="C9" s="447">
        <v>1</v>
      </c>
      <c r="D9" s="550">
        <v>5480342</v>
      </c>
      <c r="E9" s="447">
        <v>0.89948548701801745</v>
      </c>
      <c r="F9" s="550">
        <v>6633013</v>
      </c>
      <c r="G9" s="460">
        <v>1.0886727377053915</v>
      </c>
      <c r="H9" s="550"/>
      <c r="I9" s="447"/>
      <c r="J9" s="550"/>
      <c r="K9" s="447"/>
      <c r="L9" s="550"/>
      <c r="M9" s="460"/>
      <c r="N9" s="550"/>
      <c r="O9" s="447"/>
      <c r="P9" s="550"/>
      <c r="Q9" s="447"/>
      <c r="R9" s="550"/>
      <c r="S9" s="498"/>
    </row>
    <row r="10" spans="1:19" ht="14.4" customHeight="1" x14ac:dyDescent="0.3">
      <c r="A10" s="554" t="s">
        <v>611</v>
      </c>
    </row>
    <row r="11" spans="1:19" ht="14.4" customHeight="1" x14ac:dyDescent="0.3">
      <c r="A11" s="555" t="s">
        <v>612</v>
      </c>
    </row>
    <row r="12" spans="1:19" ht="14.4" customHeight="1" x14ac:dyDescent="0.3">
      <c r="A12" s="554" t="s">
        <v>613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9" bestFit="1" customWidth="1"/>
    <col min="2" max="4" width="7.77734375" style="197" customWidth="1"/>
    <col min="5" max="7" width="7.77734375" style="95" customWidth="1"/>
    <col min="8" max="16384" width="8.88671875" style="119"/>
  </cols>
  <sheetData>
    <row r="1" spans="1:7" ht="18.600000000000001" customHeight="1" thickBot="1" x14ac:dyDescent="0.4">
      <c r="A1" s="376" t="s">
        <v>622</v>
      </c>
      <c r="B1" s="314"/>
      <c r="C1" s="314"/>
      <c r="D1" s="314"/>
      <c r="E1" s="314"/>
      <c r="F1" s="314"/>
      <c r="G1" s="314"/>
    </row>
    <row r="2" spans="1:7" ht="14.4" customHeight="1" thickBot="1" x14ac:dyDescent="0.35">
      <c r="A2" s="224" t="s">
        <v>267</v>
      </c>
      <c r="B2" s="100"/>
      <c r="C2" s="100"/>
      <c r="D2" s="100"/>
      <c r="E2" s="100"/>
      <c r="F2" s="100"/>
      <c r="G2" s="100"/>
    </row>
    <row r="3" spans="1:7" ht="14.4" customHeight="1" thickBot="1" x14ac:dyDescent="0.35">
      <c r="A3" s="210" t="s">
        <v>129</v>
      </c>
      <c r="B3" s="304">
        <f t="shared" ref="B3:G3" si="0">SUBTOTAL(9,B6:B1048576)</f>
        <v>8327</v>
      </c>
      <c r="C3" s="305">
        <f t="shared" si="0"/>
        <v>8510</v>
      </c>
      <c r="D3" s="305">
        <f t="shared" si="0"/>
        <v>4154</v>
      </c>
      <c r="E3" s="214">
        <f t="shared" si="0"/>
        <v>8833806</v>
      </c>
      <c r="F3" s="212">
        <f t="shared" si="0"/>
        <v>7910838</v>
      </c>
      <c r="G3" s="306">
        <f t="shared" si="0"/>
        <v>7177722</v>
      </c>
    </row>
    <row r="4" spans="1:7" ht="14.4" customHeight="1" x14ac:dyDescent="0.3">
      <c r="A4" s="377" t="s">
        <v>130</v>
      </c>
      <c r="B4" s="378" t="s">
        <v>244</v>
      </c>
      <c r="C4" s="379"/>
      <c r="D4" s="379"/>
      <c r="E4" s="381" t="s">
        <v>100</v>
      </c>
      <c r="F4" s="382"/>
      <c r="G4" s="383"/>
    </row>
    <row r="5" spans="1:7" ht="14.4" customHeight="1" thickBot="1" x14ac:dyDescent="0.35">
      <c r="A5" s="542"/>
      <c r="B5" s="543">
        <v>2013</v>
      </c>
      <c r="C5" s="544">
        <v>2014</v>
      </c>
      <c r="D5" s="544">
        <v>2015</v>
      </c>
      <c r="E5" s="543">
        <v>2013</v>
      </c>
      <c r="F5" s="544">
        <v>2014</v>
      </c>
      <c r="G5" s="556">
        <v>2015</v>
      </c>
    </row>
    <row r="6" spans="1:7" ht="14.4" customHeight="1" x14ac:dyDescent="0.3">
      <c r="A6" s="551" t="s">
        <v>615</v>
      </c>
      <c r="B6" s="105">
        <v>8314</v>
      </c>
      <c r="C6" s="105">
        <v>8372</v>
      </c>
      <c r="D6" s="105">
        <v>4078</v>
      </c>
      <c r="E6" s="546">
        <v>8830546</v>
      </c>
      <c r="F6" s="546">
        <v>7866842</v>
      </c>
      <c r="G6" s="557">
        <v>7152870</v>
      </c>
    </row>
    <row r="7" spans="1:7" ht="14.4" customHeight="1" x14ac:dyDescent="0.3">
      <c r="A7" s="552" t="s">
        <v>616</v>
      </c>
      <c r="B7" s="444"/>
      <c r="C7" s="444">
        <v>136</v>
      </c>
      <c r="D7" s="444">
        <v>1</v>
      </c>
      <c r="E7" s="547"/>
      <c r="F7" s="547">
        <v>43928</v>
      </c>
      <c r="G7" s="558">
        <v>327</v>
      </c>
    </row>
    <row r="8" spans="1:7" ht="14.4" customHeight="1" x14ac:dyDescent="0.3">
      <c r="A8" s="552" t="s">
        <v>617</v>
      </c>
      <c r="B8" s="444">
        <v>4</v>
      </c>
      <c r="C8" s="444">
        <v>2</v>
      </c>
      <c r="D8" s="444"/>
      <c r="E8" s="547">
        <v>361</v>
      </c>
      <c r="F8" s="547">
        <v>68</v>
      </c>
      <c r="G8" s="558"/>
    </row>
    <row r="9" spans="1:7" ht="14.4" customHeight="1" x14ac:dyDescent="0.3">
      <c r="A9" s="552" t="s">
        <v>618</v>
      </c>
      <c r="B9" s="444">
        <v>4</v>
      </c>
      <c r="C9" s="444"/>
      <c r="D9" s="444"/>
      <c r="E9" s="547">
        <v>1284</v>
      </c>
      <c r="F9" s="547"/>
      <c r="G9" s="558"/>
    </row>
    <row r="10" spans="1:7" ht="14.4" customHeight="1" x14ac:dyDescent="0.3">
      <c r="A10" s="552" t="s">
        <v>619</v>
      </c>
      <c r="B10" s="444"/>
      <c r="C10" s="444"/>
      <c r="D10" s="444">
        <v>75</v>
      </c>
      <c r="E10" s="547"/>
      <c r="F10" s="547"/>
      <c r="G10" s="558">
        <v>24525</v>
      </c>
    </row>
    <row r="11" spans="1:7" ht="14.4" customHeight="1" x14ac:dyDescent="0.3">
      <c r="A11" s="552" t="s">
        <v>620</v>
      </c>
      <c r="B11" s="444">
        <v>1</v>
      </c>
      <c r="C11" s="444"/>
      <c r="D11" s="444"/>
      <c r="E11" s="547">
        <v>323</v>
      </c>
      <c r="F11" s="547"/>
      <c r="G11" s="558"/>
    </row>
    <row r="12" spans="1:7" ht="14.4" customHeight="1" thickBot="1" x14ac:dyDescent="0.35">
      <c r="A12" s="553" t="s">
        <v>621</v>
      </c>
      <c r="B12" s="450">
        <v>4</v>
      </c>
      <c r="C12" s="450"/>
      <c r="D12" s="450"/>
      <c r="E12" s="550">
        <v>1292</v>
      </c>
      <c r="F12" s="550"/>
      <c r="G12" s="559"/>
    </row>
    <row r="13" spans="1:7" ht="14.4" customHeight="1" x14ac:dyDescent="0.3">
      <c r="A13" s="554" t="s">
        <v>611</v>
      </c>
    </row>
    <row r="14" spans="1:7" ht="14.4" customHeight="1" x14ac:dyDescent="0.3">
      <c r="A14" s="555" t="s">
        <v>612</v>
      </c>
    </row>
    <row r="15" spans="1:7" ht="14.4" customHeight="1" x14ac:dyDescent="0.3">
      <c r="A15" s="554" t="s">
        <v>613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0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9" bestFit="1" customWidth="1"/>
    <col min="2" max="2" width="2.109375" style="119" bestFit="1" customWidth="1"/>
    <col min="3" max="3" width="8" style="119" customWidth="1"/>
    <col min="4" max="4" width="50.88671875" style="119" bestFit="1" customWidth="1"/>
    <col min="5" max="6" width="11.109375" style="197" customWidth="1"/>
    <col min="7" max="8" width="9.33203125" style="119" hidden="1" customWidth="1"/>
    <col min="9" max="10" width="11.109375" style="197" customWidth="1"/>
    <col min="11" max="12" width="9.33203125" style="119" hidden="1" customWidth="1"/>
    <col min="13" max="14" width="11.109375" style="197" customWidth="1"/>
    <col min="15" max="15" width="11.109375" style="200" customWidth="1"/>
    <col min="16" max="16" width="11.109375" style="197" customWidth="1"/>
    <col min="17" max="16384" width="8.88671875" style="119"/>
  </cols>
  <sheetData>
    <row r="1" spans="1:16" ht="18.600000000000001" customHeight="1" thickBot="1" x14ac:dyDescent="0.4">
      <c r="A1" s="314" t="s">
        <v>715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</row>
    <row r="2" spans="1:16" ht="14.4" customHeight="1" thickBot="1" x14ac:dyDescent="0.35">
      <c r="A2" s="224" t="s">
        <v>267</v>
      </c>
      <c r="B2" s="120"/>
      <c r="C2" s="303"/>
      <c r="D2" s="120"/>
      <c r="E2" s="218"/>
      <c r="F2" s="218"/>
      <c r="G2" s="120"/>
      <c r="H2" s="120"/>
      <c r="I2" s="218"/>
      <c r="J2" s="218"/>
      <c r="K2" s="120"/>
      <c r="L2" s="120"/>
      <c r="M2" s="218"/>
      <c r="N2" s="218"/>
      <c r="O2" s="219"/>
      <c r="P2" s="218"/>
    </row>
    <row r="3" spans="1:16" ht="14.4" customHeight="1" thickBot="1" x14ac:dyDescent="0.35">
      <c r="D3" s="77" t="s">
        <v>129</v>
      </c>
      <c r="E3" s="91">
        <f t="shared" ref="E3:N3" si="0">SUBTOTAL(9,E6:E1048576)</f>
        <v>8339</v>
      </c>
      <c r="F3" s="92">
        <f t="shared" si="0"/>
        <v>8849824.0099999998</v>
      </c>
      <c r="G3" s="66"/>
      <c r="H3" s="66"/>
      <c r="I3" s="92">
        <f t="shared" si="0"/>
        <v>8515</v>
      </c>
      <c r="J3" s="92">
        <f t="shared" si="0"/>
        <v>7917718.25</v>
      </c>
      <c r="K3" s="66"/>
      <c r="L3" s="66"/>
      <c r="M3" s="92">
        <f t="shared" si="0"/>
        <v>4154</v>
      </c>
      <c r="N3" s="92">
        <f t="shared" si="0"/>
        <v>7177722</v>
      </c>
      <c r="O3" s="67">
        <f>IF(F3=0,0,N3/F3)</f>
        <v>0.81105816250011509</v>
      </c>
      <c r="P3" s="93">
        <f>IF(M3=0,0,N3/M3)</f>
        <v>1727.9061145883486</v>
      </c>
    </row>
    <row r="4" spans="1:16" ht="14.4" customHeight="1" x14ac:dyDescent="0.3">
      <c r="A4" s="385" t="s">
        <v>95</v>
      </c>
      <c r="B4" s="386" t="s">
        <v>96</v>
      </c>
      <c r="C4" s="391" t="s">
        <v>71</v>
      </c>
      <c r="D4" s="387" t="s">
        <v>70</v>
      </c>
      <c r="E4" s="388">
        <v>2013</v>
      </c>
      <c r="F4" s="389"/>
      <c r="G4" s="90"/>
      <c r="H4" s="90"/>
      <c r="I4" s="388">
        <v>2014</v>
      </c>
      <c r="J4" s="389"/>
      <c r="K4" s="90"/>
      <c r="L4" s="90"/>
      <c r="M4" s="388">
        <v>2015</v>
      </c>
      <c r="N4" s="389"/>
      <c r="O4" s="390" t="s">
        <v>2</v>
      </c>
      <c r="P4" s="384" t="s">
        <v>98</v>
      </c>
    </row>
    <row r="5" spans="1:16" ht="14.4" customHeight="1" thickBot="1" x14ac:dyDescent="0.35">
      <c r="A5" s="560"/>
      <c r="B5" s="561"/>
      <c r="C5" s="562"/>
      <c r="D5" s="563"/>
      <c r="E5" s="564" t="s">
        <v>72</v>
      </c>
      <c r="F5" s="565" t="s">
        <v>14</v>
      </c>
      <c r="G5" s="566"/>
      <c r="H5" s="566"/>
      <c r="I5" s="564" t="s">
        <v>72</v>
      </c>
      <c r="J5" s="565" t="s">
        <v>14</v>
      </c>
      <c r="K5" s="566"/>
      <c r="L5" s="566"/>
      <c r="M5" s="564" t="s">
        <v>72</v>
      </c>
      <c r="N5" s="565" t="s">
        <v>14</v>
      </c>
      <c r="O5" s="567"/>
      <c r="P5" s="568"/>
    </row>
    <row r="6" spans="1:16" ht="14.4" customHeight="1" x14ac:dyDescent="0.3">
      <c r="A6" s="484" t="s">
        <v>623</v>
      </c>
      <c r="B6" s="485" t="s">
        <v>624</v>
      </c>
      <c r="C6" s="485" t="s">
        <v>625</v>
      </c>
      <c r="D6" s="485" t="s">
        <v>626</v>
      </c>
      <c r="E6" s="105">
        <v>3</v>
      </c>
      <c r="F6" s="105">
        <v>4116.18</v>
      </c>
      <c r="G6" s="485">
        <v>1</v>
      </c>
      <c r="H6" s="485">
        <v>1372.0600000000002</v>
      </c>
      <c r="I6" s="105"/>
      <c r="J6" s="105"/>
      <c r="K6" s="485"/>
      <c r="L6" s="485"/>
      <c r="M6" s="105"/>
      <c r="N6" s="105"/>
      <c r="O6" s="490"/>
      <c r="P6" s="502"/>
    </row>
    <row r="7" spans="1:16" ht="14.4" customHeight="1" x14ac:dyDescent="0.3">
      <c r="A7" s="440" t="s">
        <v>623</v>
      </c>
      <c r="B7" s="441" t="s">
        <v>624</v>
      </c>
      <c r="C7" s="441" t="s">
        <v>627</v>
      </c>
      <c r="D7" s="441" t="s">
        <v>628</v>
      </c>
      <c r="E7" s="444"/>
      <c r="F7" s="444"/>
      <c r="G7" s="441"/>
      <c r="H7" s="441"/>
      <c r="I7" s="444">
        <v>3</v>
      </c>
      <c r="J7" s="444">
        <v>4128.1499999999996</v>
      </c>
      <c r="K7" s="441"/>
      <c r="L7" s="441">
        <v>1376.05</v>
      </c>
      <c r="M7" s="444"/>
      <c r="N7" s="444"/>
      <c r="O7" s="548"/>
      <c r="P7" s="445"/>
    </row>
    <row r="8" spans="1:16" ht="14.4" customHeight="1" x14ac:dyDescent="0.3">
      <c r="A8" s="440" t="s">
        <v>623</v>
      </c>
      <c r="B8" s="441" t="s">
        <v>629</v>
      </c>
      <c r="C8" s="441" t="s">
        <v>630</v>
      </c>
      <c r="D8" s="441" t="s">
        <v>631</v>
      </c>
      <c r="E8" s="444"/>
      <c r="F8" s="444"/>
      <c r="G8" s="441"/>
      <c r="H8" s="441"/>
      <c r="I8" s="444">
        <v>18</v>
      </c>
      <c r="J8" s="444">
        <v>1134</v>
      </c>
      <c r="K8" s="441"/>
      <c r="L8" s="441">
        <v>63</v>
      </c>
      <c r="M8" s="444">
        <v>5</v>
      </c>
      <c r="N8" s="444">
        <v>320</v>
      </c>
      <c r="O8" s="548"/>
      <c r="P8" s="445">
        <v>64</v>
      </c>
    </row>
    <row r="9" spans="1:16" ht="14.4" customHeight="1" x14ac:dyDescent="0.3">
      <c r="A9" s="440" t="s">
        <v>623</v>
      </c>
      <c r="B9" s="441" t="s">
        <v>629</v>
      </c>
      <c r="C9" s="441" t="s">
        <v>632</v>
      </c>
      <c r="D9" s="441" t="s">
        <v>633</v>
      </c>
      <c r="E9" s="444"/>
      <c r="F9" s="444"/>
      <c r="G9" s="441"/>
      <c r="H9" s="441"/>
      <c r="I9" s="444">
        <v>1</v>
      </c>
      <c r="J9" s="444">
        <v>206</v>
      </c>
      <c r="K9" s="441"/>
      <c r="L9" s="441">
        <v>206</v>
      </c>
      <c r="M9" s="444"/>
      <c r="N9" s="444"/>
      <c r="O9" s="548"/>
      <c r="P9" s="445"/>
    </row>
    <row r="10" spans="1:16" ht="14.4" customHeight="1" x14ac:dyDescent="0.3">
      <c r="A10" s="440" t="s">
        <v>623</v>
      </c>
      <c r="B10" s="441" t="s">
        <v>629</v>
      </c>
      <c r="C10" s="441" t="s">
        <v>634</v>
      </c>
      <c r="D10" s="441" t="s">
        <v>635</v>
      </c>
      <c r="E10" s="444">
        <v>1</v>
      </c>
      <c r="F10" s="444">
        <v>34</v>
      </c>
      <c r="G10" s="441">
        <v>1</v>
      </c>
      <c r="H10" s="441">
        <v>34</v>
      </c>
      <c r="I10" s="444">
        <v>2</v>
      </c>
      <c r="J10" s="444">
        <v>68</v>
      </c>
      <c r="K10" s="441">
        <v>2</v>
      </c>
      <c r="L10" s="441">
        <v>34</v>
      </c>
      <c r="M10" s="444"/>
      <c r="N10" s="444"/>
      <c r="O10" s="548"/>
      <c r="P10" s="445"/>
    </row>
    <row r="11" spans="1:16" ht="14.4" customHeight="1" x14ac:dyDescent="0.3">
      <c r="A11" s="440" t="s">
        <v>623</v>
      </c>
      <c r="B11" s="441" t="s">
        <v>629</v>
      </c>
      <c r="C11" s="441" t="s">
        <v>636</v>
      </c>
      <c r="D11" s="441" t="s">
        <v>637</v>
      </c>
      <c r="E11" s="444">
        <v>183</v>
      </c>
      <c r="F11" s="444">
        <v>423279</v>
      </c>
      <c r="G11" s="441">
        <v>1</v>
      </c>
      <c r="H11" s="441">
        <v>2313</v>
      </c>
      <c r="I11" s="444">
        <v>124</v>
      </c>
      <c r="J11" s="444">
        <v>286812</v>
      </c>
      <c r="K11" s="441">
        <v>0.67759562841530052</v>
      </c>
      <c r="L11" s="441">
        <v>2313</v>
      </c>
      <c r="M11" s="444">
        <v>57</v>
      </c>
      <c r="N11" s="444">
        <v>133152</v>
      </c>
      <c r="O11" s="548">
        <v>0.3145726577505617</v>
      </c>
      <c r="P11" s="445">
        <v>2336</v>
      </c>
    </row>
    <row r="12" spans="1:16" ht="14.4" customHeight="1" x14ac:dyDescent="0.3">
      <c r="A12" s="440" t="s">
        <v>623</v>
      </c>
      <c r="B12" s="441" t="s">
        <v>629</v>
      </c>
      <c r="C12" s="441" t="s">
        <v>638</v>
      </c>
      <c r="D12" s="441" t="s">
        <v>639</v>
      </c>
      <c r="E12" s="444">
        <v>544</v>
      </c>
      <c r="F12" s="444">
        <v>173536</v>
      </c>
      <c r="G12" s="441">
        <v>1</v>
      </c>
      <c r="H12" s="441">
        <v>319</v>
      </c>
      <c r="I12" s="444">
        <v>528</v>
      </c>
      <c r="J12" s="444">
        <v>168432</v>
      </c>
      <c r="K12" s="441">
        <v>0.97058823529411764</v>
      </c>
      <c r="L12" s="441">
        <v>319</v>
      </c>
      <c r="M12" s="444">
        <v>46</v>
      </c>
      <c r="N12" s="444">
        <v>14858</v>
      </c>
      <c r="O12" s="548">
        <v>8.5619122257053287E-2</v>
      </c>
      <c r="P12" s="445">
        <v>323</v>
      </c>
    </row>
    <row r="13" spans="1:16" ht="14.4" customHeight="1" x14ac:dyDescent="0.3">
      <c r="A13" s="440" t="s">
        <v>623</v>
      </c>
      <c r="B13" s="441" t="s">
        <v>629</v>
      </c>
      <c r="C13" s="441" t="s">
        <v>640</v>
      </c>
      <c r="D13" s="441" t="s">
        <v>641</v>
      </c>
      <c r="E13" s="444">
        <v>15</v>
      </c>
      <c r="F13" s="444">
        <v>0</v>
      </c>
      <c r="G13" s="441"/>
      <c r="H13" s="441">
        <v>0</v>
      </c>
      <c r="I13" s="444">
        <v>15</v>
      </c>
      <c r="J13" s="444">
        <v>0</v>
      </c>
      <c r="K13" s="441"/>
      <c r="L13" s="441">
        <v>0</v>
      </c>
      <c r="M13" s="444"/>
      <c r="N13" s="444"/>
      <c r="O13" s="548"/>
      <c r="P13" s="445"/>
    </row>
    <row r="14" spans="1:16" ht="14.4" customHeight="1" x14ac:dyDescent="0.3">
      <c r="A14" s="440" t="s">
        <v>623</v>
      </c>
      <c r="B14" s="441" t="s">
        <v>629</v>
      </c>
      <c r="C14" s="441" t="s">
        <v>642</v>
      </c>
      <c r="D14" s="441" t="s">
        <v>643</v>
      </c>
      <c r="E14" s="444">
        <v>1133</v>
      </c>
      <c r="F14" s="444">
        <v>365959</v>
      </c>
      <c r="G14" s="441">
        <v>1</v>
      </c>
      <c r="H14" s="441">
        <v>323</v>
      </c>
      <c r="I14" s="444">
        <v>1201</v>
      </c>
      <c r="J14" s="444">
        <v>387923</v>
      </c>
      <c r="K14" s="441">
        <v>1.0600176522506619</v>
      </c>
      <c r="L14" s="441">
        <v>323</v>
      </c>
      <c r="M14" s="444">
        <v>301</v>
      </c>
      <c r="N14" s="444">
        <v>98427</v>
      </c>
      <c r="O14" s="548">
        <v>0.26895635849917615</v>
      </c>
      <c r="P14" s="445">
        <v>327</v>
      </c>
    </row>
    <row r="15" spans="1:16" ht="14.4" customHeight="1" x14ac:dyDescent="0.3">
      <c r="A15" s="440" t="s">
        <v>623</v>
      </c>
      <c r="B15" s="441" t="s">
        <v>629</v>
      </c>
      <c r="C15" s="441" t="s">
        <v>644</v>
      </c>
      <c r="D15" s="441" t="s">
        <v>645</v>
      </c>
      <c r="E15" s="444">
        <v>1313</v>
      </c>
      <c r="F15" s="444">
        <v>0</v>
      </c>
      <c r="G15" s="441"/>
      <c r="H15" s="441">
        <v>0</v>
      </c>
      <c r="I15" s="444">
        <v>1266</v>
      </c>
      <c r="J15" s="444">
        <v>0</v>
      </c>
      <c r="K15" s="441"/>
      <c r="L15" s="441">
        <v>0</v>
      </c>
      <c r="M15" s="444">
        <v>475</v>
      </c>
      <c r="N15" s="444">
        <v>0</v>
      </c>
      <c r="O15" s="548"/>
      <c r="P15" s="445">
        <v>0</v>
      </c>
    </row>
    <row r="16" spans="1:16" ht="14.4" customHeight="1" x14ac:dyDescent="0.3">
      <c r="A16" s="440" t="s">
        <v>623</v>
      </c>
      <c r="B16" s="441" t="s">
        <v>629</v>
      </c>
      <c r="C16" s="441" t="s">
        <v>646</v>
      </c>
      <c r="D16" s="441" t="s">
        <v>647</v>
      </c>
      <c r="E16" s="444">
        <v>476</v>
      </c>
      <c r="F16" s="444">
        <v>683536</v>
      </c>
      <c r="G16" s="441">
        <v>1</v>
      </c>
      <c r="H16" s="441">
        <v>1436</v>
      </c>
      <c r="I16" s="444">
        <v>359</v>
      </c>
      <c r="J16" s="444">
        <v>515524</v>
      </c>
      <c r="K16" s="441">
        <v>0.75420168067226889</v>
      </c>
      <c r="L16" s="441">
        <v>1436</v>
      </c>
      <c r="M16" s="444">
        <v>200</v>
      </c>
      <c r="N16" s="444">
        <v>289600</v>
      </c>
      <c r="O16" s="548">
        <v>0.42367922099201799</v>
      </c>
      <c r="P16" s="445">
        <v>1448</v>
      </c>
    </row>
    <row r="17" spans="1:16" ht="14.4" customHeight="1" x14ac:dyDescent="0.3">
      <c r="A17" s="440" t="s">
        <v>623</v>
      </c>
      <c r="B17" s="441" t="s">
        <v>629</v>
      </c>
      <c r="C17" s="441" t="s">
        <v>648</v>
      </c>
      <c r="D17" s="441" t="s">
        <v>649</v>
      </c>
      <c r="E17" s="444"/>
      <c r="F17" s="444"/>
      <c r="G17" s="441"/>
      <c r="H17" s="441"/>
      <c r="I17" s="444">
        <v>38</v>
      </c>
      <c r="J17" s="444">
        <v>4028</v>
      </c>
      <c r="K17" s="441"/>
      <c r="L17" s="441">
        <v>106</v>
      </c>
      <c r="M17" s="444">
        <v>37</v>
      </c>
      <c r="N17" s="444">
        <v>3996</v>
      </c>
      <c r="O17" s="548"/>
      <c r="P17" s="445">
        <v>108</v>
      </c>
    </row>
    <row r="18" spans="1:16" ht="14.4" customHeight="1" x14ac:dyDescent="0.3">
      <c r="A18" s="440" t="s">
        <v>623</v>
      </c>
      <c r="B18" s="441" t="s">
        <v>629</v>
      </c>
      <c r="C18" s="441" t="s">
        <v>650</v>
      </c>
      <c r="D18" s="441" t="s">
        <v>651</v>
      </c>
      <c r="E18" s="444">
        <v>17</v>
      </c>
      <c r="F18" s="444">
        <v>595</v>
      </c>
      <c r="G18" s="441">
        <v>1</v>
      </c>
      <c r="H18" s="441">
        <v>35</v>
      </c>
      <c r="I18" s="444">
        <v>718</v>
      </c>
      <c r="J18" s="444">
        <v>25130</v>
      </c>
      <c r="K18" s="441">
        <v>42.235294117647058</v>
      </c>
      <c r="L18" s="441">
        <v>35</v>
      </c>
      <c r="M18" s="444">
        <v>121</v>
      </c>
      <c r="N18" s="444">
        <v>4356</v>
      </c>
      <c r="O18" s="548">
        <v>7.3210084033613443</v>
      </c>
      <c r="P18" s="445">
        <v>36</v>
      </c>
    </row>
    <row r="19" spans="1:16" ht="14.4" customHeight="1" x14ac:dyDescent="0.3">
      <c r="A19" s="440" t="s">
        <v>623</v>
      </c>
      <c r="B19" s="441" t="s">
        <v>629</v>
      </c>
      <c r="C19" s="441" t="s">
        <v>652</v>
      </c>
      <c r="D19" s="441" t="s">
        <v>653</v>
      </c>
      <c r="E19" s="444"/>
      <c r="F19" s="444"/>
      <c r="G19" s="441"/>
      <c r="H19" s="441"/>
      <c r="I19" s="444">
        <v>9</v>
      </c>
      <c r="J19" s="444">
        <v>729</v>
      </c>
      <c r="K19" s="441"/>
      <c r="L19" s="441">
        <v>81</v>
      </c>
      <c r="M19" s="444"/>
      <c r="N19" s="444"/>
      <c r="O19" s="548"/>
      <c r="P19" s="445"/>
    </row>
    <row r="20" spans="1:16" ht="14.4" customHeight="1" x14ac:dyDescent="0.3">
      <c r="A20" s="440" t="s">
        <v>623</v>
      </c>
      <c r="B20" s="441" t="s">
        <v>629</v>
      </c>
      <c r="C20" s="441" t="s">
        <v>654</v>
      </c>
      <c r="D20" s="441" t="s">
        <v>655</v>
      </c>
      <c r="E20" s="444"/>
      <c r="F20" s="444"/>
      <c r="G20" s="441"/>
      <c r="H20" s="441"/>
      <c r="I20" s="444">
        <v>4</v>
      </c>
      <c r="J20" s="444">
        <v>120</v>
      </c>
      <c r="K20" s="441"/>
      <c r="L20" s="441">
        <v>30</v>
      </c>
      <c r="M20" s="444"/>
      <c r="N20" s="444"/>
      <c r="O20" s="548"/>
      <c r="P20" s="445"/>
    </row>
    <row r="21" spans="1:16" ht="14.4" customHeight="1" x14ac:dyDescent="0.3">
      <c r="A21" s="440" t="s">
        <v>623</v>
      </c>
      <c r="B21" s="441" t="s">
        <v>629</v>
      </c>
      <c r="C21" s="441" t="s">
        <v>656</v>
      </c>
      <c r="D21" s="441" t="s">
        <v>657</v>
      </c>
      <c r="E21" s="444"/>
      <c r="F21" s="444"/>
      <c r="G21" s="441"/>
      <c r="H21" s="441"/>
      <c r="I21" s="444">
        <v>1</v>
      </c>
      <c r="J21" s="444">
        <v>69</v>
      </c>
      <c r="K21" s="441"/>
      <c r="L21" s="441">
        <v>69</v>
      </c>
      <c r="M21" s="444"/>
      <c r="N21" s="444"/>
      <c r="O21" s="548"/>
      <c r="P21" s="445"/>
    </row>
    <row r="22" spans="1:16" ht="14.4" customHeight="1" x14ac:dyDescent="0.3">
      <c r="A22" s="440" t="s">
        <v>623</v>
      </c>
      <c r="B22" s="441" t="s">
        <v>629</v>
      </c>
      <c r="C22" s="441" t="s">
        <v>658</v>
      </c>
      <c r="D22" s="441" t="s">
        <v>659</v>
      </c>
      <c r="E22" s="444">
        <v>1</v>
      </c>
      <c r="F22" s="444">
        <v>1913</v>
      </c>
      <c r="G22" s="441">
        <v>1</v>
      </c>
      <c r="H22" s="441">
        <v>1913</v>
      </c>
      <c r="I22" s="444"/>
      <c r="J22" s="444"/>
      <c r="K22" s="441"/>
      <c r="L22" s="441"/>
      <c r="M22" s="444"/>
      <c r="N22" s="444"/>
      <c r="O22" s="548"/>
      <c r="P22" s="445"/>
    </row>
    <row r="23" spans="1:16" ht="14.4" customHeight="1" x14ac:dyDescent="0.3">
      <c r="A23" s="440" t="s">
        <v>660</v>
      </c>
      <c r="B23" s="441" t="s">
        <v>629</v>
      </c>
      <c r="C23" s="441" t="s">
        <v>661</v>
      </c>
      <c r="D23" s="441" t="s">
        <v>662</v>
      </c>
      <c r="E23" s="444">
        <v>2</v>
      </c>
      <c r="F23" s="444">
        <v>326</v>
      </c>
      <c r="G23" s="441">
        <v>1</v>
      </c>
      <c r="H23" s="441">
        <v>163</v>
      </c>
      <c r="I23" s="444"/>
      <c r="J23" s="444"/>
      <c r="K23" s="441"/>
      <c r="L23" s="441"/>
      <c r="M23" s="444"/>
      <c r="N23" s="444"/>
      <c r="O23" s="548"/>
      <c r="P23" s="445"/>
    </row>
    <row r="24" spans="1:16" ht="14.4" customHeight="1" x14ac:dyDescent="0.3">
      <c r="A24" s="440" t="s">
        <v>660</v>
      </c>
      <c r="B24" s="441" t="s">
        <v>629</v>
      </c>
      <c r="C24" s="441" t="s">
        <v>663</v>
      </c>
      <c r="D24" s="441" t="s">
        <v>664</v>
      </c>
      <c r="E24" s="444">
        <v>5</v>
      </c>
      <c r="F24" s="444">
        <v>1635</v>
      </c>
      <c r="G24" s="441">
        <v>1</v>
      </c>
      <c r="H24" s="441">
        <v>327</v>
      </c>
      <c r="I24" s="444">
        <v>3</v>
      </c>
      <c r="J24" s="444">
        <v>981</v>
      </c>
      <c r="K24" s="441">
        <v>0.6</v>
      </c>
      <c r="L24" s="441">
        <v>327</v>
      </c>
      <c r="M24" s="444"/>
      <c r="N24" s="444"/>
      <c r="O24" s="548"/>
      <c r="P24" s="445"/>
    </row>
    <row r="25" spans="1:16" ht="14.4" customHeight="1" x14ac:dyDescent="0.3">
      <c r="A25" s="440" t="s">
        <v>665</v>
      </c>
      <c r="B25" s="441" t="s">
        <v>624</v>
      </c>
      <c r="C25" s="441" t="s">
        <v>625</v>
      </c>
      <c r="D25" s="441" t="s">
        <v>626</v>
      </c>
      <c r="E25" s="444">
        <v>7</v>
      </c>
      <c r="F25" s="444">
        <v>9608.41</v>
      </c>
      <c r="G25" s="441">
        <v>1</v>
      </c>
      <c r="H25" s="441">
        <v>1372.6299999999999</v>
      </c>
      <c r="I25" s="444"/>
      <c r="J25" s="444"/>
      <c r="K25" s="441"/>
      <c r="L25" s="441"/>
      <c r="M25" s="444"/>
      <c r="N25" s="444"/>
      <c r="O25" s="548"/>
      <c r="P25" s="445"/>
    </row>
    <row r="26" spans="1:16" ht="14.4" customHeight="1" x14ac:dyDescent="0.3">
      <c r="A26" s="440" t="s">
        <v>665</v>
      </c>
      <c r="B26" s="441" t="s">
        <v>624</v>
      </c>
      <c r="C26" s="441" t="s">
        <v>666</v>
      </c>
      <c r="D26" s="441" t="s">
        <v>667</v>
      </c>
      <c r="E26" s="444">
        <v>2</v>
      </c>
      <c r="F26" s="444">
        <v>2293.42</v>
      </c>
      <c r="G26" s="441">
        <v>1</v>
      </c>
      <c r="H26" s="441">
        <v>1146.71</v>
      </c>
      <c r="I26" s="444"/>
      <c r="J26" s="444"/>
      <c r="K26" s="441"/>
      <c r="L26" s="441"/>
      <c r="M26" s="444"/>
      <c r="N26" s="444"/>
      <c r="O26" s="548"/>
      <c r="P26" s="445"/>
    </row>
    <row r="27" spans="1:16" ht="14.4" customHeight="1" x14ac:dyDescent="0.3">
      <c r="A27" s="440" t="s">
        <v>665</v>
      </c>
      <c r="B27" s="441" t="s">
        <v>624</v>
      </c>
      <c r="C27" s="441" t="s">
        <v>627</v>
      </c>
      <c r="D27" s="441" t="s">
        <v>628</v>
      </c>
      <c r="E27" s="444"/>
      <c r="F27" s="444"/>
      <c r="G27" s="441"/>
      <c r="H27" s="441"/>
      <c r="I27" s="444">
        <v>2</v>
      </c>
      <c r="J27" s="444">
        <v>2752.1</v>
      </c>
      <c r="K27" s="441"/>
      <c r="L27" s="441">
        <v>1376.05</v>
      </c>
      <c r="M27" s="444"/>
      <c r="N27" s="444"/>
      <c r="O27" s="548"/>
      <c r="P27" s="445"/>
    </row>
    <row r="28" spans="1:16" ht="14.4" customHeight="1" x14ac:dyDescent="0.3">
      <c r="A28" s="440" t="s">
        <v>665</v>
      </c>
      <c r="B28" s="441" t="s">
        <v>629</v>
      </c>
      <c r="C28" s="441" t="s">
        <v>668</v>
      </c>
      <c r="D28" s="441" t="s">
        <v>669</v>
      </c>
      <c r="E28" s="444">
        <v>425</v>
      </c>
      <c r="F28" s="444">
        <v>186150</v>
      </c>
      <c r="G28" s="441">
        <v>1</v>
      </c>
      <c r="H28" s="441">
        <v>438</v>
      </c>
      <c r="I28" s="444">
        <v>421</v>
      </c>
      <c r="J28" s="444">
        <v>184398</v>
      </c>
      <c r="K28" s="441">
        <v>0.99058823529411766</v>
      </c>
      <c r="L28" s="441">
        <v>438</v>
      </c>
      <c r="M28" s="444"/>
      <c r="N28" s="444"/>
      <c r="O28" s="548"/>
      <c r="P28" s="445"/>
    </row>
    <row r="29" spans="1:16" ht="14.4" customHeight="1" x14ac:dyDescent="0.3">
      <c r="A29" s="440" t="s">
        <v>665</v>
      </c>
      <c r="B29" s="441" t="s">
        <v>629</v>
      </c>
      <c r="C29" s="441" t="s">
        <v>670</v>
      </c>
      <c r="D29" s="441" t="s">
        <v>671</v>
      </c>
      <c r="E29" s="444">
        <v>23</v>
      </c>
      <c r="F29" s="444">
        <v>23414</v>
      </c>
      <c r="G29" s="441">
        <v>1</v>
      </c>
      <c r="H29" s="441">
        <v>1018</v>
      </c>
      <c r="I29" s="444">
        <v>10</v>
      </c>
      <c r="J29" s="444">
        <v>10180</v>
      </c>
      <c r="K29" s="441">
        <v>0.43478260869565216</v>
      </c>
      <c r="L29" s="441">
        <v>1018</v>
      </c>
      <c r="M29" s="444"/>
      <c r="N29" s="444"/>
      <c r="O29" s="548"/>
      <c r="P29" s="445"/>
    </row>
    <row r="30" spans="1:16" ht="14.4" customHeight="1" x14ac:dyDescent="0.3">
      <c r="A30" s="440" t="s">
        <v>665</v>
      </c>
      <c r="B30" s="441" t="s">
        <v>629</v>
      </c>
      <c r="C30" s="441" t="s">
        <v>672</v>
      </c>
      <c r="D30" s="441" t="s">
        <v>673</v>
      </c>
      <c r="E30" s="444">
        <v>5</v>
      </c>
      <c r="F30" s="444">
        <v>3190</v>
      </c>
      <c r="G30" s="441">
        <v>1</v>
      </c>
      <c r="H30" s="441">
        <v>638</v>
      </c>
      <c r="I30" s="444">
        <v>2</v>
      </c>
      <c r="J30" s="444">
        <v>1276</v>
      </c>
      <c r="K30" s="441">
        <v>0.4</v>
      </c>
      <c r="L30" s="441">
        <v>638</v>
      </c>
      <c r="M30" s="444"/>
      <c r="N30" s="444"/>
      <c r="O30" s="548"/>
      <c r="P30" s="445"/>
    </row>
    <row r="31" spans="1:16" ht="14.4" customHeight="1" x14ac:dyDescent="0.3">
      <c r="A31" s="440" t="s">
        <v>665</v>
      </c>
      <c r="B31" s="441" t="s">
        <v>629</v>
      </c>
      <c r="C31" s="441" t="s">
        <v>674</v>
      </c>
      <c r="D31" s="441" t="s">
        <v>675</v>
      </c>
      <c r="E31" s="444">
        <v>10</v>
      </c>
      <c r="F31" s="444">
        <v>3050</v>
      </c>
      <c r="G31" s="441">
        <v>1</v>
      </c>
      <c r="H31" s="441">
        <v>305</v>
      </c>
      <c r="I31" s="444">
        <v>12</v>
      </c>
      <c r="J31" s="444">
        <v>3660</v>
      </c>
      <c r="K31" s="441">
        <v>1.2</v>
      </c>
      <c r="L31" s="441">
        <v>305</v>
      </c>
      <c r="M31" s="444"/>
      <c r="N31" s="444"/>
      <c r="O31" s="548"/>
      <c r="P31" s="445"/>
    </row>
    <row r="32" spans="1:16" ht="14.4" customHeight="1" x14ac:dyDescent="0.3">
      <c r="A32" s="440" t="s">
        <v>665</v>
      </c>
      <c r="B32" s="441" t="s">
        <v>629</v>
      </c>
      <c r="C32" s="441" t="s">
        <v>676</v>
      </c>
      <c r="D32" s="441" t="s">
        <v>677</v>
      </c>
      <c r="E32" s="444"/>
      <c r="F32" s="444"/>
      <c r="G32" s="441"/>
      <c r="H32" s="441"/>
      <c r="I32" s="444">
        <v>1</v>
      </c>
      <c r="J32" s="444">
        <v>831</v>
      </c>
      <c r="K32" s="441"/>
      <c r="L32" s="441">
        <v>831</v>
      </c>
      <c r="M32" s="444"/>
      <c r="N32" s="444"/>
      <c r="O32" s="548"/>
      <c r="P32" s="445"/>
    </row>
    <row r="33" spans="1:16" ht="14.4" customHeight="1" x14ac:dyDescent="0.3">
      <c r="A33" s="440" t="s">
        <v>665</v>
      </c>
      <c r="B33" s="441" t="s">
        <v>629</v>
      </c>
      <c r="C33" s="441" t="s">
        <v>678</v>
      </c>
      <c r="D33" s="441" t="s">
        <v>679</v>
      </c>
      <c r="E33" s="444">
        <v>1139</v>
      </c>
      <c r="F33" s="444">
        <v>731238</v>
      </c>
      <c r="G33" s="441">
        <v>1</v>
      </c>
      <c r="H33" s="441">
        <v>642</v>
      </c>
      <c r="I33" s="444">
        <v>1115</v>
      </c>
      <c r="J33" s="444">
        <v>715830</v>
      </c>
      <c r="K33" s="441">
        <v>0.97892888498683051</v>
      </c>
      <c r="L33" s="441">
        <v>642</v>
      </c>
      <c r="M33" s="444"/>
      <c r="N33" s="444"/>
      <c r="O33" s="548"/>
      <c r="P33" s="445"/>
    </row>
    <row r="34" spans="1:16" ht="14.4" customHeight="1" x14ac:dyDescent="0.3">
      <c r="A34" s="440" t="s">
        <v>665</v>
      </c>
      <c r="B34" s="441" t="s">
        <v>629</v>
      </c>
      <c r="C34" s="441" t="s">
        <v>680</v>
      </c>
      <c r="D34" s="441" t="s">
        <v>681</v>
      </c>
      <c r="E34" s="444">
        <v>227</v>
      </c>
      <c r="F34" s="444">
        <v>66511</v>
      </c>
      <c r="G34" s="441">
        <v>1</v>
      </c>
      <c r="H34" s="441">
        <v>293</v>
      </c>
      <c r="I34" s="444">
        <v>117</v>
      </c>
      <c r="J34" s="444">
        <v>34281</v>
      </c>
      <c r="K34" s="441">
        <v>0.51541850220264318</v>
      </c>
      <c r="L34" s="441">
        <v>293</v>
      </c>
      <c r="M34" s="444"/>
      <c r="N34" s="444"/>
      <c r="O34" s="548"/>
      <c r="P34" s="445"/>
    </row>
    <row r="35" spans="1:16" ht="14.4" customHeight="1" x14ac:dyDescent="0.3">
      <c r="A35" s="440" t="s">
        <v>665</v>
      </c>
      <c r="B35" s="441" t="s">
        <v>629</v>
      </c>
      <c r="C35" s="441" t="s">
        <v>682</v>
      </c>
      <c r="D35" s="441" t="s">
        <v>683</v>
      </c>
      <c r="E35" s="444">
        <v>32</v>
      </c>
      <c r="F35" s="444">
        <v>18752</v>
      </c>
      <c r="G35" s="441">
        <v>1</v>
      </c>
      <c r="H35" s="441">
        <v>586</v>
      </c>
      <c r="I35" s="444">
        <v>18</v>
      </c>
      <c r="J35" s="444">
        <v>10548</v>
      </c>
      <c r="K35" s="441">
        <v>0.5625</v>
      </c>
      <c r="L35" s="441">
        <v>586</v>
      </c>
      <c r="M35" s="444"/>
      <c r="N35" s="444"/>
      <c r="O35" s="548"/>
      <c r="P35" s="445"/>
    </row>
    <row r="36" spans="1:16" ht="14.4" customHeight="1" x14ac:dyDescent="0.3">
      <c r="A36" s="440" t="s">
        <v>665</v>
      </c>
      <c r="B36" s="441" t="s">
        <v>629</v>
      </c>
      <c r="C36" s="441" t="s">
        <v>684</v>
      </c>
      <c r="D36" s="441" t="s">
        <v>685</v>
      </c>
      <c r="E36" s="444">
        <v>71</v>
      </c>
      <c r="F36" s="444">
        <v>57936</v>
      </c>
      <c r="G36" s="441">
        <v>1</v>
      </c>
      <c r="H36" s="441">
        <v>816</v>
      </c>
      <c r="I36" s="444">
        <v>96</v>
      </c>
      <c r="J36" s="444">
        <v>78336</v>
      </c>
      <c r="K36" s="441">
        <v>1.352112676056338</v>
      </c>
      <c r="L36" s="441">
        <v>816</v>
      </c>
      <c r="M36" s="444"/>
      <c r="N36" s="444"/>
      <c r="O36" s="548"/>
      <c r="P36" s="445"/>
    </row>
    <row r="37" spans="1:16" ht="14.4" customHeight="1" x14ac:dyDescent="0.3">
      <c r="A37" s="440" t="s">
        <v>686</v>
      </c>
      <c r="B37" s="441" t="s">
        <v>629</v>
      </c>
      <c r="C37" s="441" t="s">
        <v>687</v>
      </c>
      <c r="D37" s="441" t="s">
        <v>688</v>
      </c>
      <c r="E37" s="444">
        <v>22</v>
      </c>
      <c r="F37" s="444">
        <v>233442</v>
      </c>
      <c r="G37" s="441">
        <v>1</v>
      </c>
      <c r="H37" s="441">
        <v>10611</v>
      </c>
      <c r="I37" s="444">
        <v>10</v>
      </c>
      <c r="J37" s="444">
        <v>106110</v>
      </c>
      <c r="K37" s="441">
        <v>0.45454545454545453</v>
      </c>
      <c r="L37" s="441">
        <v>10611</v>
      </c>
      <c r="M37" s="444">
        <v>15</v>
      </c>
      <c r="N37" s="444">
        <v>160725</v>
      </c>
      <c r="O37" s="548">
        <v>0.6885007839206313</v>
      </c>
      <c r="P37" s="445">
        <v>10715</v>
      </c>
    </row>
    <row r="38" spans="1:16" ht="14.4" customHeight="1" x14ac:dyDescent="0.3">
      <c r="A38" s="440" t="s">
        <v>686</v>
      </c>
      <c r="B38" s="441" t="s">
        <v>629</v>
      </c>
      <c r="C38" s="441" t="s">
        <v>689</v>
      </c>
      <c r="D38" s="441" t="s">
        <v>690</v>
      </c>
      <c r="E38" s="444">
        <v>112</v>
      </c>
      <c r="F38" s="444">
        <v>33264</v>
      </c>
      <c r="G38" s="441">
        <v>1</v>
      </c>
      <c r="H38" s="441">
        <v>297</v>
      </c>
      <c r="I38" s="444">
        <v>105</v>
      </c>
      <c r="J38" s="444">
        <v>31185</v>
      </c>
      <c r="K38" s="441">
        <v>0.9375</v>
      </c>
      <c r="L38" s="441">
        <v>297</v>
      </c>
      <c r="M38" s="444">
        <v>97</v>
      </c>
      <c r="N38" s="444">
        <v>29391</v>
      </c>
      <c r="O38" s="548">
        <v>0.88356782106782106</v>
      </c>
      <c r="P38" s="445">
        <v>303</v>
      </c>
    </row>
    <row r="39" spans="1:16" ht="14.4" customHeight="1" x14ac:dyDescent="0.3">
      <c r="A39" s="440" t="s">
        <v>686</v>
      </c>
      <c r="B39" s="441" t="s">
        <v>629</v>
      </c>
      <c r="C39" s="441" t="s">
        <v>691</v>
      </c>
      <c r="D39" s="441" t="s">
        <v>692</v>
      </c>
      <c r="E39" s="444">
        <v>308</v>
      </c>
      <c r="F39" s="444">
        <v>383460</v>
      </c>
      <c r="G39" s="441">
        <v>1</v>
      </c>
      <c r="H39" s="441">
        <v>1245</v>
      </c>
      <c r="I39" s="444">
        <v>250</v>
      </c>
      <c r="J39" s="444">
        <v>311250</v>
      </c>
      <c r="K39" s="441">
        <v>0.81168831168831168</v>
      </c>
      <c r="L39" s="441">
        <v>1245</v>
      </c>
      <c r="M39" s="444">
        <v>239</v>
      </c>
      <c r="N39" s="444">
        <v>303052</v>
      </c>
      <c r="O39" s="548">
        <v>0.79030928910446985</v>
      </c>
      <c r="P39" s="445">
        <v>1268</v>
      </c>
    </row>
    <row r="40" spans="1:16" ht="14.4" customHeight="1" x14ac:dyDescent="0.3">
      <c r="A40" s="440" t="s">
        <v>686</v>
      </c>
      <c r="B40" s="441" t="s">
        <v>629</v>
      </c>
      <c r="C40" s="441" t="s">
        <v>693</v>
      </c>
      <c r="D40" s="441" t="s">
        <v>694</v>
      </c>
      <c r="E40" s="444">
        <v>5</v>
      </c>
      <c r="F40" s="444">
        <v>46685</v>
      </c>
      <c r="G40" s="441">
        <v>1</v>
      </c>
      <c r="H40" s="441">
        <v>9337</v>
      </c>
      <c r="I40" s="444">
        <v>5</v>
      </c>
      <c r="J40" s="444">
        <v>46685</v>
      </c>
      <c r="K40" s="441">
        <v>1</v>
      </c>
      <c r="L40" s="441">
        <v>9337</v>
      </c>
      <c r="M40" s="444">
        <v>3</v>
      </c>
      <c r="N40" s="444">
        <v>28338</v>
      </c>
      <c r="O40" s="548">
        <v>0.60700439113205529</v>
      </c>
      <c r="P40" s="445">
        <v>9446</v>
      </c>
    </row>
    <row r="41" spans="1:16" ht="14.4" customHeight="1" x14ac:dyDescent="0.3">
      <c r="A41" s="440" t="s">
        <v>686</v>
      </c>
      <c r="B41" s="441" t="s">
        <v>629</v>
      </c>
      <c r="C41" s="441" t="s">
        <v>695</v>
      </c>
      <c r="D41" s="441" t="s">
        <v>696</v>
      </c>
      <c r="E41" s="444"/>
      <c r="F41" s="444"/>
      <c r="G41" s="441"/>
      <c r="H41" s="441"/>
      <c r="I41" s="444"/>
      <c r="J41" s="444"/>
      <c r="K41" s="441"/>
      <c r="L41" s="441"/>
      <c r="M41" s="444">
        <v>2</v>
      </c>
      <c r="N41" s="444">
        <v>2016</v>
      </c>
      <c r="O41" s="548"/>
      <c r="P41" s="445">
        <v>1008</v>
      </c>
    </row>
    <row r="42" spans="1:16" ht="14.4" customHeight="1" x14ac:dyDescent="0.3">
      <c r="A42" s="440" t="s">
        <v>686</v>
      </c>
      <c r="B42" s="441" t="s">
        <v>629</v>
      </c>
      <c r="C42" s="441" t="s">
        <v>697</v>
      </c>
      <c r="D42" s="441" t="s">
        <v>698</v>
      </c>
      <c r="E42" s="444">
        <v>2088</v>
      </c>
      <c r="F42" s="444">
        <v>4662504</v>
      </c>
      <c r="G42" s="441">
        <v>1</v>
      </c>
      <c r="H42" s="441">
        <v>2233</v>
      </c>
      <c r="I42" s="444">
        <v>1922</v>
      </c>
      <c r="J42" s="444">
        <v>4291826</v>
      </c>
      <c r="K42" s="441">
        <v>0.92049808429118773</v>
      </c>
      <c r="L42" s="441">
        <v>2233</v>
      </c>
      <c r="M42" s="444">
        <v>2420</v>
      </c>
      <c r="N42" s="444">
        <v>5478880</v>
      </c>
      <c r="O42" s="548">
        <v>1.1750938980427685</v>
      </c>
      <c r="P42" s="445">
        <v>2264</v>
      </c>
    </row>
    <row r="43" spans="1:16" ht="14.4" customHeight="1" x14ac:dyDescent="0.3">
      <c r="A43" s="440" t="s">
        <v>686</v>
      </c>
      <c r="B43" s="441" t="s">
        <v>629</v>
      </c>
      <c r="C43" s="441" t="s">
        <v>699</v>
      </c>
      <c r="D43" s="441" t="s">
        <v>700</v>
      </c>
      <c r="E43" s="444">
        <v>22</v>
      </c>
      <c r="F43" s="444">
        <v>10890</v>
      </c>
      <c r="G43" s="441">
        <v>1</v>
      </c>
      <c r="H43" s="441">
        <v>495</v>
      </c>
      <c r="I43" s="444">
        <v>10</v>
      </c>
      <c r="J43" s="444">
        <v>4950</v>
      </c>
      <c r="K43" s="441">
        <v>0.45454545454545453</v>
      </c>
      <c r="L43" s="441">
        <v>495</v>
      </c>
      <c r="M43" s="444">
        <v>15</v>
      </c>
      <c r="N43" s="444">
        <v>7545</v>
      </c>
      <c r="O43" s="548">
        <v>0.69283746556473824</v>
      </c>
      <c r="P43" s="445">
        <v>503</v>
      </c>
    </row>
    <row r="44" spans="1:16" ht="14.4" customHeight="1" x14ac:dyDescent="0.3">
      <c r="A44" s="440" t="s">
        <v>686</v>
      </c>
      <c r="B44" s="441" t="s">
        <v>629</v>
      </c>
      <c r="C44" s="441" t="s">
        <v>701</v>
      </c>
      <c r="D44" s="441" t="s">
        <v>702</v>
      </c>
      <c r="E44" s="444">
        <v>49</v>
      </c>
      <c r="F44" s="444">
        <v>42777</v>
      </c>
      <c r="G44" s="441">
        <v>1</v>
      </c>
      <c r="H44" s="441">
        <v>873</v>
      </c>
      <c r="I44" s="444">
        <v>26</v>
      </c>
      <c r="J44" s="444">
        <v>22698</v>
      </c>
      <c r="K44" s="441">
        <v>0.53061224489795922</v>
      </c>
      <c r="L44" s="441">
        <v>873</v>
      </c>
      <c r="M44" s="444">
        <v>34</v>
      </c>
      <c r="N44" s="444">
        <v>30090</v>
      </c>
      <c r="O44" s="548">
        <v>0.70341538677326598</v>
      </c>
      <c r="P44" s="445">
        <v>885</v>
      </c>
    </row>
    <row r="45" spans="1:16" ht="14.4" customHeight="1" x14ac:dyDescent="0.3">
      <c r="A45" s="440" t="s">
        <v>686</v>
      </c>
      <c r="B45" s="441" t="s">
        <v>629</v>
      </c>
      <c r="C45" s="441" t="s">
        <v>703</v>
      </c>
      <c r="D45" s="441" t="s">
        <v>704</v>
      </c>
      <c r="E45" s="444">
        <v>64</v>
      </c>
      <c r="F45" s="444">
        <v>416896</v>
      </c>
      <c r="G45" s="441">
        <v>1</v>
      </c>
      <c r="H45" s="441">
        <v>6514</v>
      </c>
      <c r="I45" s="444">
        <v>80</v>
      </c>
      <c r="J45" s="444">
        <v>521120</v>
      </c>
      <c r="K45" s="441">
        <v>1.25</v>
      </c>
      <c r="L45" s="441">
        <v>6514</v>
      </c>
      <c r="M45" s="444">
        <v>63</v>
      </c>
      <c r="N45" s="444">
        <v>415296</v>
      </c>
      <c r="O45" s="548">
        <v>0.99616211237334973</v>
      </c>
      <c r="P45" s="445">
        <v>6592</v>
      </c>
    </row>
    <row r="46" spans="1:16" ht="14.4" customHeight="1" x14ac:dyDescent="0.3">
      <c r="A46" s="440" t="s">
        <v>686</v>
      </c>
      <c r="B46" s="441" t="s">
        <v>629</v>
      </c>
      <c r="C46" s="441" t="s">
        <v>705</v>
      </c>
      <c r="D46" s="441" t="s">
        <v>706</v>
      </c>
      <c r="E46" s="444">
        <v>2</v>
      </c>
      <c r="F46" s="444">
        <v>6632</v>
      </c>
      <c r="G46" s="441">
        <v>1</v>
      </c>
      <c r="H46" s="441">
        <v>3316</v>
      </c>
      <c r="I46" s="444">
        <v>1</v>
      </c>
      <c r="J46" s="444">
        <v>3316</v>
      </c>
      <c r="K46" s="441">
        <v>0.5</v>
      </c>
      <c r="L46" s="441">
        <v>3316</v>
      </c>
      <c r="M46" s="444"/>
      <c r="N46" s="444"/>
      <c r="O46" s="548"/>
      <c r="P46" s="445"/>
    </row>
    <row r="47" spans="1:16" ht="14.4" customHeight="1" x14ac:dyDescent="0.3">
      <c r="A47" s="440" t="s">
        <v>686</v>
      </c>
      <c r="B47" s="441" t="s">
        <v>629</v>
      </c>
      <c r="C47" s="441" t="s">
        <v>707</v>
      </c>
      <c r="D47" s="441" t="s">
        <v>708</v>
      </c>
      <c r="E47" s="444">
        <v>26</v>
      </c>
      <c r="F47" s="444">
        <v>221000</v>
      </c>
      <c r="G47" s="441">
        <v>1</v>
      </c>
      <c r="H47" s="441">
        <v>8500</v>
      </c>
      <c r="I47" s="444">
        <v>16</v>
      </c>
      <c r="J47" s="444">
        <v>136000</v>
      </c>
      <c r="K47" s="441">
        <v>0.61538461538461542</v>
      </c>
      <c r="L47" s="441">
        <v>8500</v>
      </c>
      <c r="M47" s="444">
        <v>19</v>
      </c>
      <c r="N47" s="444">
        <v>163058</v>
      </c>
      <c r="O47" s="548">
        <v>0.73781900452488691</v>
      </c>
      <c r="P47" s="445">
        <v>8582</v>
      </c>
    </row>
    <row r="48" spans="1:16" ht="14.4" customHeight="1" x14ac:dyDescent="0.3">
      <c r="A48" s="440" t="s">
        <v>686</v>
      </c>
      <c r="B48" s="441" t="s">
        <v>629</v>
      </c>
      <c r="C48" s="441" t="s">
        <v>709</v>
      </c>
      <c r="D48" s="441" t="s">
        <v>710</v>
      </c>
      <c r="E48" s="444">
        <v>3</v>
      </c>
      <c r="F48" s="444">
        <v>31122</v>
      </c>
      <c r="G48" s="441">
        <v>1</v>
      </c>
      <c r="H48" s="441">
        <v>10374</v>
      </c>
      <c r="I48" s="444"/>
      <c r="J48" s="444"/>
      <c r="K48" s="441"/>
      <c r="L48" s="441"/>
      <c r="M48" s="444">
        <v>1</v>
      </c>
      <c r="N48" s="444">
        <v>10478</v>
      </c>
      <c r="O48" s="548">
        <v>0.33667502088554718</v>
      </c>
      <c r="P48" s="445">
        <v>10478</v>
      </c>
    </row>
    <row r="49" spans="1:16" ht="14.4" customHeight="1" x14ac:dyDescent="0.3">
      <c r="A49" s="440" t="s">
        <v>686</v>
      </c>
      <c r="B49" s="441" t="s">
        <v>629</v>
      </c>
      <c r="C49" s="441" t="s">
        <v>711</v>
      </c>
      <c r="D49" s="441" t="s">
        <v>712</v>
      </c>
      <c r="E49" s="444">
        <v>4</v>
      </c>
      <c r="F49" s="444">
        <v>4080</v>
      </c>
      <c r="G49" s="441">
        <v>1</v>
      </c>
      <c r="H49" s="441">
        <v>1020</v>
      </c>
      <c r="I49" s="444">
        <v>4</v>
      </c>
      <c r="J49" s="444">
        <v>4080</v>
      </c>
      <c r="K49" s="441">
        <v>1</v>
      </c>
      <c r="L49" s="441">
        <v>1020</v>
      </c>
      <c r="M49" s="444">
        <v>4</v>
      </c>
      <c r="N49" s="444">
        <v>4144</v>
      </c>
      <c r="O49" s="548">
        <v>1.0156862745098039</v>
      </c>
      <c r="P49" s="445">
        <v>1036</v>
      </c>
    </row>
    <row r="50" spans="1:16" ht="14.4" customHeight="1" thickBot="1" x14ac:dyDescent="0.35">
      <c r="A50" s="491" t="s">
        <v>686</v>
      </c>
      <c r="B50" s="447" t="s">
        <v>629</v>
      </c>
      <c r="C50" s="447" t="s">
        <v>713</v>
      </c>
      <c r="D50" s="447" t="s">
        <v>714</v>
      </c>
      <c r="E50" s="450"/>
      <c r="F50" s="450"/>
      <c r="G50" s="447"/>
      <c r="H50" s="447"/>
      <c r="I50" s="450">
        <v>2</v>
      </c>
      <c r="J50" s="450">
        <v>1122</v>
      </c>
      <c r="K50" s="447"/>
      <c r="L50" s="447">
        <v>561</v>
      </c>
      <c r="M50" s="450"/>
      <c r="N50" s="450"/>
      <c r="O50" s="460"/>
      <c r="P50" s="511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40" bestFit="1" customWidth="1"/>
    <col min="2" max="2" width="11.6640625" style="140" hidden="1" customWidth="1"/>
    <col min="3" max="4" width="11" style="142" customWidth="1"/>
    <col min="5" max="5" width="11" style="143" customWidth="1"/>
    <col min="6" max="16384" width="8.88671875" style="140"/>
  </cols>
  <sheetData>
    <row r="1" spans="1:5" ht="18.600000000000001" thickBot="1" x14ac:dyDescent="0.4">
      <c r="A1" s="314" t="s">
        <v>122</v>
      </c>
      <c r="B1" s="314"/>
      <c r="C1" s="315"/>
      <c r="D1" s="315"/>
      <c r="E1" s="315"/>
    </row>
    <row r="2" spans="1:5" ht="14.4" customHeight="1" thickBot="1" x14ac:dyDescent="0.35">
      <c r="A2" s="224" t="s">
        <v>267</v>
      </c>
      <c r="B2" s="141"/>
    </row>
    <row r="3" spans="1:5" ht="14.4" customHeight="1" thickBot="1" x14ac:dyDescent="0.35">
      <c r="A3" s="144"/>
      <c r="C3" s="145" t="s">
        <v>108</v>
      </c>
      <c r="D3" s="146" t="s">
        <v>73</v>
      </c>
      <c r="E3" s="147" t="s">
        <v>75</v>
      </c>
    </row>
    <row r="4" spans="1:5" ht="14.4" customHeight="1" thickBot="1" x14ac:dyDescent="0.35">
      <c r="A4" s="148" t="str">
        <f>HYPERLINK("#HI!A1","NÁKLADY CELKEM (v tisících Kč)")</f>
        <v>NÁKLADY CELKEM (v tisících Kč)</v>
      </c>
      <c r="B4" s="149"/>
      <c r="C4" s="150">
        <f ca="1">IF(ISERROR(VLOOKUP("Náklady celkem",INDIRECT("HI!$A:$G"),6,0)),0,VLOOKUP("Náklady celkem",INDIRECT("HI!$A:$G"),6,0))</f>
        <v>4021.3276876105256</v>
      </c>
      <c r="D4" s="150">
        <f ca="1">IF(ISERROR(VLOOKUP("Náklady celkem",INDIRECT("HI!$A:$G"),5,0)),0,VLOOKUP("Náklady celkem",INDIRECT("HI!$A:$G"),5,0))</f>
        <v>2719.8867100000039</v>
      </c>
      <c r="E4" s="151">
        <f ca="1">IF(C4=0,0,D4/C4)</f>
        <v>0.67636535027469036</v>
      </c>
    </row>
    <row r="5" spans="1:5" ht="14.4" customHeight="1" x14ac:dyDescent="0.3">
      <c r="A5" s="152" t="s">
        <v>142</v>
      </c>
      <c r="B5" s="153"/>
      <c r="C5" s="154"/>
      <c r="D5" s="154"/>
      <c r="E5" s="155"/>
    </row>
    <row r="6" spans="1:5" ht="14.4" customHeight="1" x14ac:dyDescent="0.3">
      <c r="A6" s="156" t="s">
        <v>147</v>
      </c>
      <c r="B6" s="157"/>
      <c r="C6" s="158"/>
      <c r="D6" s="158"/>
      <c r="E6" s="155"/>
    </row>
    <row r="7" spans="1:5" ht="14.4" customHeight="1" x14ac:dyDescent="0.3">
      <c r="A7" s="15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7" t="s">
        <v>112</v>
      </c>
      <c r="C7" s="158">
        <f>IF(ISERROR(HI!F5),"",HI!F5)</f>
        <v>10.163644356668666</v>
      </c>
      <c r="D7" s="158">
        <f>IF(ISERROR(HI!E5),"",HI!E5)</f>
        <v>4.7029200000000007</v>
      </c>
      <c r="E7" s="155">
        <f t="shared" ref="E7:E13" si="0">IF(C7=0,0,D7/C7)</f>
        <v>0.4627198507702876</v>
      </c>
    </row>
    <row r="8" spans="1:5" ht="14.4" customHeight="1" x14ac:dyDescent="0.3">
      <c r="A8" s="301" t="str">
        <f>HYPERLINK("#'LŽ Statim'!A1","% podíl statimových žádanek")</f>
        <v>% podíl statimových žádanek</v>
      </c>
      <c r="B8" s="299" t="s">
        <v>242</v>
      </c>
      <c r="C8" s="300">
        <v>0.3</v>
      </c>
      <c r="D8" s="300">
        <f>IF('LŽ Statim'!G3="",0,'LŽ Statim'!G3)</f>
        <v>0</v>
      </c>
      <c r="E8" s="155">
        <f>IF(C8=0,0,D8/C8)</f>
        <v>0</v>
      </c>
    </row>
    <row r="9" spans="1:5" ht="14.4" customHeight="1" x14ac:dyDescent="0.3">
      <c r="A9" s="161" t="s">
        <v>143</v>
      </c>
      <c r="B9" s="157"/>
      <c r="C9" s="158"/>
      <c r="D9" s="158"/>
      <c r="E9" s="155"/>
    </row>
    <row r="10" spans="1:5" ht="14.4" customHeight="1" x14ac:dyDescent="0.3">
      <c r="A10" s="159" t="str">
        <f>HYPERLINK("#'Léky Recepty'!A1","% záchytu v lékárně (Úhrada Kč)")</f>
        <v>% záchytu v lékárně (Úhrada Kč)</v>
      </c>
      <c r="B10" s="157" t="s">
        <v>117</v>
      </c>
      <c r="C10" s="160">
        <v>0.6</v>
      </c>
      <c r="D10" s="160">
        <f>IF(ISERROR(VLOOKUP("Celkem",'Léky Recepty'!B:H,5,0)),0,VLOOKUP("Celkem",'Léky Recepty'!B:H,5,0))</f>
        <v>1</v>
      </c>
      <c r="E10" s="155">
        <f t="shared" si="0"/>
        <v>1.6666666666666667</v>
      </c>
    </row>
    <row r="11" spans="1:5" ht="14.4" customHeight="1" x14ac:dyDescent="0.3">
      <c r="A11" s="161" t="s">
        <v>144</v>
      </c>
      <c r="B11" s="157"/>
      <c r="C11" s="158"/>
      <c r="D11" s="158"/>
      <c r="E11" s="155"/>
    </row>
    <row r="12" spans="1:5" ht="14.4" customHeight="1" x14ac:dyDescent="0.3">
      <c r="A12" s="162" t="s">
        <v>148</v>
      </c>
      <c r="B12" s="157"/>
      <c r="C12" s="154"/>
      <c r="D12" s="154"/>
      <c r="E12" s="155"/>
    </row>
    <row r="13" spans="1:5" ht="14.4" customHeight="1" x14ac:dyDescent="0.3">
      <c r="A13" s="1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7" t="s">
        <v>112</v>
      </c>
      <c r="C13" s="158">
        <f>IF(ISERROR(HI!F6),"",HI!F6)</f>
        <v>785.18025860205682</v>
      </c>
      <c r="D13" s="158">
        <f>IF(ISERROR(HI!E6),"",HI!E6)</f>
        <v>234.33208999999999</v>
      </c>
      <c r="E13" s="155">
        <f t="shared" si="0"/>
        <v>0.29844368529744664</v>
      </c>
    </row>
    <row r="14" spans="1:5" ht="14.4" customHeight="1" thickBot="1" x14ac:dyDescent="0.35">
      <c r="A14" s="164" t="str">
        <f>HYPERLINK("#HI!A1","Osobní náklady")</f>
        <v>Osobní náklady</v>
      </c>
      <c r="B14" s="157"/>
      <c r="C14" s="154">
        <f ca="1">IF(ISERROR(VLOOKUP("Osobní náklady (Kč) *",INDIRECT("HI!$A:$G"),6,0)),0,VLOOKUP("Osobní náklady (Kč) *",INDIRECT("HI!$A:$G"),6,0))</f>
        <v>2483.3332551143517</v>
      </c>
      <c r="D14" s="154">
        <f ca="1">IF(ISERROR(VLOOKUP("Osobní náklady (Kč) *",INDIRECT("HI!$A:$G"),5,0)),0,VLOOKUP("Osobní náklady (Kč) *",INDIRECT("HI!$A:$G"),5,0))</f>
        <v>1922.049100000002</v>
      </c>
      <c r="E14" s="155">
        <f ca="1">IF(C14=0,0,D14/C14)</f>
        <v>0.77397952773418488</v>
      </c>
    </row>
    <row r="15" spans="1:5" ht="14.4" customHeight="1" thickBot="1" x14ac:dyDescent="0.35">
      <c r="A15" s="168"/>
      <c r="B15" s="169"/>
      <c r="C15" s="170"/>
      <c r="D15" s="170"/>
      <c r="E15" s="171"/>
    </row>
    <row r="16" spans="1:5" ht="14.4" customHeight="1" thickBot="1" x14ac:dyDescent="0.35">
      <c r="A16" s="172" t="str">
        <f>HYPERLINK("#HI!A1","VÝNOSY CELKEM (v tisících)")</f>
        <v>VÝNOSY CELKEM (v tisících)</v>
      </c>
      <c r="B16" s="173"/>
      <c r="C16" s="174">
        <f ca="1">IF(ISERROR(VLOOKUP("Výnosy celkem",INDIRECT("HI!$A:$G"),6,0)),0,VLOOKUP("Výnosy celkem",INDIRECT("HI!$A:$G"),6,0))</f>
        <v>8833.8060000000005</v>
      </c>
      <c r="D16" s="174">
        <f ca="1">IF(ISERROR(VLOOKUP("Výnosy celkem",INDIRECT("HI!$A:$G"),5,0)),0,VLOOKUP("Výnosy celkem",INDIRECT("HI!$A:$G"),5,0))</f>
        <v>7177.7219999999998</v>
      </c>
      <c r="E16" s="175">
        <f t="shared" ref="E16:E19" ca="1" si="1">IF(C16=0,0,D16/C16)</f>
        <v>0.81252882392934589</v>
      </c>
    </row>
    <row r="17" spans="1:5" ht="14.4" customHeight="1" x14ac:dyDescent="0.3">
      <c r="A17" s="176" t="str">
        <f>HYPERLINK("#HI!A1","Ambulance (body za výkony + Kč za ZUM a ZULP)")</f>
        <v>Ambulance (body za výkony + Kč za ZUM a ZULP)</v>
      </c>
      <c r="B17" s="153"/>
      <c r="C17" s="154">
        <f ca="1">IF(ISERROR(VLOOKUP("Ambulance *",INDIRECT("HI!$A:$G"),6,0)),0,VLOOKUP("Ambulance *",INDIRECT("HI!$A:$G"),6,0))</f>
        <v>8833.8060000000005</v>
      </c>
      <c r="D17" s="154">
        <f ca="1">IF(ISERROR(VLOOKUP("Ambulance *",INDIRECT("HI!$A:$G"),5,0)),0,VLOOKUP("Ambulance *",INDIRECT("HI!$A:$G"),5,0))</f>
        <v>7177.7219999999998</v>
      </c>
      <c r="E17" s="155">
        <f t="shared" ca="1" si="1"/>
        <v>0.81252882392934589</v>
      </c>
    </row>
    <row r="18" spans="1:5" ht="14.4" customHeight="1" x14ac:dyDescent="0.3">
      <c r="A18" s="177" t="str">
        <f>HYPERLINK("#'ZV Vykáz.-A'!A1","Zdravotní výkony vykázané u ambulantních pacientů (min. 100 %)")</f>
        <v>Zdravotní výkony vykázané u ambulantních pacientů (min. 100 %)</v>
      </c>
      <c r="B18" s="140" t="s">
        <v>124</v>
      </c>
      <c r="C18" s="160">
        <v>1</v>
      </c>
      <c r="D18" s="160">
        <f>IF(ISERROR(VLOOKUP("Celkem:",'ZV Vykáz.-A'!$A:$S,7,0)),"",VLOOKUP("Celkem:",'ZV Vykáz.-A'!$A:$S,7,0))</f>
        <v>0.812528823929346</v>
      </c>
      <c r="E18" s="155">
        <f t="shared" si="1"/>
        <v>0.812528823929346</v>
      </c>
    </row>
    <row r="19" spans="1:5" ht="14.4" customHeight="1" x14ac:dyDescent="0.3">
      <c r="A19" s="177" t="str">
        <f>HYPERLINK("#'ZV Vykáz.-H'!A1","Zdravotní výkony vykázané u hospitalizovaných pacientů (max. 85 %)")</f>
        <v>Zdravotní výkony vykázané u hospitalizovaných pacientů (max. 85 %)</v>
      </c>
      <c r="B19" s="140" t="s">
        <v>126</v>
      </c>
      <c r="C19" s="160">
        <v>0.85</v>
      </c>
      <c r="D19" s="160">
        <f>IF(ISERROR(VLOOKUP("Celkem:",'ZV Vykáz.-H'!$A:$S,7,0)),"",VLOOKUP("Celkem:",'ZV Vykáz.-H'!$A:$S,7,0))</f>
        <v>1.0160012758492372</v>
      </c>
      <c r="E19" s="155">
        <f t="shared" si="1"/>
        <v>1.1952956186461614</v>
      </c>
    </row>
    <row r="20" spans="1:5" ht="14.4" customHeight="1" x14ac:dyDescent="0.3">
      <c r="A20" s="178" t="str">
        <f>HYPERLINK("#HI!A1","Hospitalizace (casemix * 30000)")</f>
        <v>Hospitalizace (casemix * 30000)</v>
      </c>
      <c r="B20" s="157"/>
      <c r="C20" s="154">
        <f ca="1">IF(ISERROR(VLOOKUP("Hospitalizace *",INDIRECT("HI!$A:$G"),6,0)),0,VLOOKUP("Hospitalizace *",INDIRECT("HI!$A:$G"),6,0))</f>
        <v>0</v>
      </c>
      <c r="D20" s="154">
        <f ca="1">IF(ISERROR(VLOOKUP("Hospitalizace *",INDIRECT("HI!$A:$G"),5,0)),0,VLOOKUP("Hospitalizace *",INDIRECT("HI!$A:$G"),5,0))</f>
        <v>0</v>
      </c>
      <c r="E20" s="155">
        <f ca="1">IF(C20=0,0,D20/C20)</f>
        <v>0</v>
      </c>
    </row>
    <row r="21" spans="1:5" ht="14.4" customHeight="1" thickBot="1" x14ac:dyDescent="0.35">
      <c r="A21" s="179" t="s">
        <v>145</v>
      </c>
      <c r="B21" s="165"/>
      <c r="C21" s="166"/>
      <c r="D21" s="166"/>
      <c r="E21" s="167"/>
    </row>
    <row r="22" spans="1:5" ht="14.4" customHeight="1" thickBot="1" x14ac:dyDescent="0.35">
      <c r="A22" s="180"/>
      <c r="B22" s="181"/>
      <c r="C22" s="182"/>
      <c r="D22" s="182"/>
      <c r="E22" s="183"/>
    </row>
    <row r="23" spans="1:5" ht="14.4" customHeight="1" thickBot="1" x14ac:dyDescent="0.35">
      <c r="A23" s="184" t="s">
        <v>146</v>
      </c>
      <c r="B23" s="185"/>
      <c r="C23" s="186"/>
      <c r="D23" s="186"/>
      <c r="E23" s="187"/>
    </row>
  </sheetData>
  <mergeCells count="1">
    <mergeCell ref="A1:E1"/>
  </mergeCells>
  <conditionalFormatting sqref="E5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6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10">
    <cfRule type="cellIs" dxfId="58" priority="20" operator="lessThan">
      <formula>1</formula>
    </cfRule>
  </conditionalFormatting>
  <conditionalFormatting sqref="E8">
    <cfRule type="cellIs" dxfId="5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5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9" bestFit="1" customWidth="1"/>
    <col min="2" max="2" width="7.77734375" style="95" customWidth="1"/>
    <col min="3" max="3" width="0.109375" style="119" hidden="1" customWidth="1"/>
    <col min="4" max="4" width="7.77734375" style="95" customWidth="1"/>
    <col min="5" max="5" width="5.44140625" style="119" hidden="1" customWidth="1"/>
    <col min="6" max="6" width="7.77734375" style="95" customWidth="1"/>
    <col min="7" max="7" width="7.77734375" style="200" customWidth="1"/>
    <col min="8" max="8" width="7.77734375" style="95" customWidth="1"/>
    <col min="9" max="9" width="5.44140625" style="119" hidden="1" customWidth="1"/>
    <col min="10" max="10" width="7.77734375" style="95" customWidth="1"/>
    <col min="11" max="11" width="5.44140625" style="119" hidden="1" customWidth="1"/>
    <col min="12" max="12" width="7.77734375" style="95" customWidth="1"/>
    <col min="13" max="13" width="7.77734375" style="200" customWidth="1"/>
    <col min="14" max="14" width="7.77734375" style="95" customWidth="1"/>
    <col min="15" max="15" width="5" style="119" hidden="1" customWidth="1"/>
    <col min="16" max="16" width="7.77734375" style="95" customWidth="1"/>
    <col min="17" max="17" width="5" style="119" hidden="1" customWidth="1"/>
    <col min="18" max="18" width="7.77734375" style="95" customWidth="1"/>
    <col min="19" max="19" width="7.77734375" style="200" customWidth="1"/>
    <col min="20" max="16384" width="8.88671875" style="119"/>
  </cols>
  <sheetData>
    <row r="1" spans="1:19" ht="18.600000000000001" customHeight="1" thickBot="1" x14ac:dyDescent="0.4">
      <c r="A1" s="323" t="s">
        <v>128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</row>
    <row r="2" spans="1:19" ht="14.4" customHeight="1" thickBot="1" x14ac:dyDescent="0.35">
      <c r="A2" s="224" t="s">
        <v>267</v>
      </c>
      <c r="B2" s="216"/>
      <c r="C2" s="100"/>
      <c r="D2" s="216"/>
      <c r="E2" s="100"/>
      <c r="F2" s="216"/>
      <c r="G2" s="217"/>
      <c r="H2" s="216"/>
      <c r="I2" s="100"/>
      <c r="J2" s="216"/>
      <c r="K2" s="100"/>
      <c r="L2" s="216"/>
      <c r="M2" s="217"/>
      <c r="N2" s="216"/>
      <c r="O2" s="100"/>
      <c r="P2" s="216"/>
      <c r="Q2" s="100"/>
      <c r="R2" s="216"/>
      <c r="S2" s="217"/>
    </row>
    <row r="3" spans="1:19" ht="14.4" customHeight="1" thickBot="1" x14ac:dyDescent="0.35">
      <c r="A3" s="210" t="s">
        <v>129</v>
      </c>
      <c r="B3" s="211">
        <f>SUBTOTAL(9,B6:B1048576)</f>
        <v>131677</v>
      </c>
      <c r="C3" s="212">
        <f t="shared" ref="C3:R3" si="0">SUBTOTAL(9,C6:C1048576)</f>
        <v>6</v>
      </c>
      <c r="D3" s="212">
        <f t="shared" si="0"/>
        <v>209403</v>
      </c>
      <c r="E3" s="212">
        <f t="shared" si="0"/>
        <v>9.8425045008626011</v>
      </c>
      <c r="F3" s="212">
        <f t="shared" si="0"/>
        <v>133784</v>
      </c>
      <c r="G3" s="215">
        <f>IF(B3&lt;&gt;0,F3/B3,"")</f>
        <v>1.0160012758492372</v>
      </c>
      <c r="H3" s="211">
        <f t="shared" si="0"/>
        <v>0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3" t="str">
        <f>IF(H3&lt;&gt;0,L3/H3,"")</f>
        <v/>
      </c>
      <c r="N3" s="214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3" t="str">
        <f>IF(N3&lt;&gt;0,R3/N3,"")</f>
        <v/>
      </c>
    </row>
    <row r="4" spans="1:19" ht="14.4" customHeight="1" x14ac:dyDescent="0.3">
      <c r="A4" s="377" t="s">
        <v>106</v>
      </c>
      <c r="B4" s="378" t="s">
        <v>100</v>
      </c>
      <c r="C4" s="379"/>
      <c r="D4" s="379"/>
      <c r="E4" s="379"/>
      <c r="F4" s="379"/>
      <c r="G4" s="380"/>
      <c r="H4" s="378" t="s">
        <v>101</v>
      </c>
      <c r="I4" s="379"/>
      <c r="J4" s="379"/>
      <c r="K4" s="379"/>
      <c r="L4" s="379"/>
      <c r="M4" s="380"/>
      <c r="N4" s="378" t="s">
        <v>102</v>
      </c>
      <c r="O4" s="379"/>
      <c r="P4" s="379"/>
      <c r="Q4" s="379"/>
      <c r="R4" s="379"/>
      <c r="S4" s="380"/>
    </row>
    <row r="5" spans="1:19" ht="14.4" customHeight="1" thickBot="1" x14ac:dyDescent="0.35">
      <c r="A5" s="542"/>
      <c r="B5" s="543">
        <v>2013</v>
      </c>
      <c r="C5" s="544"/>
      <c r="D5" s="544">
        <v>2014</v>
      </c>
      <c r="E5" s="544"/>
      <c r="F5" s="544">
        <v>2015</v>
      </c>
      <c r="G5" s="545" t="s">
        <v>2</v>
      </c>
      <c r="H5" s="543">
        <v>2013</v>
      </c>
      <c r="I5" s="544"/>
      <c r="J5" s="544">
        <v>2014</v>
      </c>
      <c r="K5" s="544"/>
      <c r="L5" s="544">
        <v>2015</v>
      </c>
      <c r="M5" s="545" t="s">
        <v>2</v>
      </c>
      <c r="N5" s="543">
        <v>2013</v>
      </c>
      <c r="O5" s="544"/>
      <c r="P5" s="544">
        <v>2014</v>
      </c>
      <c r="Q5" s="544"/>
      <c r="R5" s="544">
        <v>2015</v>
      </c>
      <c r="S5" s="545" t="s">
        <v>2</v>
      </c>
    </row>
    <row r="6" spans="1:19" ht="14.4" customHeight="1" x14ac:dyDescent="0.3">
      <c r="A6" s="551" t="s">
        <v>716</v>
      </c>
      <c r="B6" s="546">
        <v>4117</v>
      </c>
      <c r="C6" s="485">
        <v>1</v>
      </c>
      <c r="D6" s="546">
        <v>1436</v>
      </c>
      <c r="E6" s="485">
        <v>0.34879766820500363</v>
      </c>
      <c r="F6" s="546"/>
      <c r="G6" s="490"/>
      <c r="H6" s="546"/>
      <c r="I6" s="485"/>
      <c r="J6" s="546"/>
      <c r="K6" s="485"/>
      <c r="L6" s="546"/>
      <c r="M6" s="490"/>
      <c r="N6" s="546"/>
      <c r="O6" s="485"/>
      <c r="P6" s="546"/>
      <c r="Q6" s="485"/>
      <c r="R6" s="546"/>
      <c r="S6" s="111"/>
    </row>
    <row r="7" spans="1:19" ht="14.4" customHeight="1" x14ac:dyDescent="0.3">
      <c r="A7" s="552" t="s">
        <v>717</v>
      </c>
      <c r="B7" s="547">
        <v>2516</v>
      </c>
      <c r="C7" s="441">
        <v>1</v>
      </c>
      <c r="D7" s="547"/>
      <c r="E7" s="441"/>
      <c r="F7" s="547"/>
      <c r="G7" s="548"/>
      <c r="H7" s="547"/>
      <c r="I7" s="441"/>
      <c r="J7" s="547"/>
      <c r="K7" s="441"/>
      <c r="L7" s="547"/>
      <c r="M7" s="548"/>
      <c r="N7" s="547"/>
      <c r="O7" s="441"/>
      <c r="P7" s="547"/>
      <c r="Q7" s="441"/>
      <c r="R7" s="547"/>
      <c r="S7" s="549"/>
    </row>
    <row r="8" spans="1:19" ht="14.4" customHeight="1" x14ac:dyDescent="0.3">
      <c r="A8" s="552" t="s">
        <v>718</v>
      </c>
      <c r="B8" s="547">
        <v>24940</v>
      </c>
      <c r="C8" s="441">
        <v>1</v>
      </c>
      <c r="D8" s="547">
        <v>105382</v>
      </c>
      <c r="E8" s="441">
        <v>4.2254210104250198</v>
      </c>
      <c r="F8" s="547">
        <v>13114</v>
      </c>
      <c r="G8" s="548">
        <v>0.52582197273456299</v>
      </c>
      <c r="H8" s="547"/>
      <c r="I8" s="441"/>
      <c r="J8" s="547"/>
      <c r="K8" s="441"/>
      <c r="L8" s="547"/>
      <c r="M8" s="548"/>
      <c r="N8" s="547"/>
      <c r="O8" s="441"/>
      <c r="P8" s="547"/>
      <c r="Q8" s="441"/>
      <c r="R8" s="547"/>
      <c r="S8" s="549"/>
    </row>
    <row r="9" spans="1:19" ht="14.4" customHeight="1" x14ac:dyDescent="0.3">
      <c r="A9" s="552" t="s">
        <v>719</v>
      </c>
      <c r="B9" s="547">
        <v>52164</v>
      </c>
      <c r="C9" s="441">
        <v>1</v>
      </c>
      <c r="D9" s="547">
        <v>54667</v>
      </c>
      <c r="E9" s="441">
        <v>1.0479832834905298</v>
      </c>
      <c r="F9" s="547">
        <v>117954</v>
      </c>
      <c r="G9" s="548">
        <v>2.2612146307798482</v>
      </c>
      <c r="H9" s="547"/>
      <c r="I9" s="441"/>
      <c r="J9" s="547"/>
      <c r="K9" s="441"/>
      <c r="L9" s="547"/>
      <c r="M9" s="548"/>
      <c r="N9" s="547"/>
      <c r="O9" s="441"/>
      <c r="P9" s="547"/>
      <c r="Q9" s="441"/>
      <c r="R9" s="547"/>
      <c r="S9" s="549"/>
    </row>
    <row r="10" spans="1:19" ht="14.4" customHeight="1" x14ac:dyDescent="0.3">
      <c r="A10" s="552" t="s">
        <v>720</v>
      </c>
      <c r="B10" s="547">
        <v>8817</v>
      </c>
      <c r="C10" s="441">
        <v>1</v>
      </c>
      <c r="D10" s="547">
        <v>34513</v>
      </c>
      <c r="E10" s="441">
        <v>3.914369967108994</v>
      </c>
      <c r="F10" s="547">
        <v>1448</v>
      </c>
      <c r="G10" s="548">
        <v>0.16422819553135987</v>
      </c>
      <c r="H10" s="547"/>
      <c r="I10" s="441"/>
      <c r="J10" s="547"/>
      <c r="K10" s="441"/>
      <c r="L10" s="547"/>
      <c r="M10" s="548"/>
      <c r="N10" s="547"/>
      <c r="O10" s="441"/>
      <c r="P10" s="547"/>
      <c r="Q10" s="441"/>
      <c r="R10" s="547"/>
      <c r="S10" s="549"/>
    </row>
    <row r="11" spans="1:19" ht="14.4" customHeight="1" x14ac:dyDescent="0.3">
      <c r="A11" s="552" t="s">
        <v>721</v>
      </c>
      <c r="B11" s="547">
        <v>39123</v>
      </c>
      <c r="C11" s="441">
        <v>1</v>
      </c>
      <c r="D11" s="547">
        <v>11969</v>
      </c>
      <c r="E11" s="441">
        <v>0.30593257163305471</v>
      </c>
      <c r="F11" s="547">
        <v>1268</v>
      </c>
      <c r="G11" s="548">
        <v>3.2410602458911635E-2</v>
      </c>
      <c r="H11" s="547"/>
      <c r="I11" s="441"/>
      <c r="J11" s="547"/>
      <c r="K11" s="441"/>
      <c r="L11" s="547"/>
      <c r="M11" s="548"/>
      <c r="N11" s="547"/>
      <c r="O11" s="441"/>
      <c r="P11" s="547"/>
      <c r="Q11" s="441"/>
      <c r="R11" s="547"/>
      <c r="S11" s="549"/>
    </row>
    <row r="12" spans="1:19" ht="14.4" customHeight="1" thickBot="1" x14ac:dyDescent="0.35">
      <c r="A12" s="553" t="s">
        <v>722</v>
      </c>
      <c r="B12" s="550"/>
      <c r="C12" s="447"/>
      <c r="D12" s="550">
        <v>1436</v>
      </c>
      <c r="E12" s="447"/>
      <c r="F12" s="550"/>
      <c r="G12" s="460"/>
      <c r="H12" s="550"/>
      <c r="I12" s="447"/>
      <c r="J12" s="550"/>
      <c r="K12" s="447"/>
      <c r="L12" s="550"/>
      <c r="M12" s="460"/>
      <c r="N12" s="550"/>
      <c r="O12" s="447"/>
      <c r="P12" s="550"/>
      <c r="Q12" s="447"/>
      <c r="R12" s="550"/>
      <c r="S12" s="49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9" bestFit="1" customWidth="1"/>
    <col min="2" max="2" width="8.6640625" style="119" bestFit="1" customWidth="1"/>
    <col min="3" max="3" width="2.109375" style="119" bestFit="1" customWidth="1"/>
    <col min="4" max="4" width="8" style="119" bestFit="1" customWidth="1"/>
    <col min="5" max="5" width="52.88671875" style="119" bestFit="1" customWidth="1"/>
    <col min="6" max="7" width="11.109375" style="197" customWidth="1"/>
    <col min="8" max="9" width="9.33203125" style="197" hidden="1" customWidth="1"/>
    <col min="10" max="11" width="11.109375" style="197" customWidth="1"/>
    <col min="12" max="13" width="9.33203125" style="197" hidden="1" customWidth="1"/>
    <col min="14" max="15" width="11.109375" style="197" customWidth="1"/>
    <col min="16" max="16" width="11.109375" style="200" customWidth="1"/>
    <col min="17" max="17" width="11.109375" style="197" customWidth="1"/>
    <col min="18" max="16384" width="8.88671875" style="119"/>
  </cols>
  <sheetData>
    <row r="1" spans="1:17" ht="18.600000000000001" customHeight="1" thickBot="1" x14ac:dyDescent="0.4">
      <c r="A1" s="314" t="s">
        <v>730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ht="14.4" customHeight="1" thickBot="1" x14ac:dyDescent="0.35">
      <c r="A2" s="224" t="s">
        <v>267</v>
      </c>
      <c r="B2" s="120"/>
      <c r="C2" s="120"/>
      <c r="D2" s="120"/>
      <c r="E2" s="120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9"/>
      <c r="Q2" s="218"/>
    </row>
    <row r="3" spans="1:17" ht="14.4" customHeight="1" thickBot="1" x14ac:dyDescent="0.35">
      <c r="E3" s="77" t="s">
        <v>129</v>
      </c>
      <c r="F3" s="91">
        <f t="shared" ref="F3:O3" si="0">SUBTOTAL(9,F6:F1048576)</f>
        <v>88</v>
      </c>
      <c r="G3" s="92">
        <f t="shared" si="0"/>
        <v>131677</v>
      </c>
      <c r="H3" s="92"/>
      <c r="I3" s="92"/>
      <c r="J3" s="92">
        <f t="shared" si="0"/>
        <v>114</v>
      </c>
      <c r="K3" s="92">
        <f t="shared" si="0"/>
        <v>209403</v>
      </c>
      <c r="L3" s="92"/>
      <c r="M3" s="92"/>
      <c r="N3" s="92">
        <f t="shared" si="0"/>
        <v>61</v>
      </c>
      <c r="O3" s="92">
        <f t="shared" si="0"/>
        <v>133784</v>
      </c>
      <c r="P3" s="67">
        <f>IF(G3=0,0,O3/G3)</f>
        <v>1.0160012758492372</v>
      </c>
      <c r="Q3" s="93">
        <f>IF(N3=0,0,O3/N3)</f>
        <v>2193.1803278688526</v>
      </c>
    </row>
    <row r="4" spans="1:17" ht="14.4" customHeight="1" x14ac:dyDescent="0.3">
      <c r="A4" s="386" t="s">
        <v>69</v>
      </c>
      <c r="B4" s="385" t="s">
        <v>95</v>
      </c>
      <c r="C4" s="386" t="s">
        <v>96</v>
      </c>
      <c r="D4" s="394" t="s">
        <v>97</v>
      </c>
      <c r="E4" s="387" t="s">
        <v>70</v>
      </c>
      <c r="F4" s="392">
        <v>2013</v>
      </c>
      <c r="G4" s="393"/>
      <c r="H4" s="94"/>
      <c r="I4" s="94"/>
      <c r="J4" s="392">
        <v>2014</v>
      </c>
      <c r="K4" s="393"/>
      <c r="L4" s="94"/>
      <c r="M4" s="94"/>
      <c r="N4" s="392">
        <v>2015</v>
      </c>
      <c r="O4" s="393"/>
      <c r="P4" s="395" t="s">
        <v>2</v>
      </c>
      <c r="Q4" s="384" t="s">
        <v>98</v>
      </c>
    </row>
    <row r="5" spans="1:17" ht="14.4" customHeight="1" thickBot="1" x14ac:dyDescent="0.35">
      <c r="A5" s="561"/>
      <c r="B5" s="560"/>
      <c r="C5" s="561"/>
      <c r="D5" s="569"/>
      <c r="E5" s="563"/>
      <c r="F5" s="570" t="s">
        <v>72</v>
      </c>
      <c r="G5" s="571" t="s">
        <v>14</v>
      </c>
      <c r="H5" s="572"/>
      <c r="I5" s="572"/>
      <c r="J5" s="570" t="s">
        <v>72</v>
      </c>
      <c r="K5" s="571" t="s">
        <v>14</v>
      </c>
      <c r="L5" s="572"/>
      <c r="M5" s="572"/>
      <c r="N5" s="570" t="s">
        <v>72</v>
      </c>
      <c r="O5" s="571" t="s">
        <v>14</v>
      </c>
      <c r="P5" s="573"/>
      <c r="Q5" s="568"/>
    </row>
    <row r="6" spans="1:17" ht="14.4" customHeight="1" x14ac:dyDescent="0.3">
      <c r="A6" s="484" t="s">
        <v>723</v>
      </c>
      <c r="B6" s="485" t="s">
        <v>623</v>
      </c>
      <c r="C6" s="485" t="s">
        <v>629</v>
      </c>
      <c r="D6" s="485" t="s">
        <v>644</v>
      </c>
      <c r="E6" s="485" t="s">
        <v>645</v>
      </c>
      <c r="F6" s="105">
        <v>2</v>
      </c>
      <c r="G6" s="105">
        <v>0</v>
      </c>
      <c r="H6" s="105"/>
      <c r="I6" s="105">
        <v>0</v>
      </c>
      <c r="J6" s="105">
        <v>1</v>
      </c>
      <c r="K6" s="105">
        <v>0</v>
      </c>
      <c r="L6" s="105"/>
      <c r="M6" s="105">
        <v>0</v>
      </c>
      <c r="N6" s="105"/>
      <c r="O6" s="105"/>
      <c r="P6" s="490"/>
      <c r="Q6" s="502"/>
    </row>
    <row r="7" spans="1:17" ht="14.4" customHeight="1" x14ac:dyDescent="0.3">
      <c r="A7" s="440" t="s">
        <v>723</v>
      </c>
      <c r="B7" s="441" t="s">
        <v>623</v>
      </c>
      <c r="C7" s="441" t="s">
        <v>629</v>
      </c>
      <c r="D7" s="441" t="s">
        <v>646</v>
      </c>
      <c r="E7" s="441" t="s">
        <v>647</v>
      </c>
      <c r="F7" s="444">
        <v>2</v>
      </c>
      <c r="G7" s="444">
        <v>2872</v>
      </c>
      <c r="H7" s="444">
        <v>1</v>
      </c>
      <c r="I7" s="444">
        <v>1436</v>
      </c>
      <c r="J7" s="444">
        <v>1</v>
      </c>
      <c r="K7" s="444">
        <v>1436</v>
      </c>
      <c r="L7" s="444">
        <v>0.5</v>
      </c>
      <c r="M7" s="444">
        <v>1436</v>
      </c>
      <c r="N7" s="444"/>
      <c r="O7" s="444"/>
      <c r="P7" s="548"/>
      <c r="Q7" s="445"/>
    </row>
    <row r="8" spans="1:17" ht="14.4" customHeight="1" x14ac:dyDescent="0.3">
      <c r="A8" s="440" t="s">
        <v>723</v>
      </c>
      <c r="B8" s="441" t="s">
        <v>686</v>
      </c>
      <c r="C8" s="441" t="s">
        <v>629</v>
      </c>
      <c r="D8" s="441" t="s">
        <v>691</v>
      </c>
      <c r="E8" s="441" t="s">
        <v>692</v>
      </c>
      <c r="F8" s="444">
        <v>1</v>
      </c>
      <c r="G8" s="444">
        <v>1245</v>
      </c>
      <c r="H8" s="444">
        <v>1</v>
      </c>
      <c r="I8" s="444">
        <v>1245</v>
      </c>
      <c r="J8" s="444"/>
      <c r="K8" s="444"/>
      <c r="L8" s="444"/>
      <c r="M8" s="444"/>
      <c r="N8" s="444"/>
      <c r="O8" s="444"/>
      <c r="P8" s="548"/>
      <c r="Q8" s="445"/>
    </row>
    <row r="9" spans="1:17" ht="14.4" customHeight="1" x14ac:dyDescent="0.3">
      <c r="A9" s="440" t="s">
        <v>724</v>
      </c>
      <c r="B9" s="441" t="s">
        <v>623</v>
      </c>
      <c r="C9" s="441" t="s">
        <v>629</v>
      </c>
      <c r="D9" s="441" t="s">
        <v>646</v>
      </c>
      <c r="E9" s="441" t="s">
        <v>647</v>
      </c>
      <c r="F9" s="444">
        <v>1</v>
      </c>
      <c r="G9" s="444">
        <v>1436</v>
      </c>
      <c r="H9" s="444">
        <v>1</v>
      </c>
      <c r="I9" s="444">
        <v>1436</v>
      </c>
      <c r="J9" s="444"/>
      <c r="K9" s="444"/>
      <c r="L9" s="444"/>
      <c r="M9" s="444"/>
      <c r="N9" s="444"/>
      <c r="O9" s="444"/>
      <c r="P9" s="548"/>
      <c r="Q9" s="445"/>
    </row>
    <row r="10" spans="1:17" ht="14.4" customHeight="1" x14ac:dyDescent="0.3">
      <c r="A10" s="440" t="s">
        <v>724</v>
      </c>
      <c r="B10" s="441" t="s">
        <v>665</v>
      </c>
      <c r="C10" s="441" t="s">
        <v>629</v>
      </c>
      <c r="D10" s="441" t="s">
        <v>668</v>
      </c>
      <c r="E10" s="441" t="s">
        <v>669</v>
      </c>
      <c r="F10" s="444">
        <v>1</v>
      </c>
      <c r="G10" s="444">
        <v>438</v>
      </c>
      <c r="H10" s="444">
        <v>1</v>
      </c>
      <c r="I10" s="444">
        <v>438</v>
      </c>
      <c r="J10" s="444"/>
      <c r="K10" s="444"/>
      <c r="L10" s="444"/>
      <c r="M10" s="444"/>
      <c r="N10" s="444"/>
      <c r="O10" s="444"/>
      <c r="P10" s="548"/>
      <c r="Q10" s="445"/>
    </row>
    <row r="11" spans="1:17" ht="14.4" customHeight="1" x14ac:dyDescent="0.3">
      <c r="A11" s="440" t="s">
        <v>724</v>
      </c>
      <c r="B11" s="441" t="s">
        <v>665</v>
      </c>
      <c r="C11" s="441" t="s">
        <v>629</v>
      </c>
      <c r="D11" s="441" t="s">
        <v>678</v>
      </c>
      <c r="E11" s="441" t="s">
        <v>679</v>
      </c>
      <c r="F11" s="444">
        <v>1</v>
      </c>
      <c r="G11" s="444">
        <v>642</v>
      </c>
      <c r="H11" s="444">
        <v>1</v>
      </c>
      <c r="I11" s="444">
        <v>642</v>
      </c>
      <c r="J11" s="444"/>
      <c r="K11" s="444"/>
      <c r="L11" s="444"/>
      <c r="M11" s="444"/>
      <c r="N11" s="444"/>
      <c r="O11" s="444"/>
      <c r="P11" s="548"/>
      <c r="Q11" s="445"/>
    </row>
    <row r="12" spans="1:17" ht="14.4" customHeight="1" x14ac:dyDescent="0.3">
      <c r="A12" s="440" t="s">
        <v>725</v>
      </c>
      <c r="B12" s="441" t="s">
        <v>623</v>
      </c>
      <c r="C12" s="441" t="s">
        <v>629</v>
      </c>
      <c r="D12" s="441" t="s">
        <v>642</v>
      </c>
      <c r="E12" s="441" t="s">
        <v>643</v>
      </c>
      <c r="F12" s="444">
        <v>2</v>
      </c>
      <c r="G12" s="444">
        <v>646</v>
      </c>
      <c r="H12" s="444">
        <v>1</v>
      </c>
      <c r="I12" s="444">
        <v>323</v>
      </c>
      <c r="J12" s="444">
        <v>6</v>
      </c>
      <c r="K12" s="444">
        <v>1938</v>
      </c>
      <c r="L12" s="444">
        <v>3</v>
      </c>
      <c r="M12" s="444">
        <v>323</v>
      </c>
      <c r="N12" s="444"/>
      <c r="O12" s="444"/>
      <c r="P12" s="548"/>
      <c r="Q12" s="445"/>
    </row>
    <row r="13" spans="1:17" ht="14.4" customHeight="1" x14ac:dyDescent="0.3">
      <c r="A13" s="440" t="s">
        <v>725</v>
      </c>
      <c r="B13" s="441" t="s">
        <v>623</v>
      </c>
      <c r="C13" s="441" t="s">
        <v>629</v>
      </c>
      <c r="D13" s="441" t="s">
        <v>644</v>
      </c>
      <c r="E13" s="441" t="s">
        <v>645</v>
      </c>
      <c r="F13" s="444">
        <v>1</v>
      </c>
      <c r="G13" s="444">
        <v>0</v>
      </c>
      <c r="H13" s="444"/>
      <c r="I13" s="444">
        <v>0</v>
      </c>
      <c r="J13" s="444">
        <v>3</v>
      </c>
      <c r="K13" s="444">
        <v>0</v>
      </c>
      <c r="L13" s="444"/>
      <c r="M13" s="444">
        <v>0</v>
      </c>
      <c r="N13" s="444"/>
      <c r="O13" s="444"/>
      <c r="P13" s="548"/>
      <c r="Q13" s="445"/>
    </row>
    <row r="14" spans="1:17" ht="14.4" customHeight="1" x14ac:dyDescent="0.3">
      <c r="A14" s="440" t="s">
        <v>725</v>
      </c>
      <c r="B14" s="441" t="s">
        <v>623</v>
      </c>
      <c r="C14" s="441" t="s">
        <v>629</v>
      </c>
      <c r="D14" s="441" t="s">
        <v>646</v>
      </c>
      <c r="E14" s="441" t="s">
        <v>647</v>
      </c>
      <c r="F14" s="444">
        <v>2</v>
      </c>
      <c r="G14" s="444">
        <v>2872</v>
      </c>
      <c r="H14" s="444">
        <v>1</v>
      </c>
      <c r="I14" s="444">
        <v>1436</v>
      </c>
      <c r="J14" s="444">
        <v>1</v>
      </c>
      <c r="K14" s="444">
        <v>1436</v>
      </c>
      <c r="L14" s="444">
        <v>0.5</v>
      </c>
      <c r="M14" s="444">
        <v>1436</v>
      </c>
      <c r="N14" s="444">
        <v>1</v>
      </c>
      <c r="O14" s="444">
        <v>1448</v>
      </c>
      <c r="P14" s="548">
        <v>0.50417827298050144</v>
      </c>
      <c r="Q14" s="445">
        <v>1448</v>
      </c>
    </row>
    <row r="15" spans="1:17" ht="14.4" customHeight="1" x14ac:dyDescent="0.3">
      <c r="A15" s="440" t="s">
        <v>725</v>
      </c>
      <c r="B15" s="441" t="s">
        <v>665</v>
      </c>
      <c r="C15" s="441" t="s">
        <v>629</v>
      </c>
      <c r="D15" s="441" t="s">
        <v>668</v>
      </c>
      <c r="E15" s="441" t="s">
        <v>669</v>
      </c>
      <c r="F15" s="444"/>
      <c r="G15" s="444"/>
      <c r="H15" s="444"/>
      <c r="I15" s="444"/>
      <c r="J15" s="444">
        <v>1</v>
      </c>
      <c r="K15" s="444">
        <v>438</v>
      </c>
      <c r="L15" s="444"/>
      <c r="M15" s="444">
        <v>438</v>
      </c>
      <c r="N15" s="444"/>
      <c r="O15" s="444"/>
      <c r="P15" s="548"/>
      <c r="Q15" s="445"/>
    </row>
    <row r="16" spans="1:17" ht="14.4" customHeight="1" x14ac:dyDescent="0.3">
      <c r="A16" s="440" t="s">
        <v>725</v>
      </c>
      <c r="B16" s="441" t="s">
        <v>665</v>
      </c>
      <c r="C16" s="441" t="s">
        <v>629</v>
      </c>
      <c r="D16" s="441" t="s">
        <v>678</v>
      </c>
      <c r="E16" s="441" t="s">
        <v>679</v>
      </c>
      <c r="F16" s="444">
        <v>3</v>
      </c>
      <c r="G16" s="444">
        <v>1926</v>
      </c>
      <c r="H16" s="444">
        <v>1</v>
      </c>
      <c r="I16" s="444">
        <v>642</v>
      </c>
      <c r="J16" s="444">
        <v>4</v>
      </c>
      <c r="K16" s="444">
        <v>2568</v>
      </c>
      <c r="L16" s="444">
        <v>1.3333333333333333</v>
      </c>
      <c r="M16" s="444">
        <v>642</v>
      </c>
      <c r="N16" s="444"/>
      <c r="O16" s="444"/>
      <c r="P16" s="548"/>
      <c r="Q16" s="445"/>
    </row>
    <row r="17" spans="1:17" ht="14.4" customHeight="1" x14ac:dyDescent="0.3">
      <c r="A17" s="440" t="s">
        <v>725</v>
      </c>
      <c r="B17" s="441" t="s">
        <v>665</v>
      </c>
      <c r="C17" s="441" t="s">
        <v>629</v>
      </c>
      <c r="D17" s="441" t="s">
        <v>682</v>
      </c>
      <c r="E17" s="441" t="s">
        <v>683</v>
      </c>
      <c r="F17" s="444"/>
      <c r="G17" s="444"/>
      <c r="H17" s="444"/>
      <c r="I17" s="444"/>
      <c r="J17" s="444">
        <v>2</v>
      </c>
      <c r="K17" s="444">
        <v>1172</v>
      </c>
      <c r="L17" s="444"/>
      <c r="M17" s="444">
        <v>586</v>
      </c>
      <c r="N17" s="444"/>
      <c r="O17" s="444"/>
      <c r="P17" s="548"/>
      <c r="Q17" s="445"/>
    </row>
    <row r="18" spans="1:17" ht="14.4" customHeight="1" x14ac:dyDescent="0.3">
      <c r="A18" s="440" t="s">
        <v>725</v>
      </c>
      <c r="B18" s="441" t="s">
        <v>665</v>
      </c>
      <c r="C18" s="441" t="s">
        <v>629</v>
      </c>
      <c r="D18" s="441" t="s">
        <v>684</v>
      </c>
      <c r="E18" s="441" t="s">
        <v>685</v>
      </c>
      <c r="F18" s="444">
        <v>2</v>
      </c>
      <c r="G18" s="444">
        <v>1632</v>
      </c>
      <c r="H18" s="444">
        <v>1</v>
      </c>
      <c r="I18" s="444">
        <v>816</v>
      </c>
      <c r="J18" s="444">
        <v>1</v>
      </c>
      <c r="K18" s="444">
        <v>816</v>
      </c>
      <c r="L18" s="444">
        <v>0.5</v>
      </c>
      <c r="M18" s="444">
        <v>816</v>
      </c>
      <c r="N18" s="444"/>
      <c r="O18" s="444"/>
      <c r="P18" s="548"/>
      <c r="Q18" s="445"/>
    </row>
    <row r="19" spans="1:17" ht="14.4" customHeight="1" x14ac:dyDescent="0.3">
      <c r="A19" s="440" t="s">
        <v>725</v>
      </c>
      <c r="B19" s="441" t="s">
        <v>686</v>
      </c>
      <c r="C19" s="441" t="s">
        <v>629</v>
      </c>
      <c r="D19" s="441" t="s">
        <v>689</v>
      </c>
      <c r="E19" s="441" t="s">
        <v>690</v>
      </c>
      <c r="F19" s="444"/>
      <c r="G19" s="444"/>
      <c r="H19" s="444"/>
      <c r="I19" s="444"/>
      <c r="J19" s="444">
        <v>1</v>
      </c>
      <c r="K19" s="444">
        <v>297</v>
      </c>
      <c r="L19" s="444"/>
      <c r="M19" s="444">
        <v>297</v>
      </c>
      <c r="N19" s="444">
        <v>1</v>
      </c>
      <c r="O19" s="444">
        <v>303</v>
      </c>
      <c r="P19" s="548"/>
      <c r="Q19" s="445">
        <v>303</v>
      </c>
    </row>
    <row r="20" spans="1:17" ht="14.4" customHeight="1" x14ac:dyDescent="0.3">
      <c r="A20" s="440" t="s">
        <v>725</v>
      </c>
      <c r="B20" s="441" t="s">
        <v>686</v>
      </c>
      <c r="C20" s="441" t="s">
        <v>629</v>
      </c>
      <c r="D20" s="441" t="s">
        <v>691</v>
      </c>
      <c r="E20" s="441" t="s">
        <v>692</v>
      </c>
      <c r="F20" s="444"/>
      <c r="G20" s="444"/>
      <c r="H20" s="444"/>
      <c r="I20" s="444"/>
      <c r="J20" s="444">
        <v>2</v>
      </c>
      <c r="K20" s="444">
        <v>2490</v>
      </c>
      <c r="L20" s="444"/>
      <c r="M20" s="444">
        <v>1245</v>
      </c>
      <c r="N20" s="444"/>
      <c r="O20" s="444"/>
      <c r="P20" s="548"/>
      <c r="Q20" s="445"/>
    </row>
    <row r="21" spans="1:17" ht="14.4" customHeight="1" x14ac:dyDescent="0.3">
      <c r="A21" s="440" t="s">
        <v>725</v>
      </c>
      <c r="B21" s="441" t="s">
        <v>686</v>
      </c>
      <c r="C21" s="441" t="s">
        <v>629</v>
      </c>
      <c r="D21" s="441" t="s">
        <v>697</v>
      </c>
      <c r="E21" s="441" t="s">
        <v>698</v>
      </c>
      <c r="F21" s="444">
        <v>8</v>
      </c>
      <c r="G21" s="444">
        <v>17864</v>
      </c>
      <c r="H21" s="444">
        <v>1</v>
      </c>
      <c r="I21" s="444">
        <v>2233</v>
      </c>
      <c r="J21" s="444">
        <v>38</v>
      </c>
      <c r="K21" s="444">
        <v>84854</v>
      </c>
      <c r="L21" s="444">
        <v>4.75</v>
      </c>
      <c r="M21" s="444">
        <v>2233</v>
      </c>
      <c r="N21" s="444"/>
      <c r="O21" s="444"/>
      <c r="P21" s="548"/>
      <c r="Q21" s="445"/>
    </row>
    <row r="22" spans="1:17" ht="14.4" customHeight="1" x14ac:dyDescent="0.3">
      <c r="A22" s="440" t="s">
        <v>725</v>
      </c>
      <c r="B22" s="441" t="s">
        <v>686</v>
      </c>
      <c r="C22" s="441" t="s">
        <v>629</v>
      </c>
      <c r="D22" s="441" t="s">
        <v>701</v>
      </c>
      <c r="E22" s="441" t="s">
        <v>702</v>
      </c>
      <c r="F22" s="444"/>
      <c r="G22" s="444"/>
      <c r="H22" s="444"/>
      <c r="I22" s="444"/>
      <c r="J22" s="444">
        <v>1</v>
      </c>
      <c r="K22" s="444">
        <v>873</v>
      </c>
      <c r="L22" s="444"/>
      <c r="M22" s="444">
        <v>873</v>
      </c>
      <c r="N22" s="444">
        <v>1</v>
      </c>
      <c r="O22" s="444">
        <v>885</v>
      </c>
      <c r="P22" s="548"/>
      <c r="Q22" s="445">
        <v>885</v>
      </c>
    </row>
    <row r="23" spans="1:17" ht="14.4" customHeight="1" x14ac:dyDescent="0.3">
      <c r="A23" s="440" t="s">
        <v>725</v>
      </c>
      <c r="B23" s="441" t="s">
        <v>686</v>
      </c>
      <c r="C23" s="441" t="s">
        <v>629</v>
      </c>
      <c r="D23" s="441" t="s">
        <v>707</v>
      </c>
      <c r="E23" s="441" t="s">
        <v>708</v>
      </c>
      <c r="F23" s="444"/>
      <c r="G23" s="444"/>
      <c r="H23" s="444"/>
      <c r="I23" s="444"/>
      <c r="J23" s="444">
        <v>1</v>
      </c>
      <c r="K23" s="444">
        <v>8500</v>
      </c>
      <c r="L23" s="444"/>
      <c r="M23" s="444">
        <v>8500</v>
      </c>
      <c r="N23" s="444"/>
      <c r="O23" s="444"/>
      <c r="P23" s="548"/>
      <c r="Q23" s="445"/>
    </row>
    <row r="24" spans="1:17" ht="14.4" customHeight="1" x14ac:dyDescent="0.3">
      <c r="A24" s="440" t="s">
        <v>725</v>
      </c>
      <c r="B24" s="441" t="s">
        <v>686</v>
      </c>
      <c r="C24" s="441" t="s">
        <v>629</v>
      </c>
      <c r="D24" s="441" t="s">
        <v>709</v>
      </c>
      <c r="E24" s="441" t="s">
        <v>710</v>
      </c>
      <c r="F24" s="444"/>
      <c r="G24" s="444"/>
      <c r="H24" s="444"/>
      <c r="I24" s="444"/>
      <c r="J24" s="444"/>
      <c r="K24" s="444"/>
      <c r="L24" s="444"/>
      <c r="M24" s="444"/>
      <c r="N24" s="444">
        <v>1</v>
      </c>
      <c r="O24" s="444">
        <v>10478</v>
      </c>
      <c r="P24" s="548"/>
      <c r="Q24" s="445">
        <v>10478</v>
      </c>
    </row>
    <row r="25" spans="1:17" ht="14.4" customHeight="1" x14ac:dyDescent="0.3">
      <c r="A25" s="440" t="s">
        <v>726</v>
      </c>
      <c r="B25" s="441" t="s">
        <v>623</v>
      </c>
      <c r="C25" s="441" t="s">
        <v>629</v>
      </c>
      <c r="D25" s="441" t="s">
        <v>636</v>
      </c>
      <c r="E25" s="441" t="s">
        <v>637</v>
      </c>
      <c r="F25" s="444">
        <v>1</v>
      </c>
      <c r="G25" s="444">
        <v>2313</v>
      </c>
      <c r="H25" s="444">
        <v>1</v>
      </c>
      <c r="I25" s="444">
        <v>2313</v>
      </c>
      <c r="J25" s="444">
        <v>1</v>
      </c>
      <c r="K25" s="444">
        <v>2313</v>
      </c>
      <c r="L25" s="444">
        <v>1</v>
      </c>
      <c r="M25" s="444">
        <v>2313</v>
      </c>
      <c r="N25" s="444">
        <v>1</v>
      </c>
      <c r="O25" s="444">
        <v>2336</v>
      </c>
      <c r="P25" s="548">
        <v>1.0099437959360138</v>
      </c>
      <c r="Q25" s="445">
        <v>2336</v>
      </c>
    </row>
    <row r="26" spans="1:17" ht="14.4" customHeight="1" x14ac:dyDescent="0.3">
      <c r="A26" s="440" t="s">
        <v>726</v>
      </c>
      <c r="B26" s="441" t="s">
        <v>623</v>
      </c>
      <c r="C26" s="441" t="s">
        <v>629</v>
      </c>
      <c r="D26" s="441" t="s">
        <v>642</v>
      </c>
      <c r="E26" s="441" t="s">
        <v>643</v>
      </c>
      <c r="F26" s="444">
        <v>1</v>
      </c>
      <c r="G26" s="444">
        <v>323</v>
      </c>
      <c r="H26" s="444">
        <v>1</v>
      </c>
      <c r="I26" s="444">
        <v>323</v>
      </c>
      <c r="J26" s="444">
        <v>1</v>
      </c>
      <c r="K26" s="444">
        <v>323</v>
      </c>
      <c r="L26" s="444">
        <v>1</v>
      </c>
      <c r="M26" s="444">
        <v>323</v>
      </c>
      <c r="N26" s="444">
        <v>4</v>
      </c>
      <c r="O26" s="444">
        <v>1308</v>
      </c>
      <c r="P26" s="548">
        <v>4.04953560371517</v>
      </c>
      <c r="Q26" s="445">
        <v>327</v>
      </c>
    </row>
    <row r="27" spans="1:17" ht="14.4" customHeight="1" x14ac:dyDescent="0.3">
      <c r="A27" s="440" t="s">
        <v>726</v>
      </c>
      <c r="B27" s="441" t="s">
        <v>623</v>
      </c>
      <c r="C27" s="441" t="s">
        <v>629</v>
      </c>
      <c r="D27" s="441" t="s">
        <v>646</v>
      </c>
      <c r="E27" s="441" t="s">
        <v>647</v>
      </c>
      <c r="F27" s="444">
        <v>4</v>
      </c>
      <c r="G27" s="444">
        <v>5744</v>
      </c>
      <c r="H27" s="444">
        <v>1</v>
      </c>
      <c r="I27" s="444">
        <v>1436</v>
      </c>
      <c r="J27" s="444">
        <v>1</v>
      </c>
      <c r="K27" s="444">
        <v>1436</v>
      </c>
      <c r="L27" s="444">
        <v>0.25</v>
      </c>
      <c r="M27" s="444">
        <v>1436</v>
      </c>
      <c r="N27" s="444">
        <v>2</v>
      </c>
      <c r="O27" s="444">
        <v>2896</v>
      </c>
      <c r="P27" s="548">
        <v>0.50417827298050144</v>
      </c>
      <c r="Q27" s="445">
        <v>1448</v>
      </c>
    </row>
    <row r="28" spans="1:17" ht="14.4" customHeight="1" x14ac:dyDescent="0.3">
      <c r="A28" s="440" t="s">
        <v>726</v>
      </c>
      <c r="B28" s="441" t="s">
        <v>686</v>
      </c>
      <c r="C28" s="441" t="s">
        <v>629</v>
      </c>
      <c r="D28" s="441" t="s">
        <v>689</v>
      </c>
      <c r="E28" s="441" t="s">
        <v>690</v>
      </c>
      <c r="F28" s="444">
        <v>1</v>
      </c>
      <c r="G28" s="444">
        <v>297</v>
      </c>
      <c r="H28" s="444">
        <v>1</v>
      </c>
      <c r="I28" s="444">
        <v>297</v>
      </c>
      <c r="J28" s="444">
        <v>2</v>
      </c>
      <c r="K28" s="444">
        <v>594</v>
      </c>
      <c r="L28" s="444">
        <v>2</v>
      </c>
      <c r="M28" s="444">
        <v>297</v>
      </c>
      <c r="N28" s="444">
        <v>2</v>
      </c>
      <c r="O28" s="444">
        <v>606</v>
      </c>
      <c r="P28" s="548">
        <v>2.0404040404040402</v>
      </c>
      <c r="Q28" s="445">
        <v>303</v>
      </c>
    </row>
    <row r="29" spans="1:17" ht="14.4" customHeight="1" x14ac:dyDescent="0.3">
      <c r="A29" s="440" t="s">
        <v>726</v>
      </c>
      <c r="B29" s="441" t="s">
        <v>686</v>
      </c>
      <c r="C29" s="441" t="s">
        <v>629</v>
      </c>
      <c r="D29" s="441" t="s">
        <v>691</v>
      </c>
      <c r="E29" s="441" t="s">
        <v>692</v>
      </c>
      <c r="F29" s="444">
        <v>1</v>
      </c>
      <c r="G29" s="444">
        <v>1245</v>
      </c>
      <c r="H29" s="444">
        <v>1</v>
      </c>
      <c r="I29" s="444">
        <v>1245</v>
      </c>
      <c r="J29" s="444">
        <v>1</v>
      </c>
      <c r="K29" s="444">
        <v>1245</v>
      </c>
      <c r="L29" s="444">
        <v>1</v>
      </c>
      <c r="M29" s="444">
        <v>1245</v>
      </c>
      <c r="N29" s="444">
        <v>2</v>
      </c>
      <c r="O29" s="444">
        <v>2536</v>
      </c>
      <c r="P29" s="548">
        <v>2.0369477911646587</v>
      </c>
      <c r="Q29" s="445">
        <v>1268</v>
      </c>
    </row>
    <row r="30" spans="1:17" ht="14.4" customHeight="1" x14ac:dyDescent="0.3">
      <c r="A30" s="440" t="s">
        <v>726</v>
      </c>
      <c r="B30" s="441" t="s">
        <v>686</v>
      </c>
      <c r="C30" s="441" t="s">
        <v>629</v>
      </c>
      <c r="D30" s="441" t="s">
        <v>697</v>
      </c>
      <c r="E30" s="441" t="s">
        <v>698</v>
      </c>
      <c r="F30" s="444">
        <v>16</v>
      </c>
      <c r="G30" s="444">
        <v>35728</v>
      </c>
      <c r="H30" s="444">
        <v>1</v>
      </c>
      <c r="I30" s="444">
        <v>2233</v>
      </c>
      <c r="J30" s="444">
        <v>16</v>
      </c>
      <c r="K30" s="444">
        <v>35728</v>
      </c>
      <c r="L30" s="444">
        <v>1</v>
      </c>
      <c r="M30" s="444">
        <v>2233</v>
      </c>
      <c r="N30" s="444">
        <v>42</v>
      </c>
      <c r="O30" s="444">
        <v>95088</v>
      </c>
      <c r="P30" s="548">
        <v>2.6614420062695925</v>
      </c>
      <c r="Q30" s="445">
        <v>2264</v>
      </c>
    </row>
    <row r="31" spans="1:17" ht="14.4" customHeight="1" x14ac:dyDescent="0.3">
      <c r="A31" s="440" t="s">
        <v>726</v>
      </c>
      <c r="B31" s="441" t="s">
        <v>686</v>
      </c>
      <c r="C31" s="441" t="s">
        <v>629</v>
      </c>
      <c r="D31" s="441" t="s">
        <v>703</v>
      </c>
      <c r="E31" s="441" t="s">
        <v>704</v>
      </c>
      <c r="F31" s="444">
        <v>1</v>
      </c>
      <c r="G31" s="444">
        <v>6514</v>
      </c>
      <c r="H31" s="444">
        <v>1</v>
      </c>
      <c r="I31" s="444">
        <v>6514</v>
      </c>
      <c r="J31" s="444">
        <v>2</v>
      </c>
      <c r="K31" s="444">
        <v>13028</v>
      </c>
      <c r="L31" s="444">
        <v>2</v>
      </c>
      <c r="M31" s="444">
        <v>6514</v>
      </c>
      <c r="N31" s="444">
        <v>2</v>
      </c>
      <c r="O31" s="444">
        <v>13184</v>
      </c>
      <c r="P31" s="548">
        <v>2.0239484187902979</v>
      </c>
      <c r="Q31" s="445">
        <v>6592</v>
      </c>
    </row>
    <row r="32" spans="1:17" ht="14.4" customHeight="1" x14ac:dyDescent="0.3">
      <c r="A32" s="440" t="s">
        <v>727</v>
      </c>
      <c r="B32" s="441" t="s">
        <v>623</v>
      </c>
      <c r="C32" s="441" t="s">
        <v>629</v>
      </c>
      <c r="D32" s="441" t="s">
        <v>636</v>
      </c>
      <c r="E32" s="441" t="s">
        <v>637</v>
      </c>
      <c r="F32" s="444"/>
      <c r="G32" s="444"/>
      <c r="H32" s="444"/>
      <c r="I32" s="444"/>
      <c r="J32" s="444">
        <v>1</v>
      </c>
      <c r="K32" s="444">
        <v>2313</v>
      </c>
      <c r="L32" s="444"/>
      <c r="M32" s="444">
        <v>2313</v>
      </c>
      <c r="N32" s="444"/>
      <c r="O32" s="444"/>
      <c r="P32" s="548"/>
      <c r="Q32" s="445"/>
    </row>
    <row r="33" spans="1:17" ht="14.4" customHeight="1" x14ac:dyDescent="0.3">
      <c r="A33" s="440" t="s">
        <v>727</v>
      </c>
      <c r="B33" s="441" t="s">
        <v>623</v>
      </c>
      <c r="C33" s="441" t="s">
        <v>629</v>
      </c>
      <c r="D33" s="441" t="s">
        <v>642</v>
      </c>
      <c r="E33" s="441" t="s">
        <v>643</v>
      </c>
      <c r="F33" s="444">
        <v>1</v>
      </c>
      <c r="G33" s="444">
        <v>323</v>
      </c>
      <c r="H33" s="444">
        <v>1</v>
      </c>
      <c r="I33" s="444">
        <v>323</v>
      </c>
      <c r="J33" s="444"/>
      <c r="K33" s="444"/>
      <c r="L33" s="444"/>
      <c r="M33" s="444"/>
      <c r="N33" s="444"/>
      <c r="O33" s="444"/>
      <c r="P33" s="548"/>
      <c r="Q33" s="445"/>
    </row>
    <row r="34" spans="1:17" ht="14.4" customHeight="1" x14ac:dyDescent="0.3">
      <c r="A34" s="440" t="s">
        <v>727</v>
      </c>
      <c r="B34" s="441" t="s">
        <v>623</v>
      </c>
      <c r="C34" s="441" t="s">
        <v>629</v>
      </c>
      <c r="D34" s="441" t="s">
        <v>644</v>
      </c>
      <c r="E34" s="441" t="s">
        <v>645</v>
      </c>
      <c r="F34" s="444">
        <v>1</v>
      </c>
      <c r="G34" s="444">
        <v>0</v>
      </c>
      <c r="H34" s="444"/>
      <c r="I34" s="444">
        <v>0</v>
      </c>
      <c r="J34" s="444"/>
      <c r="K34" s="444"/>
      <c r="L34" s="444"/>
      <c r="M34" s="444"/>
      <c r="N34" s="444"/>
      <c r="O34" s="444"/>
      <c r="P34" s="548"/>
      <c r="Q34" s="445"/>
    </row>
    <row r="35" spans="1:17" ht="14.4" customHeight="1" x14ac:dyDescent="0.3">
      <c r="A35" s="440" t="s">
        <v>727</v>
      </c>
      <c r="B35" s="441" t="s">
        <v>623</v>
      </c>
      <c r="C35" s="441" t="s">
        <v>629</v>
      </c>
      <c r="D35" s="441" t="s">
        <v>646</v>
      </c>
      <c r="E35" s="441" t="s">
        <v>647</v>
      </c>
      <c r="F35" s="444">
        <v>2</v>
      </c>
      <c r="G35" s="444">
        <v>2872</v>
      </c>
      <c r="H35" s="444">
        <v>1</v>
      </c>
      <c r="I35" s="444">
        <v>1436</v>
      </c>
      <c r="J35" s="444">
        <v>7</v>
      </c>
      <c r="K35" s="444">
        <v>10052</v>
      </c>
      <c r="L35" s="444">
        <v>3.5</v>
      </c>
      <c r="M35" s="444">
        <v>1436</v>
      </c>
      <c r="N35" s="444">
        <v>1</v>
      </c>
      <c r="O35" s="444">
        <v>1448</v>
      </c>
      <c r="P35" s="548">
        <v>0.50417827298050144</v>
      </c>
      <c r="Q35" s="445">
        <v>1448</v>
      </c>
    </row>
    <row r="36" spans="1:17" ht="14.4" customHeight="1" x14ac:dyDescent="0.3">
      <c r="A36" s="440" t="s">
        <v>727</v>
      </c>
      <c r="B36" s="441" t="s">
        <v>665</v>
      </c>
      <c r="C36" s="441" t="s">
        <v>629</v>
      </c>
      <c r="D36" s="441" t="s">
        <v>678</v>
      </c>
      <c r="E36" s="441" t="s">
        <v>679</v>
      </c>
      <c r="F36" s="444">
        <v>1</v>
      </c>
      <c r="G36" s="444">
        <v>642</v>
      </c>
      <c r="H36" s="444">
        <v>1</v>
      </c>
      <c r="I36" s="444">
        <v>642</v>
      </c>
      <c r="J36" s="444"/>
      <c r="K36" s="444"/>
      <c r="L36" s="444"/>
      <c r="M36" s="444"/>
      <c r="N36" s="444"/>
      <c r="O36" s="444"/>
      <c r="P36" s="548"/>
      <c r="Q36" s="445"/>
    </row>
    <row r="37" spans="1:17" ht="14.4" customHeight="1" x14ac:dyDescent="0.3">
      <c r="A37" s="440" t="s">
        <v>727</v>
      </c>
      <c r="B37" s="441" t="s">
        <v>686</v>
      </c>
      <c r="C37" s="441" t="s">
        <v>629</v>
      </c>
      <c r="D37" s="441" t="s">
        <v>689</v>
      </c>
      <c r="E37" s="441" t="s">
        <v>690</v>
      </c>
      <c r="F37" s="444"/>
      <c r="G37" s="444"/>
      <c r="H37" s="444"/>
      <c r="I37" s="444"/>
      <c r="J37" s="444">
        <v>1</v>
      </c>
      <c r="K37" s="444">
        <v>297</v>
      </c>
      <c r="L37" s="444"/>
      <c r="M37" s="444">
        <v>297</v>
      </c>
      <c r="N37" s="444"/>
      <c r="O37" s="444"/>
      <c r="P37" s="548"/>
      <c r="Q37" s="445"/>
    </row>
    <row r="38" spans="1:17" ht="14.4" customHeight="1" x14ac:dyDescent="0.3">
      <c r="A38" s="440" t="s">
        <v>727</v>
      </c>
      <c r="B38" s="441" t="s">
        <v>686</v>
      </c>
      <c r="C38" s="441" t="s">
        <v>629</v>
      </c>
      <c r="D38" s="441" t="s">
        <v>691</v>
      </c>
      <c r="E38" s="441" t="s">
        <v>692</v>
      </c>
      <c r="F38" s="444">
        <v>4</v>
      </c>
      <c r="G38" s="444">
        <v>4980</v>
      </c>
      <c r="H38" s="444">
        <v>1</v>
      </c>
      <c r="I38" s="444">
        <v>1245</v>
      </c>
      <c r="J38" s="444">
        <v>4</v>
      </c>
      <c r="K38" s="444">
        <v>4980</v>
      </c>
      <c r="L38" s="444">
        <v>1</v>
      </c>
      <c r="M38" s="444">
        <v>1245</v>
      </c>
      <c r="N38" s="444"/>
      <c r="O38" s="444"/>
      <c r="P38" s="548"/>
      <c r="Q38" s="445"/>
    </row>
    <row r="39" spans="1:17" ht="14.4" customHeight="1" x14ac:dyDescent="0.3">
      <c r="A39" s="440" t="s">
        <v>727</v>
      </c>
      <c r="B39" s="441" t="s">
        <v>686</v>
      </c>
      <c r="C39" s="441" t="s">
        <v>629</v>
      </c>
      <c r="D39" s="441" t="s">
        <v>693</v>
      </c>
      <c r="E39" s="441" t="s">
        <v>694</v>
      </c>
      <c r="F39" s="444"/>
      <c r="G39" s="444"/>
      <c r="H39" s="444"/>
      <c r="I39" s="444"/>
      <c r="J39" s="444">
        <v>1</v>
      </c>
      <c r="K39" s="444">
        <v>9337</v>
      </c>
      <c r="L39" s="444"/>
      <c r="M39" s="444">
        <v>9337</v>
      </c>
      <c r="N39" s="444"/>
      <c r="O39" s="444"/>
      <c r="P39" s="548"/>
      <c r="Q39" s="445"/>
    </row>
    <row r="40" spans="1:17" ht="14.4" customHeight="1" x14ac:dyDescent="0.3">
      <c r="A40" s="440" t="s">
        <v>727</v>
      </c>
      <c r="B40" s="441" t="s">
        <v>686</v>
      </c>
      <c r="C40" s="441" t="s">
        <v>629</v>
      </c>
      <c r="D40" s="441" t="s">
        <v>703</v>
      </c>
      <c r="E40" s="441" t="s">
        <v>704</v>
      </c>
      <c r="F40" s="444"/>
      <c r="G40" s="444"/>
      <c r="H40" s="444"/>
      <c r="I40" s="444"/>
      <c r="J40" s="444">
        <v>1</v>
      </c>
      <c r="K40" s="444">
        <v>6514</v>
      </c>
      <c r="L40" s="444"/>
      <c r="M40" s="444">
        <v>6514</v>
      </c>
      <c r="N40" s="444"/>
      <c r="O40" s="444"/>
      <c r="P40" s="548"/>
      <c r="Q40" s="445"/>
    </row>
    <row r="41" spans="1:17" ht="14.4" customHeight="1" x14ac:dyDescent="0.3">
      <c r="A41" s="440" t="s">
        <v>727</v>
      </c>
      <c r="B41" s="441" t="s">
        <v>686</v>
      </c>
      <c r="C41" s="441" t="s">
        <v>629</v>
      </c>
      <c r="D41" s="441" t="s">
        <v>711</v>
      </c>
      <c r="E41" s="441" t="s">
        <v>712</v>
      </c>
      <c r="F41" s="444"/>
      <c r="G41" s="444"/>
      <c r="H41" s="444"/>
      <c r="I41" s="444"/>
      <c r="J41" s="444">
        <v>1</v>
      </c>
      <c r="K41" s="444">
        <v>1020</v>
      </c>
      <c r="L41" s="444"/>
      <c r="M41" s="444">
        <v>1020</v>
      </c>
      <c r="N41" s="444"/>
      <c r="O41" s="444"/>
      <c r="P41" s="548"/>
      <c r="Q41" s="445"/>
    </row>
    <row r="42" spans="1:17" ht="14.4" customHeight="1" x14ac:dyDescent="0.3">
      <c r="A42" s="440" t="s">
        <v>728</v>
      </c>
      <c r="B42" s="441" t="s">
        <v>623</v>
      </c>
      <c r="C42" s="441" t="s">
        <v>629</v>
      </c>
      <c r="D42" s="441" t="s">
        <v>636</v>
      </c>
      <c r="E42" s="441" t="s">
        <v>637</v>
      </c>
      <c r="F42" s="444">
        <v>2</v>
      </c>
      <c r="G42" s="444">
        <v>4626</v>
      </c>
      <c r="H42" s="444">
        <v>1</v>
      </c>
      <c r="I42" s="444">
        <v>2313</v>
      </c>
      <c r="J42" s="444"/>
      <c r="K42" s="444"/>
      <c r="L42" s="444"/>
      <c r="M42" s="444"/>
      <c r="N42" s="444"/>
      <c r="O42" s="444"/>
      <c r="P42" s="548"/>
      <c r="Q42" s="445"/>
    </row>
    <row r="43" spans="1:17" ht="14.4" customHeight="1" x14ac:dyDescent="0.3">
      <c r="A43" s="440" t="s">
        <v>728</v>
      </c>
      <c r="B43" s="441" t="s">
        <v>623</v>
      </c>
      <c r="C43" s="441" t="s">
        <v>629</v>
      </c>
      <c r="D43" s="441" t="s">
        <v>644</v>
      </c>
      <c r="E43" s="441" t="s">
        <v>645</v>
      </c>
      <c r="F43" s="444">
        <v>3</v>
      </c>
      <c r="G43" s="444">
        <v>0</v>
      </c>
      <c r="H43" s="444"/>
      <c r="I43" s="444">
        <v>0</v>
      </c>
      <c r="J43" s="444">
        <v>1</v>
      </c>
      <c r="K43" s="444">
        <v>0</v>
      </c>
      <c r="L43" s="444"/>
      <c r="M43" s="444">
        <v>0</v>
      </c>
      <c r="N43" s="444"/>
      <c r="O43" s="444"/>
      <c r="P43" s="548"/>
      <c r="Q43" s="445"/>
    </row>
    <row r="44" spans="1:17" ht="14.4" customHeight="1" x14ac:dyDescent="0.3">
      <c r="A44" s="440" t="s">
        <v>728</v>
      </c>
      <c r="B44" s="441" t="s">
        <v>623</v>
      </c>
      <c r="C44" s="441" t="s">
        <v>629</v>
      </c>
      <c r="D44" s="441" t="s">
        <v>646</v>
      </c>
      <c r="E44" s="441" t="s">
        <v>647</v>
      </c>
      <c r="F44" s="444">
        <v>10</v>
      </c>
      <c r="G44" s="444">
        <v>14360</v>
      </c>
      <c r="H44" s="444">
        <v>1</v>
      </c>
      <c r="I44" s="444">
        <v>1436</v>
      </c>
      <c r="J44" s="444">
        <v>4</v>
      </c>
      <c r="K44" s="444">
        <v>5744</v>
      </c>
      <c r="L44" s="444">
        <v>0.4</v>
      </c>
      <c r="M44" s="444">
        <v>1436</v>
      </c>
      <c r="N44" s="444"/>
      <c r="O44" s="444"/>
      <c r="P44" s="548"/>
      <c r="Q44" s="445"/>
    </row>
    <row r="45" spans="1:17" ht="14.4" customHeight="1" x14ac:dyDescent="0.3">
      <c r="A45" s="440" t="s">
        <v>728</v>
      </c>
      <c r="B45" s="441" t="s">
        <v>686</v>
      </c>
      <c r="C45" s="441" t="s">
        <v>629</v>
      </c>
      <c r="D45" s="441" t="s">
        <v>691</v>
      </c>
      <c r="E45" s="441" t="s">
        <v>692</v>
      </c>
      <c r="F45" s="444">
        <v>9</v>
      </c>
      <c r="G45" s="444">
        <v>11205</v>
      </c>
      <c r="H45" s="444">
        <v>1</v>
      </c>
      <c r="I45" s="444">
        <v>1245</v>
      </c>
      <c r="J45" s="444">
        <v>5</v>
      </c>
      <c r="K45" s="444">
        <v>6225</v>
      </c>
      <c r="L45" s="444">
        <v>0.55555555555555558</v>
      </c>
      <c r="M45" s="444">
        <v>1245</v>
      </c>
      <c r="N45" s="444">
        <v>1</v>
      </c>
      <c r="O45" s="444">
        <v>1268</v>
      </c>
      <c r="P45" s="548">
        <v>0.11316376617581436</v>
      </c>
      <c r="Q45" s="445">
        <v>1268</v>
      </c>
    </row>
    <row r="46" spans="1:17" ht="14.4" customHeight="1" x14ac:dyDescent="0.3">
      <c r="A46" s="440" t="s">
        <v>728</v>
      </c>
      <c r="B46" s="441" t="s">
        <v>686</v>
      </c>
      <c r="C46" s="441" t="s">
        <v>629</v>
      </c>
      <c r="D46" s="441" t="s">
        <v>697</v>
      </c>
      <c r="E46" s="441" t="s">
        <v>698</v>
      </c>
      <c r="F46" s="444">
        <v>4</v>
      </c>
      <c r="G46" s="444">
        <v>8932</v>
      </c>
      <c r="H46" s="444">
        <v>1</v>
      </c>
      <c r="I46" s="444">
        <v>2233</v>
      </c>
      <c r="J46" s="444"/>
      <c r="K46" s="444"/>
      <c r="L46" s="444"/>
      <c r="M46" s="444"/>
      <c r="N46" s="444"/>
      <c r="O46" s="444"/>
      <c r="P46" s="548"/>
      <c r="Q46" s="445"/>
    </row>
    <row r="47" spans="1:17" ht="14.4" customHeight="1" thickBot="1" x14ac:dyDescent="0.35">
      <c r="A47" s="491" t="s">
        <v>729</v>
      </c>
      <c r="B47" s="447" t="s">
        <v>623</v>
      </c>
      <c r="C47" s="447" t="s">
        <v>629</v>
      </c>
      <c r="D47" s="447" t="s">
        <v>646</v>
      </c>
      <c r="E47" s="447" t="s">
        <v>647</v>
      </c>
      <c r="F47" s="450"/>
      <c r="G47" s="450"/>
      <c r="H47" s="450"/>
      <c r="I47" s="450"/>
      <c r="J47" s="450">
        <v>1</v>
      </c>
      <c r="K47" s="450">
        <v>1436</v>
      </c>
      <c r="L47" s="450"/>
      <c r="M47" s="450">
        <v>1436</v>
      </c>
      <c r="N47" s="450"/>
      <c r="O47" s="450"/>
      <c r="P47" s="460"/>
      <c r="Q47" s="51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9" bestFit="1" customWidth="1"/>
    <col min="2" max="3" width="9.5546875" style="119" customWidth="1"/>
    <col min="4" max="4" width="2.21875" style="119" customWidth="1"/>
    <col min="5" max="8" width="9.5546875" style="119" customWidth="1"/>
    <col min="9" max="16384" width="8.88671875" style="119"/>
  </cols>
  <sheetData>
    <row r="1" spans="1:8" ht="18.600000000000001" customHeight="1" thickBot="1" x14ac:dyDescent="0.4">
      <c r="A1" s="314" t="s">
        <v>131</v>
      </c>
      <c r="B1" s="314"/>
      <c r="C1" s="314"/>
      <c r="D1" s="314"/>
      <c r="E1" s="314"/>
      <c r="F1" s="314"/>
      <c r="G1" s="315"/>
      <c r="H1" s="315"/>
    </row>
    <row r="2" spans="1:8" ht="14.4" customHeight="1" thickBot="1" x14ac:dyDescent="0.35">
      <c r="A2" s="224" t="s">
        <v>267</v>
      </c>
      <c r="B2" s="100"/>
      <c r="C2" s="100"/>
      <c r="D2" s="100"/>
      <c r="E2" s="100"/>
      <c r="F2" s="100"/>
    </row>
    <row r="3" spans="1:8" ht="14.4" customHeight="1" x14ac:dyDescent="0.3">
      <c r="A3" s="316"/>
      <c r="B3" s="96">
        <v>2013</v>
      </c>
      <c r="C3" s="40">
        <v>2014</v>
      </c>
      <c r="D3" s="7"/>
      <c r="E3" s="320">
        <v>2015</v>
      </c>
      <c r="F3" s="321"/>
      <c r="G3" s="321"/>
      <c r="H3" s="322"/>
    </row>
    <row r="4" spans="1:8" ht="14.4" customHeight="1" thickBot="1" x14ac:dyDescent="0.35">
      <c r="A4" s="317"/>
      <c r="B4" s="318" t="s">
        <v>73</v>
      </c>
      <c r="C4" s="319"/>
      <c r="D4" s="7"/>
      <c r="E4" s="117" t="s">
        <v>73</v>
      </c>
      <c r="F4" s="98" t="s">
        <v>74</v>
      </c>
      <c r="G4" s="98" t="s">
        <v>68</v>
      </c>
      <c r="H4" s="99" t="s">
        <v>75</v>
      </c>
    </row>
    <row r="5" spans="1:8" ht="14.4" customHeight="1" x14ac:dyDescent="0.3">
      <c r="A5" s="101" t="str">
        <f>HYPERLINK("#'Léky Žádanky'!A1","Léky (Kč)")</f>
        <v>Léky (Kč)</v>
      </c>
      <c r="B5" s="27">
        <v>22.946649999999998</v>
      </c>
      <c r="C5" s="29">
        <v>12.069890000000001</v>
      </c>
      <c r="D5" s="8"/>
      <c r="E5" s="106">
        <v>4.7029200000000007</v>
      </c>
      <c r="F5" s="28">
        <v>10.163644356668666</v>
      </c>
      <c r="G5" s="105">
        <f>E5-F5</f>
        <v>-5.4607243566686652</v>
      </c>
      <c r="H5" s="111">
        <f>IF(F5&lt;0.00000001,"",E5/F5)</f>
        <v>0.4627198507702876</v>
      </c>
    </row>
    <row r="6" spans="1:8" ht="14.4" customHeight="1" x14ac:dyDescent="0.3">
      <c r="A6" s="101" t="str">
        <f>HYPERLINK("#'Materiál Žádanky'!A1","Materiál - SZM (Kč)")</f>
        <v>Materiál - SZM (Kč)</v>
      </c>
      <c r="B6" s="10">
        <v>352.62201999999996</v>
      </c>
      <c r="C6" s="31">
        <v>309.68870000000101</v>
      </c>
      <c r="D6" s="8"/>
      <c r="E6" s="107">
        <v>234.33208999999999</v>
      </c>
      <c r="F6" s="30">
        <v>785.18025860205682</v>
      </c>
      <c r="G6" s="108">
        <f>E6-F6</f>
        <v>-550.84816860205683</v>
      </c>
      <c r="H6" s="112">
        <f>IF(F6&lt;0.00000001,"",E6/F6)</f>
        <v>0.29844368529744664</v>
      </c>
    </row>
    <row r="7" spans="1:8" ht="14.4" customHeight="1" x14ac:dyDescent="0.3">
      <c r="A7" s="101" t="str">
        <f>HYPERLINK("#'Osobní náklady'!A1","Osobní náklady (Kč) *")</f>
        <v>Osobní náklady (Kč) *</v>
      </c>
      <c r="B7" s="10">
        <v>2342.1502399999999</v>
      </c>
      <c r="C7" s="31">
        <v>2327.6048400000063</v>
      </c>
      <c r="D7" s="8"/>
      <c r="E7" s="107">
        <v>1922.049100000002</v>
      </c>
      <c r="F7" s="30">
        <v>2483.3332551143517</v>
      </c>
      <c r="G7" s="108">
        <f>E7-F7</f>
        <v>-561.28415511434969</v>
      </c>
      <c r="H7" s="112">
        <f>IF(F7&lt;0.00000001,"",E7/F7)</f>
        <v>0.77397952773418488</v>
      </c>
    </row>
    <row r="8" spans="1:8" ht="14.4" customHeight="1" thickBot="1" x14ac:dyDescent="0.35">
      <c r="A8" s="1" t="s">
        <v>76</v>
      </c>
      <c r="B8" s="11">
        <v>676.89978999999994</v>
      </c>
      <c r="C8" s="33">
        <v>687.53360000000089</v>
      </c>
      <c r="D8" s="8"/>
      <c r="E8" s="109">
        <v>558.80260000000192</v>
      </c>
      <c r="F8" s="32">
        <v>742.65052953744805</v>
      </c>
      <c r="G8" s="110">
        <f>E8-F8</f>
        <v>-183.84792953744613</v>
      </c>
      <c r="H8" s="113">
        <f>IF(F8&lt;0.00000001,"",E8/F8)</f>
        <v>0.75244354884934395</v>
      </c>
    </row>
    <row r="9" spans="1:8" ht="14.4" customHeight="1" thickBot="1" x14ac:dyDescent="0.35">
      <c r="A9" s="2" t="s">
        <v>77</v>
      </c>
      <c r="B9" s="3">
        <v>3394.6187</v>
      </c>
      <c r="C9" s="35">
        <v>3336.8970300000083</v>
      </c>
      <c r="D9" s="8"/>
      <c r="E9" s="3">
        <v>2719.8867100000039</v>
      </c>
      <c r="F9" s="34">
        <v>4021.3276876105256</v>
      </c>
      <c r="G9" s="34">
        <f>E9-F9</f>
        <v>-1301.4409776105217</v>
      </c>
      <c r="H9" s="114">
        <f>IF(F9&lt;0.00000001,"",E9/F9)</f>
        <v>0.67636535027469036</v>
      </c>
    </row>
    <row r="10" spans="1:8" ht="14.4" customHeight="1" thickBot="1" x14ac:dyDescent="0.35">
      <c r="A10" s="12"/>
      <c r="B10" s="12"/>
      <c r="C10" s="97"/>
      <c r="D10" s="8"/>
      <c r="E10" s="12"/>
      <c r="F10" s="13"/>
    </row>
    <row r="11" spans="1:8" ht="14.4" customHeight="1" x14ac:dyDescent="0.3">
      <c r="A11" s="122" t="str">
        <f>HYPERLINK("#'ZV Vykáz.-A'!A1","Ambulance *")</f>
        <v>Ambulance *</v>
      </c>
      <c r="B11" s="9">
        <f>IF(ISERROR(VLOOKUP("Celkem:",'ZV Vykáz.-A'!A:F,2,0)),0,VLOOKUP("Celkem:",'ZV Vykáz.-A'!A:F,2,0)/1000)</f>
        <v>8833.8060000000005</v>
      </c>
      <c r="C11" s="29">
        <f>IF(ISERROR(VLOOKUP("Celkem:",'ZV Vykáz.-A'!A:F,4,0)),0,VLOOKUP("Celkem:",'ZV Vykáz.-A'!A:F,4,0)/1000)</f>
        <v>7910.8379999999997</v>
      </c>
      <c r="D11" s="8"/>
      <c r="E11" s="106">
        <f>IF(ISERROR(VLOOKUP("Celkem:",'ZV Vykáz.-A'!A:F,6,0)),0,VLOOKUP("Celkem:",'ZV Vykáz.-A'!A:F,6,0)/1000)</f>
        <v>7177.7219999999998</v>
      </c>
      <c r="F11" s="28">
        <f>B11</f>
        <v>8833.8060000000005</v>
      </c>
      <c r="G11" s="105">
        <f>E11-F11</f>
        <v>-1656.0840000000007</v>
      </c>
      <c r="H11" s="111">
        <f>IF(F11&lt;0.00000001,"",E11/F11)</f>
        <v>0.81252882392934589</v>
      </c>
    </row>
    <row r="12" spans="1:8" ht="14.4" customHeight="1" thickBot="1" x14ac:dyDescent="0.35">
      <c r="A12" s="12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B12</f>
        <v>0</v>
      </c>
      <c r="G12" s="110">
        <f>E12-F12</f>
        <v>0</v>
      </c>
      <c r="H12" s="113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8833.8060000000005</v>
      </c>
      <c r="C13" s="37">
        <f>SUM(C11:C12)</f>
        <v>7910.8379999999997</v>
      </c>
      <c r="D13" s="8"/>
      <c r="E13" s="5">
        <f>SUM(E11:E12)</f>
        <v>7177.7219999999998</v>
      </c>
      <c r="F13" s="36">
        <f>SUM(F11:F12)</f>
        <v>8833.8060000000005</v>
      </c>
      <c r="G13" s="36">
        <f>E13-F13</f>
        <v>-1656.0840000000007</v>
      </c>
      <c r="H13" s="115">
        <f>IF(F13&lt;0.00000001,"",E13/F13)</f>
        <v>0.81252882392934589</v>
      </c>
    </row>
    <row r="14" spans="1:8" ht="14.4" customHeight="1" thickBot="1" x14ac:dyDescent="0.35">
      <c r="A14" s="12"/>
      <c r="B14" s="12"/>
      <c r="C14" s="97"/>
      <c r="D14" s="8"/>
      <c r="E14" s="12"/>
      <c r="F14" s="13"/>
    </row>
    <row r="15" spans="1:8" ht="14.4" customHeight="1" thickBot="1" x14ac:dyDescent="0.35">
      <c r="A15" s="124" t="str">
        <f>HYPERLINK("#'HI Graf'!A1","Hospodářský index (Výnosy / Náklady) *")</f>
        <v>Hospodářský index (Výnosy / Náklady) *</v>
      </c>
      <c r="B15" s="6">
        <f>IF(B9=0,"",B13/B9)</f>
        <v>2.6022969825742139</v>
      </c>
      <c r="C15" s="39">
        <f>IF(C9=0,"",C13/C9)</f>
        <v>2.3707168452842491</v>
      </c>
      <c r="D15" s="8"/>
      <c r="E15" s="6">
        <f>IF(E9=0,"",E13/E9)</f>
        <v>2.6389782977394636</v>
      </c>
      <c r="F15" s="38">
        <f>IF(F9=0,"",F13/F9)</f>
        <v>2.1967386610189559</v>
      </c>
      <c r="G15" s="38">
        <f>IF(ISERROR(F15-E15),"",E15-F15)</f>
        <v>0.4422396367205077</v>
      </c>
      <c r="H15" s="116">
        <f>IF(ISERROR(F15-E15),"",IF(F15&lt;0.00000001,"",E15/F15))</f>
        <v>1.2013164535991618</v>
      </c>
    </row>
    <row r="17" spans="1:8" ht="14.4" customHeight="1" x14ac:dyDescent="0.3">
      <c r="A17" s="102" t="s">
        <v>150</v>
      </c>
    </row>
    <row r="18" spans="1:8" ht="14.4" customHeight="1" x14ac:dyDescent="0.3">
      <c r="A18" s="277" t="s">
        <v>189</v>
      </c>
      <c r="B18" s="278"/>
      <c r="C18" s="278"/>
      <c r="D18" s="278"/>
      <c r="E18" s="278"/>
      <c r="F18" s="278"/>
      <c r="G18" s="278"/>
      <c r="H18" s="278"/>
    </row>
    <row r="19" spans="1:8" x14ac:dyDescent="0.3">
      <c r="A19" s="276" t="s">
        <v>188</v>
      </c>
      <c r="B19" s="278"/>
      <c r="C19" s="278"/>
      <c r="D19" s="278"/>
      <c r="E19" s="278"/>
      <c r="F19" s="278"/>
      <c r="G19" s="278"/>
      <c r="H19" s="278"/>
    </row>
    <row r="20" spans="1:8" ht="14.4" customHeight="1" x14ac:dyDescent="0.3">
      <c r="A20" s="103" t="s">
        <v>243</v>
      </c>
    </row>
    <row r="21" spans="1:8" ht="14.4" customHeight="1" x14ac:dyDescent="0.3">
      <c r="A21" s="103" t="s">
        <v>151</v>
      </c>
    </row>
    <row r="22" spans="1:8" ht="14.4" customHeight="1" x14ac:dyDescent="0.3">
      <c r="A22" s="104" t="s">
        <v>152</v>
      </c>
    </row>
    <row r="23" spans="1:8" ht="14.4" customHeight="1" x14ac:dyDescent="0.3">
      <c r="A23" s="104" t="s">
        <v>153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5" priority="4" operator="greaterThan">
      <formula>0</formula>
    </cfRule>
  </conditionalFormatting>
  <conditionalFormatting sqref="G11:G13 G15">
    <cfRule type="cellIs" dxfId="54" priority="3" operator="lessThan">
      <formula>0</formula>
    </cfRule>
  </conditionalFormatting>
  <conditionalFormatting sqref="H5:H9">
    <cfRule type="cellIs" dxfId="53" priority="2" operator="greaterThan">
      <formula>1</formula>
    </cfRule>
  </conditionalFormatting>
  <conditionalFormatting sqref="H11:H13 H15">
    <cfRule type="cellIs" dxfId="5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9"/>
    <col min="2" max="13" width="8.88671875" style="119" customWidth="1"/>
    <col min="14" max="16384" width="8.88671875" style="119"/>
  </cols>
  <sheetData>
    <row r="1" spans="1:13" ht="18.600000000000001" customHeight="1" thickBot="1" x14ac:dyDescent="0.4">
      <c r="A1" s="314" t="s">
        <v>105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ht="14.4" customHeight="1" x14ac:dyDescent="0.3">
      <c r="A2" s="224" t="s">
        <v>267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14.4" customHeight="1" x14ac:dyDescent="0.3">
      <c r="A3" s="188"/>
      <c r="B3" s="189" t="s">
        <v>82</v>
      </c>
      <c r="C3" s="190" t="s">
        <v>83</v>
      </c>
      <c r="D3" s="190" t="s">
        <v>84</v>
      </c>
      <c r="E3" s="189" t="s">
        <v>85</v>
      </c>
      <c r="F3" s="190" t="s">
        <v>86</v>
      </c>
      <c r="G3" s="190" t="s">
        <v>87</v>
      </c>
      <c r="H3" s="190" t="s">
        <v>88</v>
      </c>
      <c r="I3" s="190" t="s">
        <v>89</v>
      </c>
      <c r="J3" s="190" t="s">
        <v>90</v>
      </c>
      <c r="K3" s="190" t="s">
        <v>91</v>
      </c>
      <c r="L3" s="190" t="s">
        <v>92</v>
      </c>
      <c r="M3" s="190" t="s">
        <v>93</v>
      </c>
    </row>
    <row r="4" spans="1:13" ht="14.4" customHeight="1" x14ac:dyDescent="0.3">
      <c r="A4" s="188" t="s">
        <v>81</v>
      </c>
      <c r="B4" s="191">
        <f>(B10+B8)/B6</f>
        <v>2.4664165406351257</v>
      </c>
      <c r="C4" s="191">
        <f t="shared" ref="C4:M4" si="0">(C10+C8)/C6</f>
        <v>2.6389782977394671</v>
      </c>
      <c r="D4" s="191">
        <f t="shared" si="0"/>
        <v>2.6389782977394671</v>
      </c>
      <c r="E4" s="191">
        <f t="shared" si="0"/>
        <v>2.6389782977394671</v>
      </c>
      <c r="F4" s="191">
        <f t="shared" si="0"/>
        <v>2.6389782977394671</v>
      </c>
      <c r="G4" s="191">
        <f t="shared" si="0"/>
        <v>2.6389782977394671</v>
      </c>
      <c r="H4" s="191">
        <f t="shared" si="0"/>
        <v>2.6389782977394671</v>
      </c>
      <c r="I4" s="191">
        <f t="shared" si="0"/>
        <v>2.6389782977394671</v>
      </c>
      <c r="J4" s="191">
        <f t="shared" si="0"/>
        <v>2.6389782977394671</v>
      </c>
      <c r="K4" s="191">
        <f t="shared" si="0"/>
        <v>2.6389782977394671</v>
      </c>
      <c r="L4" s="191">
        <f t="shared" si="0"/>
        <v>2.6389782977394671</v>
      </c>
      <c r="M4" s="191">
        <f t="shared" si="0"/>
        <v>2.6389782977394671</v>
      </c>
    </row>
    <row r="5" spans="1:13" ht="14.4" customHeight="1" x14ac:dyDescent="0.3">
      <c r="A5" s="192" t="s">
        <v>53</v>
      </c>
      <c r="B5" s="191">
        <f>IF(ISERROR(VLOOKUP($A5,'Man Tab'!$A:$Q,COLUMN()+2,0)),0,VLOOKUP($A5,'Man Tab'!$A:$Q,COLUMN()+2,0))</f>
        <v>1412.6291900000001</v>
      </c>
      <c r="C5" s="191">
        <f>IF(ISERROR(VLOOKUP($A5,'Man Tab'!$A:$Q,COLUMN()+2,0)),0,VLOOKUP($A5,'Man Tab'!$A:$Q,COLUMN()+2,0))</f>
        <v>1307.2575200000001</v>
      </c>
      <c r="D5" s="191">
        <f>IF(ISERROR(VLOOKUP($A5,'Man Tab'!$A:$Q,COLUMN()+2,0)),0,VLOOKUP($A5,'Man Tab'!$A:$Q,COLUMN()+2,0))</f>
        <v>0</v>
      </c>
      <c r="E5" s="191">
        <f>IF(ISERROR(VLOOKUP($A5,'Man Tab'!$A:$Q,COLUMN()+2,0)),0,VLOOKUP($A5,'Man Tab'!$A:$Q,COLUMN()+2,0))</f>
        <v>0</v>
      </c>
      <c r="F5" s="191">
        <f>IF(ISERROR(VLOOKUP($A5,'Man Tab'!$A:$Q,COLUMN()+2,0)),0,VLOOKUP($A5,'Man Tab'!$A:$Q,COLUMN()+2,0))</f>
        <v>0</v>
      </c>
      <c r="G5" s="191">
        <f>IF(ISERROR(VLOOKUP($A5,'Man Tab'!$A:$Q,COLUMN()+2,0)),0,VLOOKUP($A5,'Man Tab'!$A:$Q,COLUMN()+2,0))</f>
        <v>0</v>
      </c>
      <c r="H5" s="191">
        <f>IF(ISERROR(VLOOKUP($A5,'Man Tab'!$A:$Q,COLUMN()+2,0)),0,VLOOKUP($A5,'Man Tab'!$A:$Q,COLUMN()+2,0))</f>
        <v>0</v>
      </c>
      <c r="I5" s="191">
        <f>IF(ISERROR(VLOOKUP($A5,'Man Tab'!$A:$Q,COLUMN()+2,0)),0,VLOOKUP($A5,'Man Tab'!$A:$Q,COLUMN()+2,0))</f>
        <v>0</v>
      </c>
      <c r="J5" s="191">
        <f>IF(ISERROR(VLOOKUP($A5,'Man Tab'!$A:$Q,COLUMN()+2,0)),0,VLOOKUP($A5,'Man Tab'!$A:$Q,COLUMN()+2,0))</f>
        <v>0</v>
      </c>
      <c r="K5" s="191">
        <f>IF(ISERROR(VLOOKUP($A5,'Man Tab'!$A:$Q,COLUMN()+2,0)),0,VLOOKUP($A5,'Man Tab'!$A:$Q,COLUMN()+2,0))</f>
        <v>0</v>
      </c>
      <c r="L5" s="191">
        <f>IF(ISERROR(VLOOKUP($A5,'Man Tab'!$A:$Q,COLUMN()+2,0)),0,VLOOKUP($A5,'Man Tab'!$A:$Q,COLUMN()+2,0))</f>
        <v>0</v>
      </c>
      <c r="M5" s="191">
        <f>IF(ISERROR(VLOOKUP($A5,'Man Tab'!$A:$Q,COLUMN()+2,0)),0,VLOOKUP($A5,'Man Tab'!$A:$Q,COLUMN()+2,0))</f>
        <v>0</v>
      </c>
    </row>
    <row r="6" spans="1:13" ht="14.4" customHeight="1" x14ac:dyDescent="0.3">
      <c r="A6" s="192" t="s">
        <v>77</v>
      </c>
      <c r="B6" s="193">
        <f>B5</f>
        <v>1412.6291900000001</v>
      </c>
      <c r="C6" s="193">
        <f t="shared" ref="C6:M6" si="1">C5+B6</f>
        <v>2719.8867100000002</v>
      </c>
      <c r="D6" s="193">
        <f t="shared" si="1"/>
        <v>2719.8867100000002</v>
      </c>
      <c r="E6" s="193">
        <f t="shared" si="1"/>
        <v>2719.8867100000002</v>
      </c>
      <c r="F6" s="193">
        <f t="shared" si="1"/>
        <v>2719.8867100000002</v>
      </c>
      <c r="G6" s="193">
        <f t="shared" si="1"/>
        <v>2719.8867100000002</v>
      </c>
      <c r="H6" s="193">
        <f t="shared" si="1"/>
        <v>2719.8867100000002</v>
      </c>
      <c r="I6" s="193">
        <f t="shared" si="1"/>
        <v>2719.8867100000002</v>
      </c>
      <c r="J6" s="193">
        <f t="shared" si="1"/>
        <v>2719.8867100000002</v>
      </c>
      <c r="K6" s="193">
        <f t="shared" si="1"/>
        <v>2719.8867100000002</v>
      </c>
      <c r="L6" s="193">
        <f t="shared" si="1"/>
        <v>2719.8867100000002</v>
      </c>
      <c r="M6" s="193">
        <f t="shared" si="1"/>
        <v>2719.8867100000002</v>
      </c>
    </row>
    <row r="7" spans="1:13" ht="14.4" customHeight="1" x14ac:dyDescent="0.3">
      <c r="A7" s="192" t="s">
        <v>103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</row>
    <row r="8" spans="1:13" ht="14.4" customHeight="1" x14ac:dyDescent="0.3">
      <c r="A8" s="192" t="s">
        <v>78</v>
      </c>
      <c r="B8" s="193">
        <f>B7*30</f>
        <v>0</v>
      </c>
      <c r="C8" s="193">
        <f t="shared" ref="C8:M8" si="2">C7*30</f>
        <v>0</v>
      </c>
      <c r="D8" s="193">
        <f t="shared" si="2"/>
        <v>0</v>
      </c>
      <c r="E8" s="193">
        <f t="shared" si="2"/>
        <v>0</v>
      </c>
      <c r="F8" s="193">
        <f t="shared" si="2"/>
        <v>0</v>
      </c>
      <c r="G8" s="193">
        <f t="shared" si="2"/>
        <v>0</v>
      </c>
      <c r="H8" s="193">
        <f t="shared" si="2"/>
        <v>0</v>
      </c>
      <c r="I8" s="193">
        <f t="shared" si="2"/>
        <v>0</v>
      </c>
      <c r="J8" s="193">
        <f t="shared" si="2"/>
        <v>0</v>
      </c>
      <c r="K8" s="193">
        <f t="shared" si="2"/>
        <v>0</v>
      </c>
      <c r="L8" s="193">
        <f t="shared" si="2"/>
        <v>0</v>
      </c>
      <c r="M8" s="193">
        <f t="shared" si="2"/>
        <v>0</v>
      </c>
    </row>
    <row r="9" spans="1:13" ht="14.4" customHeight="1" x14ac:dyDescent="0.3">
      <c r="A9" s="192" t="s">
        <v>104</v>
      </c>
      <c r="B9" s="192">
        <v>3484132</v>
      </c>
      <c r="C9" s="192">
        <v>3693590</v>
      </c>
      <c r="D9" s="192">
        <v>0</v>
      </c>
      <c r="E9" s="192">
        <v>0</v>
      </c>
      <c r="F9" s="192">
        <v>0</v>
      </c>
      <c r="G9" s="192">
        <v>0</v>
      </c>
      <c r="H9" s="192">
        <v>0</v>
      </c>
      <c r="I9" s="192">
        <v>0</v>
      </c>
      <c r="J9" s="192">
        <v>0</v>
      </c>
      <c r="K9" s="192">
        <v>0</v>
      </c>
      <c r="L9" s="192">
        <v>0</v>
      </c>
      <c r="M9" s="192">
        <v>0</v>
      </c>
    </row>
    <row r="10" spans="1:13" ht="14.4" customHeight="1" x14ac:dyDescent="0.3">
      <c r="A10" s="192" t="s">
        <v>79</v>
      </c>
      <c r="B10" s="193">
        <f>B9/1000</f>
        <v>3484.1320000000001</v>
      </c>
      <c r="C10" s="193">
        <f t="shared" ref="C10:M10" si="3">C9/1000+B10</f>
        <v>7177.7219999999998</v>
      </c>
      <c r="D10" s="193">
        <f t="shared" si="3"/>
        <v>7177.7219999999998</v>
      </c>
      <c r="E10" s="193">
        <f t="shared" si="3"/>
        <v>7177.7219999999998</v>
      </c>
      <c r="F10" s="193">
        <f t="shared" si="3"/>
        <v>7177.7219999999998</v>
      </c>
      <c r="G10" s="193">
        <f t="shared" si="3"/>
        <v>7177.7219999999998</v>
      </c>
      <c r="H10" s="193">
        <f t="shared" si="3"/>
        <v>7177.7219999999998</v>
      </c>
      <c r="I10" s="193">
        <f t="shared" si="3"/>
        <v>7177.7219999999998</v>
      </c>
      <c r="J10" s="193">
        <f t="shared" si="3"/>
        <v>7177.7219999999998</v>
      </c>
      <c r="K10" s="193">
        <f t="shared" si="3"/>
        <v>7177.7219999999998</v>
      </c>
      <c r="L10" s="193">
        <f t="shared" si="3"/>
        <v>7177.7219999999998</v>
      </c>
      <c r="M10" s="193">
        <f t="shared" si="3"/>
        <v>7177.7219999999998</v>
      </c>
    </row>
    <row r="11" spans="1:13" ht="14.4" customHeight="1" x14ac:dyDescent="0.3">
      <c r="A11" s="188"/>
      <c r="B11" s="188" t="s">
        <v>94</v>
      </c>
      <c r="C11" s="188">
        <f ca="1">IF(MONTH(TODAY())=1,12,MONTH(TODAY())-1)</f>
        <v>2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</row>
    <row r="12" spans="1:13" ht="14.4" customHeight="1" x14ac:dyDescent="0.3">
      <c r="A12" s="188">
        <v>0</v>
      </c>
      <c r="B12" s="191">
        <f>IF(ISERROR(HI!F15),#REF!,HI!F15)</f>
        <v>2.1967386610189559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</row>
    <row r="13" spans="1:13" ht="14.4" customHeight="1" x14ac:dyDescent="0.3">
      <c r="A13" s="188">
        <v>1</v>
      </c>
      <c r="B13" s="191">
        <f>IF(ISERROR(HI!F15),#REF!,HI!F15)</f>
        <v>2.1967386610189559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9" bestFit="1" customWidth="1"/>
    <col min="2" max="2" width="12.77734375" style="119" bestFit="1" customWidth="1"/>
    <col min="3" max="3" width="13.6640625" style="119" bestFit="1" customWidth="1"/>
    <col min="4" max="15" width="7.77734375" style="119" bestFit="1" customWidth="1"/>
    <col min="16" max="16" width="8.88671875" style="119" customWidth="1"/>
    <col min="17" max="17" width="6.6640625" style="119" bestFit="1" customWidth="1"/>
    <col min="18" max="16384" width="8.88671875" style="119"/>
  </cols>
  <sheetData>
    <row r="1" spans="1:17" s="194" customFormat="1" ht="18.600000000000001" customHeight="1" thickBot="1" x14ac:dyDescent="0.4">
      <c r="A1" s="323" t="s">
        <v>269</v>
      </c>
      <c r="B1" s="323"/>
      <c r="C1" s="323"/>
      <c r="D1" s="323"/>
      <c r="E1" s="323"/>
      <c r="F1" s="323"/>
      <c r="G1" s="323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s="194" customFormat="1" ht="14.4" customHeight="1" thickBot="1" x14ac:dyDescent="0.3">
      <c r="A2" s="224" t="s">
        <v>267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ht="14.4" customHeight="1" x14ac:dyDescent="0.3">
      <c r="A3" s="68"/>
      <c r="B3" s="324" t="s">
        <v>29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127"/>
      <c r="Q3" s="129"/>
    </row>
    <row r="4" spans="1:17" ht="14.4" customHeight="1" x14ac:dyDescent="0.3">
      <c r="A4" s="69"/>
      <c r="B4" s="20">
        <v>2015</v>
      </c>
      <c r="C4" s="128" t="s">
        <v>30</v>
      </c>
      <c r="D4" s="118" t="s">
        <v>246</v>
      </c>
      <c r="E4" s="118" t="s">
        <v>247</v>
      </c>
      <c r="F4" s="118" t="s">
        <v>248</v>
      </c>
      <c r="G4" s="118" t="s">
        <v>249</v>
      </c>
      <c r="H4" s="118" t="s">
        <v>250</v>
      </c>
      <c r="I4" s="118" t="s">
        <v>251</v>
      </c>
      <c r="J4" s="118" t="s">
        <v>252</v>
      </c>
      <c r="K4" s="118" t="s">
        <v>253</v>
      </c>
      <c r="L4" s="118" t="s">
        <v>254</v>
      </c>
      <c r="M4" s="118" t="s">
        <v>255</v>
      </c>
      <c r="N4" s="118" t="s">
        <v>256</v>
      </c>
      <c r="O4" s="118" t="s">
        <v>257</v>
      </c>
      <c r="P4" s="326" t="s">
        <v>3</v>
      </c>
      <c r="Q4" s="327"/>
    </row>
    <row r="5" spans="1:17" ht="14.4" customHeight="1" thickBot="1" x14ac:dyDescent="0.3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268</v>
      </c>
    </row>
    <row r="7" spans="1:17" ht="14.4" customHeight="1" x14ac:dyDescent="0.3">
      <c r="A7" s="15" t="s">
        <v>35</v>
      </c>
      <c r="B7" s="46">
        <v>60.981866140012002</v>
      </c>
      <c r="C7" s="47">
        <v>5.0818221783339999</v>
      </c>
      <c r="D7" s="47">
        <v>2.6626300000000001</v>
      </c>
      <c r="E7" s="47">
        <v>2.0402900000000002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4.7029199999999998</v>
      </c>
      <c r="Q7" s="85">
        <v>0.46271985077</v>
      </c>
    </row>
    <row r="8" spans="1:17" ht="14.4" customHeight="1" x14ac:dyDescent="0.3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268</v>
      </c>
    </row>
    <row r="9" spans="1:17" ht="14.4" customHeight="1" x14ac:dyDescent="0.3">
      <c r="A9" s="15" t="s">
        <v>37</v>
      </c>
      <c r="B9" s="46">
        <v>4711.0815516123403</v>
      </c>
      <c r="C9" s="47">
        <v>392.59012930102898</v>
      </c>
      <c r="D9" s="47">
        <v>166.10278</v>
      </c>
      <c r="E9" s="47">
        <v>68.229309999999998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234.33208999999999</v>
      </c>
      <c r="Q9" s="85">
        <v>0.29844368529699999</v>
      </c>
    </row>
    <row r="10" spans="1:17" ht="14.4" customHeight="1" x14ac:dyDescent="0.3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268</v>
      </c>
    </row>
    <row r="11" spans="1:17" ht="14.4" customHeight="1" x14ac:dyDescent="0.3">
      <c r="A11" s="15" t="s">
        <v>39</v>
      </c>
      <c r="B11" s="46">
        <v>97.035951505645002</v>
      </c>
      <c r="C11" s="47">
        <v>8.086329292137</v>
      </c>
      <c r="D11" s="47">
        <v>12.058199999999999</v>
      </c>
      <c r="E11" s="47">
        <v>6.1905400000000004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18.248740000000002</v>
      </c>
      <c r="Q11" s="85">
        <v>1.1283698289249999</v>
      </c>
    </row>
    <row r="12" spans="1:17" ht="14.4" customHeight="1" x14ac:dyDescent="0.3">
      <c r="A12" s="15" t="s">
        <v>40</v>
      </c>
      <c r="B12" s="46">
        <v>1.999999937004</v>
      </c>
      <c r="C12" s="47">
        <v>0.16666666141700001</v>
      </c>
      <c r="D12" s="47">
        <v>2.1000000000000001E-2</v>
      </c>
      <c r="E12" s="47">
        <v>5.9352499999999999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5.9562499999999998</v>
      </c>
      <c r="Q12" s="85">
        <v>17.868750562822001</v>
      </c>
    </row>
    <row r="13" spans="1:17" ht="14.4" customHeight="1" x14ac:dyDescent="0.3">
      <c r="A13" s="15" t="s">
        <v>41</v>
      </c>
      <c r="B13" s="46">
        <v>17.999999433043001</v>
      </c>
      <c r="C13" s="47">
        <v>1.4999999527529999</v>
      </c>
      <c r="D13" s="47">
        <v>3.9377599999999999</v>
      </c>
      <c r="E13" s="47">
        <v>2.3766699999999998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6.3144299999999998</v>
      </c>
      <c r="Q13" s="85">
        <v>2.1048100662959999</v>
      </c>
    </row>
    <row r="14" spans="1:17" ht="14.4" customHeight="1" x14ac:dyDescent="0.3">
      <c r="A14" s="15" t="s">
        <v>42</v>
      </c>
      <c r="B14" s="46">
        <v>178.61167656012799</v>
      </c>
      <c r="C14" s="47">
        <v>14.884306380010001</v>
      </c>
      <c r="D14" s="47">
        <v>20.312999999999999</v>
      </c>
      <c r="E14" s="47">
        <v>17.414000000000001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37.726999999999997</v>
      </c>
      <c r="Q14" s="85">
        <v>1.267341555487</v>
      </c>
    </row>
    <row r="15" spans="1:17" ht="14.4" customHeight="1" x14ac:dyDescent="0.3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268</v>
      </c>
    </row>
    <row r="16" spans="1:17" ht="14.4" customHeight="1" x14ac:dyDescent="0.3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268</v>
      </c>
    </row>
    <row r="17" spans="1:17" ht="14.4" customHeight="1" x14ac:dyDescent="0.3">
      <c r="A17" s="15" t="s">
        <v>45</v>
      </c>
      <c r="B17" s="46">
        <v>907.19417182578798</v>
      </c>
      <c r="C17" s="47">
        <v>75.599514318814997</v>
      </c>
      <c r="D17" s="47">
        <v>6.29976</v>
      </c>
      <c r="E17" s="47">
        <v>5.8246900000000004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12.12445</v>
      </c>
      <c r="Q17" s="85">
        <v>8.0188676535999995E-2</v>
      </c>
    </row>
    <row r="18" spans="1:17" ht="14.4" customHeight="1" x14ac:dyDescent="0.3">
      <c r="A18" s="15" t="s">
        <v>46</v>
      </c>
      <c r="B18" s="46">
        <v>0</v>
      </c>
      <c r="C18" s="47">
        <v>0</v>
      </c>
      <c r="D18" s="47">
        <v>1.95</v>
      </c>
      <c r="E18" s="47">
        <v>5.2990000000000004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7.2489999999999997</v>
      </c>
      <c r="Q18" s="85" t="s">
        <v>268</v>
      </c>
    </row>
    <row r="19" spans="1:17" ht="14.4" customHeight="1" x14ac:dyDescent="0.3">
      <c r="A19" s="15" t="s">
        <v>47</v>
      </c>
      <c r="B19" s="46">
        <v>1177.5292089068801</v>
      </c>
      <c r="C19" s="47">
        <v>98.127434075573007</v>
      </c>
      <c r="D19" s="47">
        <v>70.296490000000006</v>
      </c>
      <c r="E19" s="47">
        <v>50.632930000000002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120.92941999999999</v>
      </c>
      <c r="Q19" s="85">
        <v>0.616185581225</v>
      </c>
    </row>
    <row r="20" spans="1:17" ht="14.4" customHeight="1" x14ac:dyDescent="0.3">
      <c r="A20" s="15" t="s">
        <v>48</v>
      </c>
      <c r="B20" s="46">
        <v>14899.9995306861</v>
      </c>
      <c r="C20" s="47">
        <v>1241.6666275571799</v>
      </c>
      <c r="D20" s="47">
        <v>954.78126999999904</v>
      </c>
      <c r="E20" s="47">
        <v>967.26783000000296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1922.0491</v>
      </c>
      <c r="Q20" s="85">
        <v>0.77397952773400003</v>
      </c>
    </row>
    <row r="21" spans="1:17" ht="14.4" customHeight="1" x14ac:dyDescent="0.3">
      <c r="A21" s="16" t="s">
        <v>49</v>
      </c>
      <c r="B21" s="46">
        <v>2050.9998984448798</v>
      </c>
      <c r="C21" s="47">
        <v>170.91665820374001</v>
      </c>
      <c r="D21" s="47">
        <v>171.20599999999999</v>
      </c>
      <c r="E21" s="47">
        <v>171.20599999999999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342.41199999999998</v>
      </c>
      <c r="Q21" s="85">
        <v>1.001692882363</v>
      </c>
    </row>
    <row r="22" spans="1:17" ht="14.4" customHeight="1" x14ac:dyDescent="0.3">
      <c r="A22" s="15" t="s">
        <v>50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5" t="s">
        <v>268</v>
      </c>
    </row>
    <row r="23" spans="1:17" ht="14.4" customHeight="1" x14ac:dyDescent="0.3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268</v>
      </c>
    </row>
    <row r="24" spans="1:17" ht="14.4" customHeight="1" x14ac:dyDescent="0.3">
      <c r="A24" s="16" t="s">
        <v>52</v>
      </c>
      <c r="B24" s="46">
        <v>-3.6379788070917101E-12</v>
      </c>
      <c r="C24" s="47">
        <v>-2.2737367544323201E-13</v>
      </c>
      <c r="D24" s="47">
        <v>3.0003000000000002</v>
      </c>
      <c r="E24" s="47">
        <v>4.8410099999999998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7.84131</v>
      </c>
      <c r="Q24" s="85"/>
    </row>
    <row r="25" spans="1:17" ht="14.4" customHeight="1" x14ac:dyDescent="0.3">
      <c r="A25" s="17" t="s">
        <v>53</v>
      </c>
      <c r="B25" s="49">
        <v>24103.4338550518</v>
      </c>
      <c r="C25" s="50">
        <v>2008.61948792099</v>
      </c>
      <c r="D25" s="50">
        <v>1412.6291900000001</v>
      </c>
      <c r="E25" s="50">
        <v>1307.2575200000001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2719.8867100000002</v>
      </c>
      <c r="Q25" s="86">
        <v>0.67705374919299999</v>
      </c>
    </row>
    <row r="26" spans="1:17" ht="14.4" customHeight="1" x14ac:dyDescent="0.3">
      <c r="A26" s="15" t="s">
        <v>54</v>
      </c>
      <c r="B26" s="46">
        <v>0</v>
      </c>
      <c r="C26" s="47">
        <v>0</v>
      </c>
      <c r="D26" s="47">
        <v>162.99977999999999</v>
      </c>
      <c r="E26" s="47">
        <v>161.13761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324.13738999999998</v>
      </c>
      <c r="Q26" s="85" t="s">
        <v>268</v>
      </c>
    </row>
    <row r="27" spans="1:17" ht="14.4" customHeight="1" x14ac:dyDescent="0.3">
      <c r="A27" s="18" t="s">
        <v>55</v>
      </c>
      <c r="B27" s="49">
        <v>24103.4338550518</v>
      </c>
      <c r="C27" s="50">
        <v>2008.61948792099</v>
      </c>
      <c r="D27" s="50">
        <v>1575.62897</v>
      </c>
      <c r="E27" s="50">
        <v>1468.3951300000001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3044.0241000000001</v>
      </c>
      <c r="Q27" s="86">
        <v>0.757740358068</v>
      </c>
    </row>
    <row r="28" spans="1:17" ht="14.4" customHeight="1" x14ac:dyDescent="0.3">
      <c r="A28" s="16" t="s">
        <v>56</v>
      </c>
      <c r="B28" s="46">
        <v>347.62220521387701</v>
      </c>
      <c r="C28" s="47">
        <v>28.968517101155999</v>
      </c>
      <c r="D28" s="47">
        <v>0</v>
      </c>
      <c r="E28" s="47">
        <v>22.486280000000001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22.486280000000001</v>
      </c>
      <c r="Q28" s="85">
        <v>0.38811582797700001</v>
      </c>
    </row>
    <row r="29" spans="1:17" ht="14.4" customHeight="1" x14ac:dyDescent="0.3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268</v>
      </c>
    </row>
    <row r="30" spans="1:17" ht="14.4" customHeight="1" x14ac:dyDescent="0.3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" customHeight="1" thickBot="1" x14ac:dyDescent="0.3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268</v>
      </c>
    </row>
    <row r="32" spans="1:17" ht="14.4" customHeight="1" x14ac:dyDescent="0.3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1:17" ht="14.4" customHeight="1" x14ac:dyDescent="0.3">
      <c r="A33" s="102" t="s">
        <v>150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</row>
    <row r="34" spans="1:17" ht="14.4" customHeight="1" x14ac:dyDescent="0.3">
      <c r="A34" s="125" t="s">
        <v>266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</row>
    <row r="35" spans="1:17" ht="14.4" customHeight="1" x14ac:dyDescent="0.3">
      <c r="A35" s="126" t="s">
        <v>60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9" customWidth="1"/>
    <col min="2" max="11" width="10" style="119" customWidth="1"/>
    <col min="12" max="16384" width="8.88671875" style="119"/>
  </cols>
  <sheetData>
    <row r="1" spans="1:11" s="55" customFormat="1" ht="18.600000000000001" customHeight="1" thickBot="1" x14ac:dyDescent="0.4">
      <c r="A1" s="323" t="s">
        <v>61</v>
      </c>
      <c r="B1" s="323"/>
      <c r="C1" s="323"/>
      <c r="D1" s="323"/>
      <c r="E1" s="323"/>
      <c r="F1" s="323"/>
      <c r="G1" s="323"/>
      <c r="H1" s="328"/>
      <c r="I1" s="328"/>
      <c r="J1" s="328"/>
      <c r="K1" s="328"/>
    </row>
    <row r="2" spans="1:11" s="55" customFormat="1" ht="14.4" customHeight="1" thickBot="1" x14ac:dyDescent="0.35">
      <c r="A2" s="224" t="s">
        <v>267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8"/>
      <c r="B3" s="324" t="s">
        <v>62</v>
      </c>
      <c r="C3" s="325"/>
      <c r="D3" s="325"/>
      <c r="E3" s="325"/>
      <c r="F3" s="331" t="s">
        <v>63</v>
      </c>
      <c r="G3" s="325"/>
      <c r="H3" s="325"/>
      <c r="I3" s="325"/>
      <c r="J3" s="325"/>
      <c r="K3" s="332"/>
    </row>
    <row r="4" spans="1:11" ht="14.4" customHeight="1" x14ac:dyDescent="0.3">
      <c r="A4" s="69"/>
      <c r="B4" s="329"/>
      <c r="C4" s="330"/>
      <c r="D4" s="330"/>
      <c r="E4" s="330"/>
      <c r="F4" s="333" t="s">
        <v>262</v>
      </c>
      <c r="G4" s="335" t="s">
        <v>64</v>
      </c>
      <c r="H4" s="130" t="s">
        <v>136</v>
      </c>
      <c r="I4" s="333" t="s">
        <v>65</v>
      </c>
      <c r="J4" s="335" t="s">
        <v>264</v>
      </c>
      <c r="K4" s="336" t="s">
        <v>265</v>
      </c>
    </row>
    <row r="5" spans="1:11" ht="42" thickBot="1" x14ac:dyDescent="0.35">
      <c r="A5" s="70"/>
      <c r="B5" s="24" t="s">
        <v>258</v>
      </c>
      <c r="C5" s="25" t="s">
        <v>259</v>
      </c>
      <c r="D5" s="26" t="s">
        <v>260</v>
      </c>
      <c r="E5" s="26" t="s">
        <v>261</v>
      </c>
      <c r="F5" s="334"/>
      <c r="G5" s="334"/>
      <c r="H5" s="25" t="s">
        <v>263</v>
      </c>
      <c r="I5" s="334"/>
      <c r="J5" s="334"/>
      <c r="K5" s="337"/>
    </row>
    <row r="6" spans="1:11" ht="14.4" customHeight="1" thickBot="1" x14ac:dyDescent="0.35">
      <c r="A6" s="414" t="s">
        <v>270</v>
      </c>
      <c r="B6" s="396">
        <v>24973.923178545301</v>
      </c>
      <c r="C6" s="396">
        <v>24484.53832</v>
      </c>
      <c r="D6" s="397">
        <v>-489.384858545258</v>
      </c>
      <c r="E6" s="398">
        <v>0.980404165775</v>
      </c>
      <c r="F6" s="396">
        <v>24103.4338550518</v>
      </c>
      <c r="G6" s="397">
        <v>4017.2389758419699</v>
      </c>
      <c r="H6" s="399">
        <v>1307.2575200000001</v>
      </c>
      <c r="I6" s="396">
        <v>2719.8867100000002</v>
      </c>
      <c r="J6" s="397">
        <v>-1297.3522658419699</v>
      </c>
      <c r="K6" s="400">
        <v>0.112842291532</v>
      </c>
    </row>
    <row r="7" spans="1:11" ht="14.4" customHeight="1" thickBot="1" x14ac:dyDescent="0.35">
      <c r="A7" s="415" t="s">
        <v>271</v>
      </c>
      <c r="B7" s="396">
        <v>4915.3792112361598</v>
      </c>
      <c r="C7" s="396">
        <v>4886.3432700000003</v>
      </c>
      <c r="D7" s="397">
        <v>-29.035941236159999</v>
      </c>
      <c r="E7" s="398">
        <v>0.99409283801100001</v>
      </c>
      <c r="F7" s="396">
        <v>5067.7110451881799</v>
      </c>
      <c r="G7" s="397">
        <v>844.61850753136298</v>
      </c>
      <c r="H7" s="399">
        <v>102.18664</v>
      </c>
      <c r="I7" s="396">
        <v>307.28231</v>
      </c>
      <c r="J7" s="397">
        <v>-537.33619753136304</v>
      </c>
      <c r="K7" s="400">
        <v>6.0635325742999999E-2</v>
      </c>
    </row>
    <row r="8" spans="1:11" ht="14.4" customHeight="1" thickBot="1" x14ac:dyDescent="0.35">
      <c r="A8" s="416" t="s">
        <v>272</v>
      </c>
      <c r="B8" s="396">
        <v>4659.3942056369697</v>
      </c>
      <c r="C8" s="396">
        <v>4672.6032699999996</v>
      </c>
      <c r="D8" s="397">
        <v>13.209064363032001</v>
      </c>
      <c r="E8" s="398">
        <v>1.002834931705</v>
      </c>
      <c r="F8" s="396">
        <v>4889.0993686280499</v>
      </c>
      <c r="G8" s="397">
        <v>814.84989477134195</v>
      </c>
      <c r="H8" s="399">
        <v>84.772639999999996</v>
      </c>
      <c r="I8" s="396">
        <v>269.55531000000002</v>
      </c>
      <c r="J8" s="397">
        <v>-545.29458477134096</v>
      </c>
      <c r="K8" s="400">
        <v>5.5133939744999999E-2</v>
      </c>
    </row>
    <row r="9" spans="1:11" ht="14.4" customHeight="1" thickBot="1" x14ac:dyDescent="0.35">
      <c r="A9" s="417" t="s">
        <v>273</v>
      </c>
      <c r="B9" s="401">
        <v>0</v>
      </c>
      <c r="C9" s="401">
        <v>-2.8300000000000001E-3</v>
      </c>
      <c r="D9" s="402">
        <v>-2.8300000000000001E-3</v>
      </c>
      <c r="E9" s="403" t="s">
        <v>268</v>
      </c>
      <c r="F9" s="401">
        <v>0</v>
      </c>
      <c r="G9" s="402">
        <v>0</v>
      </c>
      <c r="H9" s="404">
        <v>5.8E-4</v>
      </c>
      <c r="I9" s="401">
        <v>8.8000000000000003E-4</v>
      </c>
      <c r="J9" s="402">
        <v>8.8000000000000003E-4</v>
      </c>
      <c r="K9" s="405" t="s">
        <v>268</v>
      </c>
    </row>
    <row r="10" spans="1:11" ht="14.4" customHeight="1" thickBot="1" x14ac:dyDescent="0.35">
      <c r="A10" s="418" t="s">
        <v>274</v>
      </c>
      <c r="B10" s="396">
        <v>0</v>
      </c>
      <c r="C10" s="396">
        <v>-2.8300000000000001E-3</v>
      </c>
      <c r="D10" s="397">
        <v>-2.8300000000000001E-3</v>
      </c>
      <c r="E10" s="406" t="s">
        <v>268</v>
      </c>
      <c r="F10" s="396">
        <v>0</v>
      </c>
      <c r="G10" s="397">
        <v>0</v>
      </c>
      <c r="H10" s="399">
        <v>5.8E-4</v>
      </c>
      <c r="I10" s="396">
        <v>8.8000000000000003E-4</v>
      </c>
      <c r="J10" s="397">
        <v>8.8000000000000003E-4</v>
      </c>
      <c r="K10" s="407" t="s">
        <v>268</v>
      </c>
    </row>
    <row r="11" spans="1:11" ht="14.4" customHeight="1" thickBot="1" x14ac:dyDescent="0.35">
      <c r="A11" s="417" t="s">
        <v>275</v>
      </c>
      <c r="B11" s="401">
        <v>93.808699516833002</v>
      </c>
      <c r="C11" s="401">
        <v>62.504669999999997</v>
      </c>
      <c r="D11" s="402">
        <v>-31.304029516833001</v>
      </c>
      <c r="E11" s="408">
        <v>0.66629929123700005</v>
      </c>
      <c r="F11" s="401">
        <v>60.981866140012002</v>
      </c>
      <c r="G11" s="402">
        <v>10.163644356668</v>
      </c>
      <c r="H11" s="404">
        <v>2.0402900000000002</v>
      </c>
      <c r="I11" s="401">
        <v>4.7029199999999998</v>
      </c>
      <c r="J11" s="402">
        <v>-5.4607243566679999</v>
      </c>
      <c r="K11" s="409">
        <v>7.7119975128000007E-2</v>
      </c>
    </row>
    <row r="12" spans="1:11" ht="14.4" customHeight="1" thickBot="1" x14ac:dyDescent="0.35">
      <c r="A12" s="418" t="s">
        <v>276</v>
      </c>
      <c r="B12" s="396">
        <v>87.821719923201996</v>
      </c>
      <c r="C12" s="396">
        <v>59.789430000000003</v>
      </c>
      <c r="D12" s="397">
        <v>-28.032289923202001</v>
      </c>
      <c r="E12" s="398">
        <v>0.68080458971000002</v>
      </c>
      <c r="F12" s="396">
        <v>59.304480578320998</v>
      </c>
      <c r="G12" s="397">
        <v>9.8840800963860005</v>
      </c>
      <c r="H12" s="399">
        <v>2.0402900000000002</v>
      </c>
      <c r="I12" s="396">
        <v>4.7029199999999998</v>
      </c>
      <c r="J12" s="397">
        <v>-5.1811600963859998</v>
      </c>
      <c r="K12" s="400">
        <v>7.9301259434999993E-2</v>
      </c>
    </row>
    <row r="13" spans="1:11" ht="14.4" customHeight="1" thickBot="1" x14ac:dyDescent="0.35">
      <c r="A13" s="418" t="s">
        <v>277</v>
      </c>
      <c r="B13" s="396">
        <v>5.7574524209589999</v>
      </c>
      <c r="C13" s="396">
        <v>2.7152400000000001</v>
      </c>
      <c r="D13" s="397">
        <v>-3.0422124209589998</v>
      </c>
      <c r="E13" s="398">
        <v>0.47160441832099997</v>
      </c>
      <c r="F13" s="396">
        <v>1.6773855616910001</v>
      </c>
      <c r="G13" s="397">
        <v>0.27956426028100001</v>
      </c>
      <c r="H13" s="399">
        <v>0</v>
      </c>
      <c r="I13" s="396">
        <v>0</v>
      </c>
      <c r="J13" s="397">
        <v>-0.27956426028100001</v>
      </c>
      <c r="K13" s="400">
        <v>0</v>
      </c>
    </row>
    <row r="14" spans="1:11" ht="14.4" customHeight="1" thickBot="1" x14ac:dyDescent="0.35">
      <c r="A14" s="417" t="s">
        <v>278</v>
      </c>
      <c r="B14" s="401">
        <v>4403.4489457165801</v>
      </c>
      <c r="C14" s="401">
        <v>4456.4060900000004</v>
      </c>
      <c r="D14" s="402">
        <v>52.95714428342</v>
      </c>
      <c r="E14" s="408">
        <v>1.012026287788</v>
      </c>
      <c r="F14" s="401">
        <v>4711.0815516123403</v>
      </c>
      <c r="G14" s="402">
        <v>785.18025860205705</v>
      </c>
      <c r="H14" s="404">
        <v>68.229309999999998</v>
      </c>
      <c r="I14" s="401">
        <v>234.33208999999999</v>
      </c>
      <c r="J14" s="402">
        <v>-550.84816860205694</v>
      </c>
      <c r="K14" s="409">
        <v>4.9740614215999998E-2</v>
      </c>
    </row>
    <row r="15" spans="1:11" ht="14.4" customHeight="1" thickBot="1" x14ac:dyDescent="0.35">
      <c r="A15" s="418" t="s">
        <v>279</v>
      </c>
      <c r="B15" s="396">
        <v>3917.8563265389198</v>
      </c>
      <c r="C15" s="396">
        <v>4101.7459200000003</v>
      </c>
      <c r="D15" s="397">
        <v>183.88959346108601</v>
      </c>
      <c r="E15" s="398">
        <v>1.0469362779369999</v>
      </c>
      <c r="F15" s="396">
        <v>4217.9998671432204</v>
      </c>
      <c r="G15" s="397">
        <v>702.99997785720404</v>
      </c>
      <c r="H15" s="399">
        <v>46.22139</v>
      </c>
      <c r="I15" s="396">
        <v>121.70499</v>
      </c>
      <c r="J15" s="397">
        <v>-581.29498785720398</v>
      </c>
      <c r="K15" s="400">
        <v>2.8853720680999999E-2</v>
      </c>
    </row>
    <row r="16" spans="1:11" ht="14.4" customHeight="1" thickBot="1" x14ac:dyDescent="0.35">
      <c r="A16" s="418" t="s">
        <v>280</v>
      </c>
      <c r="B16" s="396">
        <v>122.889438850548</v>
      </c>
      <c r="C16" s="396">
        <v>168.77743000000001</v>
      </c>
      <c r="D16" s="397">
        <v>45.887991149450997</v>
      </c>
      <c r="E16" s="398">
        <v>1.3734087451179999</v>
      </c>
      <c r="F16" s="396">
        <v>174.999994487924</v>
      </c>
      <c r="G16" s="397">
        <v>29.166665747987</v>
      </c>
      <c r="H16" s="399">
        <v>19.692550000000001</v>
      </c>
      <c r="I16" s="396">
        <v>91.123450000000005</v>
      </c>
      <c r="J16" s="397">
        <v>61.956784252012</v>
      </c>
      <c r="K16" s="400">
        <v>0.520705444972</v>
      </c>
    </row>
    <row r="17" spans="1:11" ht="14.4" customHeight="1" thickBot="1" x14ac:dyDescent="0.35">
      <c r="A17" s="418" t="s">
        <v>281</v>
      </c>
      <c r="B17" s="396">
        <v>29.757362349459999</v>
      </c>
      <c r="C17" s="396">
        <v>11.84942</v>
      </c>
      <c r="D17" s="397">
        <v>-17.907942349460001</v>
      </c>
      <c r="E17" s="398">
        <v>0.39820128749400002</v>
      </c>
      <c r="F17" s="396">
        <v>23.999999244057999</v>
      </c>
      <c r="G17" s="397">
        <v>3.9999998740090001</v>
      </c>
      <c r="H17" s="399">
        <v>0.20710999999999999</v>
      </c>
      <c r="I17" s="396">
        <v>0.77888999999999997</v>
      </c>
      <c r="J17" s="397">
        <v>-3.2211098740090001</v>
      </c>
      <c r="K17" s="400">
        <v>3.2453751022000002E-2</v>
      </c>
    </row>
    <row r="18" spans="1:11" ht="14.4" customHeight="1" thickBot="1" x14ac:dyDescent="0.35">
      <c r="A18" s="418" t="s">
        <v>282</v>
      </c>
      <c r="B18" s="396">
        <v>285.41284547706698</v>
      </c>
      <c r="C18" s="396">
        <v>153.68686</v>
      </c>
      <c r="D18" s="397">
        <v>-131.72598547706701</v>
      </c>
      <c r="E18" s="398">
        <v>0.53847212007199996</v>
      </c>
      <c r="F18" s="396">
        <v>263.99999168464001</v>
      </c>
      <c r="G18" s="397">
        <v>43.999998614105998</v>
      </c>
      <c r="H18" s="399">
        <v>1.00386</v>
      </c>
      <c r="I18" s="396">
        <v>17.627359999999999</v>
      </c>
      <c r="J18" s="397">
        <v>-26.372638614105998</v>
      </c>
      <c r="K18" s="400">
        <v>6.6770305133000002E-2</v>
      </c>
    </row>
    <row r="19" spans="1:11" ht="14.4" customHeight="1" thickBot="1" x14ac:dyDescent="0.35">
      <c r="A19" s="418" t="s">
        <v>283</v>
      </c>
      <c r="B19" s="396">
        <v>0</v>
      </c>
      <c r="C19" s="396">
        <v>8.1699999999999995E-2</v>
      </c>
      <c r="D19" s="397">
        <v>8.1699999999999995E-2</v>
      </c>
      <c r="E19" s="406" t="s">
        <v>284</v>
      </c>
      <c r="F19" s="396">
        <v>8.1699997425999996E-2</v>
      </c>
      <c r="G19" s="397">
        <v>1.3616666237000001E-2</v>
      </c>
      <c r="H19" s="399">
        <v>0</v>
      </c>
      <c r="I19" s="396">
        <v>0</v>
      </c>
      <c r="J19" s="397">
        <v>-1.3616666237000001E-2</v>
      </c>
      <c r="K19" s="400">
        <v>0</v>
      </c>
    </row>
    <row r="20" spans="1:11" ht="14.4" customHeight="1" thickBot="1" x14ac:dyDescent="0.35">
      <c r="A20" s="418" t="s">
        <v>285</v>
      </c>
      <c r="B20" s="396">
        <v>16.369401562176002</v>
      </c>
      <c r="C20" s="396">
        <v>7.3203199999999997</v>
      </c>
      <c r="D20" s="397">
        <v>-9.0490815621759992</v>
      </c>
      <c r="E20" s="398">
        <v>0.44719533406200002</v>
      </c>
      <c r="F20" s="396">
        <v>13.999999559033</v>
      </c>
      <c r="G20" s="397">
        <v>2.3333332598380001</v>
      </c>
      <c r="H20" s="399">
        <v>0.38900000000000001</v>
      </c>
      <c r="I20" s="396">
        <v>0.77200000000000002</v>
      </c>
      <c r="J20" s="397">
        <v>-1.5613332598380001</v>
      </c>
      <c r="K20" s="400">
        <v>5.5142858879000001E-2</v>
      </c>
    </row>
    <row r="21" spans="1:11" ht="14.4" customHeight="1" thickBot="1" x14ac:dyDescent="0.35">
      <c r="A21" s="418" t="s">
        <v>286</v>
      </c>
      <c r="B21" s="396">
        <v>31.163570938414001</v>
      </c>
      <c r="C21" s="396">
        <v>12.94444</v>
      </c>
      <c r="D21" s="397">
        <v>-18.219130938414001</v>
      </c>
      <c r="E21" s="398">
        <v>0.41537088370199998</v>
      </c>
      <c r="F21" s="396">
        <v>15.999999496038001</v>
      </c>
      <c r="G21" s="397">
        <v>2.6666665826729998</v>
      </c>
      <c r="H21" s="399">
        <v>0.71540000000000004</v>
      </c>
      <c r="I21" s="396">
        <v>2.3254000000000001</v>
      </c>
      <c r="J21" s="397">
        <v>-0.34126658267299997</v>
      </c>
      <c r="K21" s="400">
        <v>0.14533750457700001</v>
      </c>
    </row>
    <row r="22" spans="1:11" ht="14.4" customHeight="1" thickBot="1" x14ac:dyDescent="0.35">
      <c r="A22" s="417" t="s">
        <v>287</v>
      </c>
      <c r="B22" s="401">
        <v>129.733234849436</v>
      </c>
      <c r="C22" s="401">
        <v>118.87909999999999</v>
      </c>
      <c r="D22" s="402">
        <v>-10.854134849435001</v>
      </c>
      <c r="E22" s="408">
        <v>0.91633497104999995</v>
      </c>
      <c r="F22" s="401">
        <v>97.035951505645002</v>
      </c>
      <c r="G22" s="402">
        <v>16.172658584274</v>
      </c>
      <c r="H22" s="404">
        <v>6.1905400000000004</v>
      </c>
      <c r="I22" s="401">
        <v>18.248740000000002</v>
      </c>
      <c r="J22" s="402">
        <v>2.076081415725</v>
      </c>
      <c r="K22" s="409">
        <v>0.18806163815400001</v>
      </c>
    </row>
    <row r="23" spans="1:11" ht="14.4" customHeight="1" thickBot="1" x14ac:dyDescent="0.35">
      <c r="A23" s="418" t="s">
        <v>288</v>
      </c>
      <c r="B23" s="396">
        <v>2.318597316405</v>
      </c>
      <c r="C23" s="396">
        <v>2.7110699999999999</v>
      </c>
      <c r="D23" s="397">
        <v>0.392472683594</v>
      </c>
      <c r="E23" s="398">
        <v>1.1692716026259999</v>
      </c>
      <c r="F23" s="396">
        <v>2.5879877795519999</v>
      </c>
      <c r="G23" s="397">
        <v>0.43133129659199998</v>
      </c>
      <c r="H23" s="399">
        <v>0</v>
      </c>
      <c r="I23" s="396">
        <v>0</v>
      </c>
      <c r="J23" s="397">
        <v>-0.43133129659199998</v>
      </c>
      <c r="K23" s="400">
        <v>0</v>
      </c>
    </row>
    <row r="24" spans="1:11" ht="14.4" customHeight="1" thickBot="1" x14ac:dyDescent="0.35">
      <c r="A24" s="418" t="s">
        <v>289</v>
      </c>
      <c r="B24" s="396">
        <v>3.247166154326</v>
      </c>
      <c r="C24" s="396">
        <v>3.0940400000000001</v>
      </c>
      <c r="D24" s="397">
        <v>-0.15312615432599999</v>
      </c>
      <c r="E24" s="398">
        <v>0.95284314166499995</v>
      </c>
      <c r="F24" s="396">
        <v>1.999999937004</v>
      </c>
      <c r="G24" s="397">
        <v>0.33333332283400002</v>
      </c>
      <c r="H24" s="399">
        <v>0.22796</v>
      </c>
      <c r="I24" s="396">
        <v>0.52602000000000004</v>
      </c>
      <c r="J24" s="397">
        <v>0.19268667716499999</v>
      </c>
      <c r="K24" s="400">
        <v>0.26301000828400001</v>
      </c>
    </row>
    <row r="25" spans="1:11" ht="14.4" customHeight="1" thickBot="1" x14ac:dyDescent="0.35">
      <c r="A25" s="418" t="s">
        <v>290</v>
      </c>
      <c r="B25" s="396">
        <v>7.4991124676799998</v>
      </c>
      <c r="C25" s="396">
        <v>8.7327399999999997</v>
      </c>
      <c r="D25" s="397">
        <v>1.233627532319</v>
      </c>
      <c r="E25" s="398">
        <v>1.1645031378890001</v>
      </c>
      <c r="F25" s="396">
        <v>9.4677295461710003</v>
      </c>
      <c r="G25" s="397">
        <v>1.577954924361</v>
      </c>
      <c r="H25" s="399">
        <v>0.72736000000000001</v>
      </c>
      <c r="I25" s="396">
        <v>1.26288</v>
      </c>
      <c r="J25" s="397">
        <v>-0.31507492436099999</v>
      </c>
      <c r="K25" s="400">
        <v>0.13338784064699999</v>
      </c>
    </row>
    <row r="26" spans="1:11" ht="14.4" customHeight="1" thickBot="1" x14ac:dyDescent="0.35">
      <c r="A26" s="418" t="s">
        <v>291</v>
      </c>
      <c r="B26" s="396">
        <v>38.923525075736002</v>
      </c>
      <c r="C26" s="396">
        <v>29.888549999999999</v>
      </c>
      <c r="D26" s="397">
        <v>-9.0349750757359999</v>
      </c>
      <c r="E26" s="398">
        <v>0.767878807015</v>
      </c>
      <c r="F26" s="396">
        <v>23.999999244057999</v>
      </c>
      <c r="G26" s="397">
        <v>3.9999998740090001</v>
      </c>
      <c r="H26" s="399">
        <v>2.0948899999999999</v>
      </c>
      <c r="I26" s="396">
        <v>3.24227</v>
      </c>
      <c r="J26" s="397">
        <v>-0.75772987400900005</v>
      </c>
      <c r="K26" s="400">
        <v>0.135094587588</v>
      </c>
    </row>
    <row r="27" spans="1:11" ht="14.4" customHeight="1" thickBot="1" x14ac:dyDescent="0.35">
      <c r="A27" s="418" t="s">
        <v>292</v>
      </c>
      <c r="B27" s="396">
        <v>2.9997569216720001</v>
      </c>
      <c r="C27" s="396">
        <v>1.1064000000000001</v>
      </c>
      <c r="D27" s="397">
        <v>-1.8933569216720001</v>
      </c>
      <c r="E27" s="398">
        <v>0.36882988485000001</v>
      </c>
      <c r="F27" s="396">
        <v>2.9999999055069999</v>
      </c>
      <c r="G27" s="397">
        <v>0.49999998425100001</v>
      </c>
      <c r="H27" s="399">
        <v>8.6700000000000006E-3</v>
      </c>
      <c r="I27" s="396">
        <v>8.7669999999999998E-2</v>
      </c>
      <c r="J27" s="397">
        <v>-0.41232998425099998</v>
      </c>
      <c r="K27" s="400">
        <v>2.9223334253E-2</v>
      </c>
    </row>
    <row r="28" spans="1:11" ht="14.4" customHeight="1" thickBot="1" x14ac:dyDescent="0.35">
      <c r="A28" s="418" t="s">
        <v>293</v>
      </c>
      <c r="B28" s="396">
        <v>7.4461075476000005E-2</v>
      </c>
      <c r="C28" s="396">
        <v>7.9659999999999995E-2</v>
      </c>
      <c r="D28" s="397">
        <v>5.1989245229999998E-3</v>
      </c>
      <c r="E28" s="398">
        <v>1.0698207014959999</v>
      </c>
      <c r="F28" s="396">
        <v>4.6271731801999998E-2</v>
      </c>
      <c r="G28" s="397">
        <v>7.7119553E-3</v>
      </c>
      <c r="H28" s="399">
        <v>0</v>
      </c>
      <c r="I28" s="396">
        <v>0</v>
      </c>
      <c r="J28" s="397">
        <v>-7.7119553E-3</v>
      </c>
      <c r="K28" s="400">
        <v>0</v>
      </c>
    </row>
    <row r="29" spans="1:11" ht="14.4" customHeight="1" thickBot="1" x14ac:dyDescent="0.35">
      <c r="A29" s="418" t="s">
        <v>294</v>
      </c>
      <c r="B29" s="396">
        <v>0.89250420355500004</v>
      </c>
      <c r="C29" s="396">
        <v>0</v>
      </c>
      <c r="D29" s="397">
        <v>-0.89250420355500004</v>
      </c>
      <c r="E29" s="398">
        <v>0</v>
      </c>
      <c r="F29" s="396">
        <v>0</v>
      </c>
      <c r="G29" s="397">
        <v>0</v>
      </c>
      <c r="H29" s="399">
        <v>0</v>
      </c>
      <c r="I29" s="396">
        <v>0.87119999999999997</v>
      </c>
      <c r="J29" s="397">
        <v>0.87119999999999997</v>
      </c>
      <c r="K29" s="407" t="s">
        <v>284</v>
      </c>
    </row>
    <row r="30" spans="1:11" ht="14.4" customHeight="1" thickBot="1" x14ac:dyDescent="0.35">
      <c r="A30" s="418" t="s">
        <v>295</v>
      </c>
      <c r="B30" s="396">
        <v>42.733019277259999</v>
      </c>
      <c r="C30" s="396">
        <v>32.638919999999999</v>
      </c>
      <c r="D30" s="397">
        <v>-10.09409927726</v>
      </c>
      <c r="E30" s="398">
        <v>0.76378689247800002</v>
      </c>
      <c r="F30" s="396">
        <v>30.933964148988</v>
      </c>
      <c r="G30" s="397">
        <v>5.1556606914980003</v>
      </c>
      <c r="H30" s="399">
        <v>0.20569999999999999</v>
      </c>
      <c r="I30" s="396">
        <v>3.19922</v>
      </c>
      <c r="J30" s="397">
        <v>-1.9564406914979999</v>
      </c>
      <c r="K30" s="400">
        <v>0.10342095130700001</v>
      </c>
    </row>
    <row r="31" spans="1:11" ht="14.4" customHeight="1" thickBot="1" x14ac:dyDescent="0.35">
      <c r="A31" s="418" t="s">
        <v>296</v>
      </c>
      <c r="B31" s="396">
        <v>28.124744832874999</v>
      </c>
      <c r="C31" s="396">
        <v>29.025279999999999</v>
      </c>
      <c r="D31" s="397">
        <v>0.90053516712399995</v>
      </c>
      <c r="E31" s="398">
        <v>1.032019318663</v>
      </c>
      <c r="F31" s="396">
        <v>14.999999527536</v>
      </c>
      <c r="G31" s="397">
        <v>2.4999999212559998</v>
      </c>
      <c r="H31" s="399">
        <v>1.0383599999999999</v>
      </c>
      <c r="I31" s="396">
        <v>3.3966799999999999</v>
      </c>
      <c r="J31" s="397">
        <v>0.89668007874300004</v>
      </c>
      <c r="K31" s="400">
        <v>0.22644534046500001</v>
      </c>
    </row>
    <row r="32" spans="1:11" ht="14.4" customHeight="1" thickBot="1" x14ac:dyDescent="0.35">
      <c r="A32" s="418" t="s">
        <v>297</v>
      </c>
      <c r="B32" s="396">
        <v>0</v>
      </c>
      <c r="C32" s="396">
        <v>0.03</v>
      </c>
      <c r="D32" s="397">
        <v>0.03</v>
      </c>
      <c r="E32" s="406" t="s">
        <v>284</v>
      </c>
      <c r="F32" s="396">
        <v>0</v>
      </c>
      <c r="G32" s="397">
        <v>0</v>
      </c>
      <c r="H32" s="399">
        <v>0</v>
      </c>
      <c r="I32" s="396">
        <v>0</v>
      </c>
      <c r="J32" s="397">
        <v>0</v>
      </c>
      <c r="K32" s="407" t="s">
        <v>268</v>
      </c>
    </row>
    <row r="33" spans="1:11" ht="14.4" customHeight="1" thickBot="1" x14ac:dyDescent="0.35">
      <c r="A33" s="418" t="s">
        <v>298</v>
      </c>
      <c r="B33" s="396">
        <v>2.8864850544179999</v>
      </c>
      <c r="C33" s="396">
        <v>11.57244</v>
      </c>
      <c r="D33" s="397">
        <v>8.6859549455810008</v>
      </c>
      <c r="E33" s="398">
        <v>4.0091806407529997</v>
      </c>
      <c r="F33" s="396">
        <v>9.9999996850239992</v>
      </c>
      <c r="G33" s="397">
        <v>1.6666666141699999</v>
      </c>
      <c r="H33" s="399">
        <v>1.8875999999999999</v>
      </c>
      <c r="I33" s="396">
        <v>5.6627999999999998</v>
      </c>
      <c r="J33" s="397">
        <v>3.9961333858289998</v>
      </c>
      <c r="K33" s="400">
        <v>0.56628001783600002</v>
      </c>
    </row>
    <row r="34" spans="1:11" ht="14.4" customHeight="1" thickBot="1" x14ac:dyDescent="0.35">
      <c r="A34" s="417" t="s">
        <v>299</v>
      </c>
      <c r="B34" s="401">
        <v>10.535080868799</v>
      </c>
      <c r="C34" s="401">
        <v>8.0173299999999994</v>
      </c>
      <c r="D34" s="402">
        <v>-2.5177508687989998</v>
      </c>
      <c r="E34" s="408">
        <v>0.76101266804099998</v>
      </c>
      <c r="F34" s="401">
        <v>1.999999937004</v>
      </c>
      <c r="G34" s="402">
        <v>0.33333332283400002</v>
      </c>
      <c r="H34" s="404">
        <v>5.9352499999999999</v>
      </c>
      <c r="I34" s="401">
        <v>5.9562499999999998</v>
      </c>
      <c r="J34" s="402">
        <v>5.6229166771649997</v>
      </c>
      <c r="K34" s="409">
        <v>2.9781250938029999</v>
      </c>
    </row>
    <row r="35" spans="1:11" ht="14.4" customHeight="1" thickBot="1" x14ac:dyDescent="0.35">
      <c r="A35" s="418" t="s">
        <v>300</v>
      </c>
      <c r="B35" s="396">
        <v>0</v>
      </c>
      <c r="C35" s="396">
        <v>0</v>
      </c>
      <c r="D35" s="397">
        <v>0</v>
      </c>
      <c r="E35" s="398">
        <v>1</v>
      </c>
      <c r="F35" s="396">
        <v>0</v>
      </c>
      <c r="G35" s="397">
        <v>0</v>
      </c>
      <c r="H35" s="399">
        <v>5.7474999999999996</v>
      </c>
      <c r="I35" s="396">
        <v>5.7474999999999996</v>
      </c>
      <c r="J35" s="397">
        <v>5.7474999999999996</v>
      </c>
      <c r="K35" s="407" t="s">
        <v>284</v>
      </c>
    </row>
    <row r="36" spans="1:11" ht="14.4" customHeight="1" thickBot="1" x14ac:dyDescent="0.35">
      <c r="A36" s="418" t="s">
        <v>301</v>
      </c>
      <c r="B36" s="396">
        <v>0</v>
      </c>
      <c r="C36" s="396">
        <v>7.7</v>
      </c>
      <c r="D36" s="397">
        <v>7.7</v>
      </c>
      <c r="E36" s="406" t="s">
        <v>284</v>
      </c>
      <c r="F36" s="396">
        <v>0</v>
      </c>
      <c r="G36" s="397">
        <v>0</v>
      </c>
      <c r="H36" s="399">
        <v>0</v>
      </c>
      <c r="I36" s="396">
        <v>0</v>
      </c>
      <c r="J36" s="397">
        <v>0</v>
      </c>
      <c r="K36" s="407" t="s">
        <v>268</v>
      </c>
    </row>
    <row r="37" spans="1:11" ht="14.4" customHeight="1" thickBot="1" x14ac:dyDescent="0.35">
      <c r="A37" s="418" t="s">
        <v>302</v>
      </c>
      <c r="B37" s="396">
        <v>2.0003729960299999</v>
      </c>
      <c r="C37" s="396">
        <v>0.31733</v>
      </c>
      <c r="D37" s="397">
        <v>-1.6830429960290001</v>
      </c>
      <c r="E37" s="398">
        <v>0.15863541480999999</v>
      </c>
      <c r="F37" s="396">
        <v>1.999999937004</v>
      </c>
      <c r="G37" s="397">
        <v>0.33333332283400002</v>
      </c>
      <c r="H37" s="399">
        <v>0.18775</v>
      </c>
      <c r="I37" s="396">
        <v>0.20874999999999999</v>
      </c>
      <c r="J37" s="397">
        <v>-0.124583322834</v>
      </c>
      <c r="K37" s="400">
        <v>0.104375003287</v>
      </c>
    </row>
    <row r="38" spans="1:11" ht="14.4" customHeight="1" thickBot="1" x14ac:dyDescent="0.35">
      <c r="A38" s="417" t="s">
        <v>303</v>
      </c>
      <c r="B38" s="401">
        <v>21.868244685320999</v>
      </c>
      <c r="C38" s="401">
        <v>15.210089999999999</v>
      </c>
      <c r="D38" s="402">
        <v>-6.6581546853209996</v>
      </c>
      <c r="E38" s="408">
        <v>0.69553319065399999</v>
      </c>
      <c r="F38" s="401">
        <v>17.999999433043001</v>
      </c>
      <c r="G38" s="402">
        <v>2.9999999055069999</v>
      </c>
      <c r="H38" s="404">
        <v>2.3766699999999998</v>
      </c>
      <c r="I38" s="401">
        <v>6.3144299999999998</v>
      </c>
      <c r="J38" s="402">
        <v>3.3144300944920002</v>
      </c>
      <c r="K38" s="409">
        <v>0.35080167771600002</v>
      </c>
    </row>
    <row r="39" spans="1:11" ht="14.4" customHeight="1" thickBot="1" x14ac:dyDescent="0.35">
      <c r="A39" s="418" t="s">
        <v>304</v>
      </c>
      <c r="B39" s="396">
        <v>8.8698950268579999</v>
      </c>
      <c r="C39" s="396">
        <v>7.5001100000000003</v>
      </c>
      <c r="D39" s="397">
        <v>-1.3697850268580001</v>
      </c>
      <c r="E39" s="398">
        <v>0.84556919527100005</v>
      </c>
      <c r="F39" s="396">
        <v>8.9999997165209997</v>
      </c>
      <c r="G39" s="397">
        <v>1.4999999527529999</v>
      </c>
      <c r="H39" s="399">
        <v>2.3766699999999998</v>
      </c>
      <c r="I39" s="396">
        <v>5.9673999999999996</v>
      </c>
      <c r="J39" s="397">
        <v>4.4674000472459996</v>
      </c>
      <c r="K39" s="400">
        <v>0.66304446532799999</v>
      </c>
    </row>
    <row r="40" spans="1:11" ht="14.4" customHeight="1" thickBot="1" x14ac:dyDescent="0.35">
      <c r="A40" s="418" t="s">
        <v>305</v>
      </c>
      <c r="B40" s="396">
        <v>0.99998058253599997</v>
      </c>
      <c r="C40" s="396">
        <v>0.72851999999999995</v>
      </c>
      <c r="D40" s="397">
        <v>-0.27146058253599997</v>
      </c>
      <c r="E40" s="398">
        <v>0.72853414628500002</v>
      </c>
      <c r="F40" s="396">
        <v>0.99999996850200001</v>
      </c>
      <c r="G40" s="397">
        <v>0.16666666141700001</v>
      </c>
      <c r="H40" s="399">
        <v>0</v>
      </c>
      <c r="I40" s="396">
        <v>0</v>
      </c>
      <c r="J40" s="397">
        <v>-0.16666666141700001</v>
      </c>
      <c r="K40" s="400">
        <v>0</v>
      </c>
    </row>
    <row r="41" spans="1:11" ht="14.4" customHeight="1" thickBot="1" x14ac:dyDescent="0.35">
      <c r="A41" s="418" t="s">
        <v>306</v>
      </c>
      <c r="B41" s="396">
        <v>11.998369075926</v>
      </c>
      <c r="C41" s="396">
        <v>6.9814600000000002</v>
      </c>
      <c r="D41" s="397">
        <v>-5.0169090759259998</v>
      </c>
      <c r="E41" s="398">
        <v>0.58186741513100004</v>
      </c>
      <c r="F41" s="396">
        <v>7.9999997480190004</v>
      </c>
      <c r="G41" s="397">
        <v>1.3333332913360001</v>
      </c>
      <c r="H41" s="399">
        <v>0</v>
      </c>
      <c r="I41" s="396">
        <v>0.34703000000000001</v>
      </c>
      <c r="J41" s="397">
        <v>-0.98630329133600003</v>
      </c>
      <c r="K41" s="400">
        <v>4.3378751366000001E-2</v>
      </c>
    </row>
    <row r="42" spans="1:11" ht="14.4" customHeight="1" thickBot="1" x14ac:dyDescent="0.35">
      <c r="A42" s="417" t="s">
        <v>307</v>
      </c>
      <c r="B42" s="401">
        <v>0</v>
      </c>
      <c r="C42" s="401">
        <v>11.58882</v>
      </c>
      <c r="D42" s="402">
        <v>11.58882</v>
      </c>
      <c r="E42" s="403" t="s">
        <v>284</v>
      </c>
      <c r="F42" s="401">
        <v>0</v>
      </c>
      <c r="G42" s="402">
        <v>0</v>
      </c>
      <c r="H42" s="404">
        <v>0</v>
      </c>
      <c r="I42" s="401">
        <v>0</v>
      </c>
      <c r="J42" s="402">
        <v>0</v>
      </c>
      <c r="K42" s="409">
        <v>0</v>
      </c>
    </row>
    <row r="43" spans="1:11" ht="14.4" customHeight="1" thickBot="1" x14ac:dyDescent="0.35">
      <c r="A43" s="418" t="s">
        <v>308</v>
      </c>
      <c r="B43" s="396">
        <v>0</v>
      </c>
      <c r="C43" s="396">
        <v>11.58882</v>
      </c>
      <c r="D43" s="397">
        <v>11.58882</v>
      </c>
      <c r="E43" s="406" t="s">
        <v>284</v>
      </c>
      <c r="F43" s="396">
        <v>0</v>
      </c>
      <c r="G43" s="397">
        <v>0</v>
      </c>
      <c r="H43" s="399">
        <v>0</v>
      </c>
      <c r="I43" s="396">
        <v>0</v>
      </c>
      <c r="J43" s="397">
        <v>0</v>
      </c>
      <c r="K43" s="400">
        <v>0</v>
      </c>
    </row>
    <row r="44" spans="1:11" ht="14.4" customHeight="1" thickBot="1" x14ac:dyDescent="0.35">
      <c r="A44" s="416" t="s">
        <v>42</v>
      </c>
      <c r="B44" s="396">
        <v>255.98500559919199</v>
      </c>
      <c r="C44" s="396">
        <v>213.74</v>
      </c>
      <c r="D44" s="397">
        <v>-42.245005599191998</v>
      </c>
      <c r="E44" s="398">
        <v>0.83497078080599996</v>
      </c>
      <c r="F44" s="396">
        <v>178.61167656012799</v>
      </c>
      <c r="G44" s="397">
        <v>29.768612760021</v>
      </c>
      <c r="H44" s="399">
        <v>17.414000000000001</v>
      </c>
      <c r="I44" s="396">
        <v>37.726999999999997</v>
      </c>
      <c r="J44" s="397">
        <v>7.9583872399780002</v>
      </c>
      <c r="K44" s="400">
        <v>0.21122359258100001</v>
      </c>
    </row>
    <row r="45" spans="1:11" ht="14.4" customHeight="1" thickBot="1" x14ac:dyDescent="0.35">
      <c r="A45" s="417" t="s">
        <v>309</v>
      </c>
      <c r="B45" s="401">
        <v>255.98500559919199</v>
      </c>
      <c r="C45" s="401">
        <v>213.74</v>
      </c>
      <c r="D45" s="402">
        <v>-42.245005599191998</v>
      </c>
      <c r="E45" s="408">
        <v>0.83497078080599996</v>
      </c>
      <c r="F45" s="401">
        <v>178.61167656012799</v>
      </c>
      <c r="G45" s="402">
        <v>29.768612760021</v>
      </c>
      <c r="H45" s="404">
        <v>17.414000000000001</v>
      </c>
      <c r="I45" s="401">
        <v>37.726999999999997</v>
      </c>
      <c r="J45" s="402">
        <v>7.9583872399780002</v>
      </c>
      <c r="K45" s="409">
        <v>0.21122359258100001</v>
      </c>
    </row>
    <row r="46" spans="1:11" ht="14.4" customHeight="1" thickBot="1" x14ac:dyDescent="0.35">
      <c r="A46" s="418" t="s">
        <v>310</v>
      </c>
      <c r="B46" s="396">
        <v>73.803256557899999</v>
      </c>
      <c r="C46" s="396">
        <v>58.587000000000003</v>
      </c>
      <c r="D46" s="397">
        <v>-15.2162565579</v>
      </c>
      <c r="E46" s="398">
        <v>0.793826759582</v>
      </c>
      <c r="F46" s="396">
        <v>56.611680402832</v>
      </c>
      <c r="G46" s="397">
        <v>9.4352800671380006</v>
      </c>
      <c r="H46" s="399">
        <v>4.7640000000000002</v>
      </c>
      <c r="I46" s="396">
        <v>9.9049999999999994</v>
      </c>
      <c r="J46" s="397">
        <v>0.469719932861</v>
      </c>
      <c r="K46" s="400">
        <v>0.174963893131</v>
      </c>
    </row>
    <row r="47" spans="1:11" ht="14.4" customHeight="1" thickBot="1" x14ac:dyDescent="0.35">
      <c r="A47" s="418" t="s">
        <v>311</v>
      </c>
      <c r="B47" s="396">
        <v>78.006303281255001</v>
      </c>
      <c r="C47" s="396">
        <v>66.41</v>
      </c>
      <c r="D47" s="397">
        <v>-11.596303281255</v>
      </c>
      <c r="E47" s="398">
        <v>0.85134145840099995</v>
      </c>
      <c r="F47" s="396">
        <v>27.999999118066999</v>
      </c>
      <c r="G47" s="397">
        <v>4.6666665196770003</v>
      </c>
      <c r="H47" s="399">
        <v>1.9970000000000001</v>
      </c>
      <c r="I47" s="396">
        <v>4.4690000000000003</v>
      </c>
      <c r="J47" s="397">
        <v>-0.197666519677</v>
      </c>
      <c r="K47" s="400">
        <v>0.15960714788399999</v>
      </c>
    </row>
    <row r="48" spans="1:11" ht="14.4" customHeight="1" thickBot="1" x14ac:dyDescent="0.35">
      <c r="A48" s="418" t="s">
        <v>312</v>
      </c>
      <c r="B48" s="396">
        <v>104.175445760036</v>
      </c>
      <c r="C48" s="396">
        <v>88.742999999999995</v>
      </c>
      <c r="D48" s="397">
        <v>-15.432445760036</v>
      </c>
      <c r="E48" s="398">
        <v>0.85186100575299994</v>
      </c>
      <c r="F48" s="396">
        <v>93.999997039228006</v>
      </c>
      <c r="G48" s="397">
        <v>15.666666173204</v>
      </c>
      <c r="H48" s="399">
        <v>10.653</v>
      </c>
      <c r="I48" s="396">
        <v>23.353000000000002</v>
      </c>
      <c r="J48" s="397">
        <v>7.6863338267949999</v>
      </c>
      <c r="K48" s="400">
        <v>0.24843617803699999</v>
      </c>
    </row>
    <row r="49" spans="1:11" ht="14.4" customHeight="1" thickBot="1" x14ac:dyDescent="0.35">
      <c r="A49" s="419" t="s">
        <v>313</v>
      </c>
      <c r="B49" s="401">
        <v>2082.4881862134298</v>
      </c>
      <c r="C49" s="401">
        <v>2180.4342999999999</v>
      </c>
      <c r="D49" s="402">
        <v>97.946113786574003</v>
      </c>
      <c r="E49" s="408">
        <v>1.0470332146100001</v>
      </c>
      <c r="F49" s="401">
        <v>2084.7233807326702</v>
      </c>
      <c r="G49" s="402">
        <v>347.45389678877899</v>
      </c>
      <c r="H49" s="404">
        <v>61.756619999999998</v>
      </c>
      <c r="I49" s="401">
        <v>140.30287000000001</v>
      </c>
      <c r="J49" s="402">
        <v>-207.15102678877801</v>
      </c>
      <c r="K49" s="409">
        <v>6.7300473193000004E-2</v>
      </c>
    </row>
    <row r="50" spans="1:11" ht="14.4" customHeight="1" thickBot="1" x14ac:dyDescent="0.35">
      <c r="A50" s="416" t="s">
        <v>45</v>
      </c>
      <c r="B50" s="396">
        <v>679.88707680600999</v>
      </c>
      <c r="C50" s="396">
        <v>921.14341999999999</v>
      </c>
      <c r="D50" s="397">
        <v>241.25634319399001</v>
      </c>
      <c r="E50" s="398">
        <v>1.354847667244</v>
      </c>
      <c r="F50" s="396">
        <v>907.19417182578798</v>
      </c>
      <c r="G50" s="397">
        <v>151.19902863763099</v>
      </c>
      <c r="H50" s="399">
        <v>5.8246900000000004</v>
      </c>
      <c r="I50" s="396">
        <v>12.12445</v>
      </c>
      <c r="J50" s="397">
        <v>-139.07457863763099</v>
      </c>
      <c r="K50" s="400">
        <v>1.3364779421999999E-2</v>
      </c>
    </row>
    <row r="51" spans="1:11" ht="14.4" customHeight="1" thickBot="1" x14ac:dyDescent="0.35">
      <c r="A51" s="420" t="s">
        <v>314</v>
      </c>
      <c r="B51" s="396">
        <v>679.88707680600999</v>
      </c>
      <c r="C51" s="396">
        <v>921.14341999999999</v>
      </c>
      <c r="D51" s="397">
        <v>241.25634319399001</v>
      </c>
      <c r="E51" s="398">
        <v>1.354847667244</v>
      </c>
      <c r="F51" s="396">
        <v>907.19417182578798</v>
      </c>
      <c r="G51" s="397">
        <v>151.19902863763099</v>
      </c>
      <c r="H51" s="399">
        <v>5.8246900000000004</v>
      </c>
      <c r="I51" s="396">
        <v>12.12445</v>
      </c>
      <c r="J51" s="397">
        <v>-139.07457863763099</v>
      </c>
      <c r="K51" s="400">
        <v>1.3364779421999999E-2</v>
      </c>
    </row>
    <row r="52" spans="1:11" ht="14.4" customHeight="1" thickBot="1" x14ac:dyDescent="0.35">
      <c r="A52" s="418" t="s">
        <v>315</v>
      </c>
      <c r="B52" s="396">
        <v>586.00353261079397</v>
      </c>
      <c r="C52" s="396">
        <v>809.90670999999998</v>
      </c>
      <c r="D52" s="397">
        <v>223.90317738920601</v>
      </c>
      <c r="E52" s="398">
        <v>1.382085030087</v>
      </c>
      <c r="F52" s="396">
        <v>807.61617027596901</v>
      </c>
      <c r="G52" s="397">
        <v>134.60269504599501</v>
      </c>
      <c r="H52" s="399">
        <v>2.5409999999999999</v>
      </c>
      <c r="I52" s="396">
        <v>2.5409999999999999</v>
      </c>
      <c r="J52" s="397">
        <v>-132.06169504599501</v>
      </c>
      <c r="K52" s="400">
        <v>3.1462965860000001E-3</v>
      </c>
    </row>
    <row r="53" spans="1:11" ht="14.4" customHeight="1" thickBot="1" x14ac:dyDescent="0.35">
      <c r="A53" s="418" t="s">
        <v>316</v>
      </c>
      <c r="B53" s="396">
        <v>0</v>
      </c>
      <c r="C53" s="396">
        <v>4.9249999999999998</v>
      </c>
      <c r="D53" s="397">
        <v>4.9249999999999998</v>
      </c>
      <c r="E53" s="406" t="s">
        <v>284</v>
      </c>
      <c r="F53" s="396">
        <v>6.3033006090789998</v>
      </c>
      <c r="G53" s="397">
        <v>1.0505501015130001</v>
      </c>
      <c r="H53" s="399">
        <v>0</v>
      </c>
      <c r="I53" s="396">
        <v>0</v>
      </c>
      <c r="J53" s="397">
        <v>-1.0505501015130001</v>
      </c>
      <c r="K53" s="400">
        <v>0</v>
      </c>
    </row>
    <row r="54" spans="1:11" ht="14.4" customHeight="1" thickBot="1" x14ac:dyDescent="0.35">
      <c r="A54" s="418" t="s">
        <v>317</v>
      </c>
      <c r="B54" s="396">
        <v>0</v>
      </c>
      <c r="C54" s="396">
        <v>4.2446000000000002</v>
      </c>
      <c r="D54" s="397">
        <v>4.2446000000000002</v>
      </c>
      <c r="E54" s="406" t="s">
        <v>284</v>
      </c>
      <c r="F54" s="396">
        <v>4.0010879048519996</v>
      </c>
      <c r="G54" s="397">
        <v>0.66684798414199997</v>
      </c>
      <c r="H54" s="399">
        <v>0</v>
      </c>
      <c r="I54" s="396">
        <v>3.57</v>
      </c>
      <c r="J54" s="397">
        <v>2.9031520158570001</v>
      </c>
      <c r="K54" s="400">
        <v>0.89225732723100004</v>
      </c>
    </row>
    <row r="55" spans="1:11" ht="14.4" customHeight="1" thickBot="1" x14ac:dyDescent="0.35">
      <c r="A55" s="418" t="s">
        <v>318</v>
      </c>
      <c r="B55" s="396">
        <v>54.999907143310999</v>
      </c>
      <c r="C55" s="396">
        <v>47.810650000000003</v>
      </c>
      <c r="D55" s="397">
        <v>-7.189257143311</v>
      </c>
      <c r="E55" s="398">
        <v>0.86928601307300002</v>
      </c>
      <c r="F55" s="396">
        <v>35.999998866086997</v>
      </c>
      <c r="G55" s="397">
        <v>5.9999998110139998</v>
      </c>
      <c r="H55" s="399">
        <v>0</v>
      </c>
      <c r="I55" s="396">
        <v>0</v>
      </c>
      <c r="J55" s="397">
        <v>-5.9999998110139998</v>
      </c>
      <c r="K55" s="400">
        <v>0</v>
      </c>
    </row>
    <row r="56" spans="1:11" ht="14.4" customHeight="1" thickBot="1" x14ac:dyDescent="0.35">
      <c r="A56" s="418" t="s">
        <v>319</v>
      </c>
      <c r="B56" s="396">
        <v>38.883637051904003</v>
      </c>
      <c r="C56" s="396">
        <v>54.256459999999997</v>
      </c>
      <c r="D56" s="397">
        <v>15.372822948094999</v>
      </c>
      <c r="E56" s="398">
        <v>1.395354553062</v>
      </c>
      <c r="F56" s="396">
        <v>53.273614169799004</v>
      </c>
      <c r="G56" s="397">
        <v>8.8789356949659997</v>
      </c>
      <c r="H56" s="399">
        <v>3.28369</v>
      </c>
      <c r="I56" s="396">
        <v>6.0134499999999997</v>
      </c>
      <c r="J56" s="397">
        <v>-2.8654856949659999</v>
      </c>
      <c r="K56" s="400">
        <v>0.112878581521</v>
      </c>
    </row>
    <row r="57" spans="1:11" ht="14.4" customHeight="1" thickBot="1" x14ac:dyDescent="0.35">
      <c r="A57" s="421" t="s">
        <v>46</v>
      </c>
      <c r="B57" s="401">
        <v>0</v>
      </c>
      <c r="C57" s="401">
        <v>201.32900000000001</v>
      </c>
      <c r="D57" s="402">
        <v>201.32900000000001</v>
      </c>
      <c r="E57" s="403" t="s">
        <v>268</v>
      </c>
      <c r="F57" s="401">
        <v>0</v>
      </c>
      <c r="G57" s="402">
        <v>0</v>
      </c>
      <c r="H57" s="404">
        <v>5.2990000000000004</v>
      </c>
      <c r="I57" s="401">
        <v>7.2489999999999997</v>
      </c>
      <c r="J57" s="402">
        <v>7.2489999999999997</v>
      </c>
      <c r="K57" s="405" t="s">
        <v>268</v>
      </c>
    </row>
    <row r="58" spans="1:11" ht="14.4" customHeight="1" thickBot="1" x14ac:dyDescent="0.35">
      <c r="A58" s="417" t="s">
        <v>320</v>
      </c>
      <c r="B58" s="401">
        <v>0</v>
      </c>
      <c r="C58" s="401">
        <v>65.248999999999995</v>
      </c>
      <c r="D58" s="402">
        <v>65.248999999999995</v>
      </c>
      <c r="E58" s="403" t="s">
        <v>268</v>
      </c>
      <c r="F58" s="401">
        <v>0</v>
      </c>
      <c r="G58" s="402">
        <v>0</v>
      </c>
      <c r="H58" s="404">
        <v>5.2990000000000004</v>
      </c>
      <c r="I58" s="401">
        <v>7.2489999999999997</v>
      </c>
      <c r="J58" s="402">
        <v>7.2489999999999997</v>
      </c>
      <c r="K58" s="405" t="s">
        <v>268</v>
      </c>
    </row>
    <row r="59" spans="1:11" ht="14.4" customHeight="1" thickBot="1" x14ac:dyDescent="0.35">
      <c r="A59" s="418" t="s">
        <v>321</v>
      </c>
      <c r="B59" s="396">
        <v>0</v>
      </c>
      <c r="C59" s="396">
        <v>64.448999999999998</v>
      </c>
      <c r="D59" s="397">
        <v>64.448999999999998</v>
      </c>
      <c r="E59" s="406" t="s">
        <v>268</v>
      </c>
      <c r="F59" s="396">
        <v>0</v>
      </c>
      <c r="G59" s="397">
        <v>0</v>
      </c>
      <c r="H59" s="399">
        <v>5.2990000000000004</v>
      </c>
      <c r="I59" s="396">
        <v>7.2489999999999997</v>
      </c>
      <c r="J59" s="397">
        <v>7.2489999999999997</v>
      </c>
      <c r="K59" s="407" t="s">
        <v>268</v>
      </c>
    </row>
    <row r="60" spans="1:11" ht="14.4" customHeight="1" thickBot="1" x14ac:dyDescent="0.35">
      <c r="A60" s="418" t="s">
        <v>322</v>
      </c>
      <c r="B60" s="396">
        <v>0</v>
      </c>
      <c r="C60" s="396">
        <v>0.8</v>
      </c>
      <c r="D60" s="397">
        <v>0.8</v>
      </c>
      <c r="E60" s="406" t="s">
        <v>268</v>
      </c>
      <c r="F60" s="396">
        <v>0</v>
      </c>
      <c r="G60" s="397">
        <v>0</v>
      </c>
      <c r="H60" s="399">
        <v>0</v>
      </c>
      <c r="I60" s="396">
        <v>0</v>
      </c>
      <c r="J60" s="397">
        <v>0</v>
      </c>
      <c r="K60" s="407" t="s">
        <v>268</v>
      </c>
    </row>
    <row r="61" spans="1:11" ht="14.4" customHeight="1" thickBot="1" x14ac:dyDescent="0.35">
      <c r="A61" s="417" t="s">
        <v>323</v>
      </c>
      <c r="B61" s="401">
        <v>0</v>
      </c>
      <c r="C61" s="401">
        <v>136.08000000000001</v>
      </c>
      <c r="D61" s="402">
        <v>136.08000000000001</v>
      </c>
      <c r="E61" s="403" t="s">
        <v>268</v>
      </c>
      <c r="F61" s="401">
        <v>0</v>
      </c>
      <c r="G61" s="402">
        <v>0</v>
      </c>
      <c r="H61" s="404">
        <v>0</v>
      </c>
      <c r="I61" s="401">
        <v>0</v>
      </c>
      <c r="J61" s="402">
        <v>0</v>
      </c>
      <c r="K61" s="405" t="s">
        <v>268</v>
      </c>
    </row>
    <row r="62" spans="1:11" ht="14.4" customHeight="1" thickBot="1" x14ac:dyDescent="0.35">
      <c r="A62" s="418" t="s">
        <v>324</v>
      </c>
      <c r="B62" s="396">
        <v>0</v>
      </c>
      <c r="C62" s="396">
        <v>136.08000000000001</v>
      </c>
      <c r="D62" s="397">
        <v>136.08000000000001</v>
      </c>
      <c r="E62" s="406" t="s">
        <v>268</v>
      </c>
      <c r="F62" s="396">
        <v>0</v>
      </c>
      <c r="G62" s="397">
        <v>0</v>
      </c>
      <c r="H62" s="399">
        <v>0</v>
      </c>
      <c r="I62" s="396">
        <v>0</v>
      </c>
      <c r="J62" s="397">
        <v>0</v>
      </c>
      <c r="K62" s="407" t="s">
        <v>268</v>
      </c>
    </row>
    <row r="63" spans="1:11" ht="14.4" customHeight="1" thickBot="1" x14ac:dyDescent="0.35">
      <c r="A63" s="416" t="s">
        <v>47</v>
      </c>
      <c r="B63" s="396">
        <v>1402.6011094074199</v>
      </c>
      <c r="C63" s="396">
        <v>1057.9618800000001</v>
      </c>
      <c r="D63" s="397">
        <v>-344.63922940741497</v>
      </c>
      <c r="E63" s="398">
        <v>0.754285643226</v>
      </c>
      <c r="F63" s="396">
        <v>1177.5292089068801</v>
      </c>
      <c r="G63" s="397">
        <v>196.25486815114701</v>
      </c>
      <c r="H63" s="399">
        <v>50.632930000000002</v>
      </c>
      <c r="I63" s="396">
        <v>120.92941999999999</v>
      </c>
      <c r="J63" s="397">
        <v>-75.325448151147</v>
      </c>
      <c r="K63" s="400">
        <v>0.10269759687</v>
      </c>
    </row>
    <row r="64" spans="1:11" ht="14.4" customHeight="1" thickBot="1" x14ac:dyDescent="0.35">
      <c r="A64" s="417" t="s">
        <v>325</v>
      </c>
      <c r="B64" s="401">
        <v>22.183714264195</v>
      </c>
      <c r="C64" s="401">
        <v>0.20599999999999999</v>
      </c>
      <c r="D64" s="402">
        <v>-21.977714264195001</v>
      </c>
      <c r="E64" s="408">
        <v>9.2860914780000005E-3</v>
      </c>
      <c r="F64" s="401">
        <v>0.20973774570699999</v>
      </c>
      <c r="G64" s="402">
        <v>3.4956290951000002E-2</v>
      </c>
      <c r="H64" s="404">
        <v>0</v>
      </c>
      <c r="I64" s="401">
        <v>0</v>
      </c>
      <c r="J64" s="402">
        <v>-3.4956290951000002E-2</v>
      </c>
      <c r="K64" s="409">
        <v>0</v>
      </c>
    </row>
    <row r="65" spans="1:11" ht="14.4" customHeight="1" thickBot="1" x14ac:dyDescent="0.35">
      <c r="A65" s="418" t="s">
        <v>326</v>
      </c>
      <c r="B65" s="396">
        <v>22.183714264195</v>
      </c>
      <c r="C65" s="396">
        <v>0.20599999999999999</v>
      </c>
      <c r="D65" s="397">
        <v>-21.977714264195001</v>
      </c>
      <c r="E65" s="398">
        <v>9.2860914780000005E-3</v>
      </c>
      <c r="F65" s="396">
        <v>0.20973774570699999</v>
      </c>
      <c r="G65" s="397">
        <v>3.4956290951000002E-2</v>
      </c>
      <c r="H65" s="399">
        <v>0</v>
      </c>
      <c r="I65" s="396">
        <v>0</v>
      </c>
      <c r="J65" s="397">
        <v>-3.4956290951000002E-2</v>
      </c>
      <c r="K65" s="400">
        <v>0</v>
      </c>
    </row>
    <row r="66" spans="1:11" ht="14.4" customHeight="1" thickBot="1" x14ac:dyDescent="0.35">
      <c r="A66" s="417" t="s">
        <v>327</v>
      </c>
      <c r="B66" s="401">
        <v>80.446835715874002</v>
      </c>
      <c r="C66" s="401">
        <v>56.006900000000002</v>
      </c>
      <c r="D66" s="402">
        <v>-24.439935715874</v>
      </c>
      <c r="E66" s="408">
        <v>0.69619767516700004</v>
      </c>
      <c r="F66" s="401">
        <v>56.540991433949003</v>
      </c>
      <c r="G66" s="402">
        <v>9.4234985723240001</v>
      </c>
      <c r="H66" s="404">
        <v>3.9903900000000001</v>
      </c>
      <c r="I66" s="401">
        <v>3.9995699999999998</v>
      </c>
      <c r="J66" s="402">
        <v>-5.4239285723239998</v>
      </c>
      <c r="K66" s="409">
        <v>7.0737528623999998E-2</v>
      </c>
    </row>
    <row r="67" spans="1:11" ht="14.4" customHeight="1" thickBot="1" x14ac:dyDescent="0.35">
      <c r="A67" s="418" t="s">
        <v>328</v>
      </c>
      <c r="B67" s="396">
        <v>58.251086377274</v>
      </c>
      <c r="C67" s="396">
        <v>38.164499999999997</v>
      </c>
      <c r="D67" s="397">
        <v>-20.086586377273999</v>
      </c>
      <c r="E67" s="398">
        <v>0.65517233022599997</v>
      </c>
      <c r="F67" s="396">
        <v>37.165861453504</v>
      </c>
      <c r="G67" s="397">
        <v>6.1943102422500003</v>
      </c>
      <c r="H67" s="399">
        <v>3.4209999999999998</v>
      </c>
      <c r="I67" s="396">
        <v>3.4209999999999998</v>
      </c>
      <c r="J67" s="397">
        <v>-2.77331024225</v>
      </c>
      <c r="K67" s="400">
        <v>9.2046837236999995E-2</v>
      </c>
    </row>
    <row r="68" spans="1:11" ht="14.4" customHeight="1" thickBot="1" x14ac:dyDescent="0.35">
      <c r="A68" s="418" t="s">
        <v>329</v>
      </c>
      <c r="B68" s="396">
        <v>22.195749338599999</v>
      </c>
      <c r="C68" s="396">
        <v>17.842400000000001</v>
      </c>
      <c r="D68" s="397">
        <v>-4.3533493386000002</v>
      </c>
      <c r="E68" s="398">
        <v>0.80386562885500001</v>
      </c>
      <c r="F68" s="396">
        <v>19.375129980444999</v>
      </c>
      <c r="G68" s="397">
        <v>3.2291883300739999</v>
      </c>
      <c r="H68" s="399">
        <v>0.56938999999999995</v>
      </c>
      <c r="I68" s="396">
        <v>0.57857000000000003</v>
      </c>
      <c r="J68" s="397">
        <v>-2.6506183300739998</v>
      </c>
      <c r="K68" s="400">
        <v>2.9861477088000001E-2</v>
      </c>
    </row>
    <row r="69" spans="1:11" ht="14.4" customHeight="1" thickBot="1" x14ac:dyDescent="0.35">
      <c r="A69" s="417" t="s">
        <v>330</v>
      </c>
      <c r="B69" s="401">
        <v>29.441547892029</v>
      </c>
      <c r="C69" s="401">
        <v>37.290289999999999</v>
      </c>
      <c r="D69" s="402">
        <v>7.8487421079709998</v>
      </c>
      <c r="E69" s="408">
        <v>1.2665872778409999</v>
      </c>
      <c r="F69" s="401">
        <v>22.000411616270998</v>
      </c>
      <c r="G69" s="402">
        <v>3.666735269378</v>
      </c>
      <c r="H69" s="404">
        <v>0</v>
      </c>
      <c r="I69" s="401">
        <v>27.536850000000001</v>
      </c>
      <c r="J69" s="402">
        <v>23.870114730621001</v>
      </c>
      <c r="K69" s="409">
        <v>1.2516515818109999</v>
      </c>
    </row>
    <row r="70" spans="1:11" ht="14.4" customHeight="1" thickBot="1" x14ac:dyDescent="0.35">
      <c r="A70" s="418" t="s">
        <v>331</v>
      </c>
      <c r="B70" s="396">
        <v>4.678425385862</v>
      </c>
      <c r="C70" s="396">
        <v>4.32</v>
      </c>
      <c r="D70" s="397">
        <v>-0.35842538586200001</v>
      </c>
      <c r="E70" s="398">
        <v>0.92338760238700002</v>
      </c>
      <c r="F70" s="396">
        <v>3.0004122147249999</v>
      </c>
      <c r="G70" s="397">
        <v>0.50006870245400004</v>
      </c>
      <c r="H70" s="399">
        <v>0</v>
      </c>
      <c r="I70" s="396">
        <v>0.67500000000000004</v>
      </c>
      <c r="J70" s="397">
        <v>0.174931297545</v>
      </c>
      <c r="K70" s="400">
        <v>0.22496908814300001</v>
      </c>
    </row>
    <row r="71" spans="1:11" ht="14.4" customHeight="1" thickBot="1" x14ac:dyDescent="0.35">
      <c r="A71" s="418" t="s">
        <v>332</v>
      </c>
      <c r="B71" s="396">
        <v>24.763122506165999</v>
      </c>
      <c r="C71" s="396">
        <v>32.970289999999999</v>
      </c>
      <c r="D71" s="397">
        <v>8.2071674938329995</v>
      </c>
      <c r="E71" s="398">
        <v>1.3314270036739999</v>
      </c>
      <c r="F71" s="396">
        <v>18.999999401545001</v>
      </c>
      <c r="G71" s="397">
        <v>3.1666665669239999</v>
      </c>
      <c r="H71" s="399">
        <v>0</v>
      </c>
      <c r="I71" s="396">
        <v>26.86185</v>
      </c>
      <c r="J71" s="397">
        <v>23.695183433075002</v>
      </c>
      <c r="K71" s="400">
        <v>1.4137816234780001</v>
      </c>
    </row>
    <row r="72" spans="1:11" ht="14.4" customHeight="1" thickBot="1" x14ac:dyDescent="0.35">
      <c r="A72" s="417" t="s">
        <v>333</v>
      </c>
      <c r="B72" s="401">
        <v>353.36730038098898</v>
      </c>
      <c r="C72" s="401">
        <v>319.05781999999999</v>
      </c>
      <c r="D72" s="402">
        <v>-34.309480380989001</v>
      </c>
      <c r="E72" s="408">
        <v>0.90290703088799995</v>
      </c>
      <c r="F72" s="401">
        <v>339.53962240085599</v>
      </c>
      <c r="G72" s="402">
        <v>56.589937066809</v>
      </c>
      <c r="H72" s="404">
        <v>21.360690000000002</v>
      </c>
      <c r="I72" s="401">
        <v>42.901249999999997</v>
      </c>
      <c r="J72" s="402">
        <v>-13.688687066809001</v>
      </c>
      <c r="K72" s="409">
        <v>0.12635123316800001</v>
      </c>
    </row>
    <row r="73" spans="1:11" ht="14.4" customHeight="1" thickBot="1" x14ac:dyDescent="0.35">
      <c r="A73" s="418" t="s">
        <v>334</v>
      </c>
      <c r="B73" s="396">
        <v>320.08345529921701</v>
      </c>
      <c r="C73" s="396">
        <v>280.51175000000001</v>
      </c>
      <c r="D73" s="397">
        <v>-39.571705299217001</v>
      </c>
      <c r="E73" s="398">
        <v>0.87637066320000001</v>
      </c>
      <c r="F73" s="396">
        <v>300.521922908634</v>
      </c>
      <c r="G73" s="397">
        <v>50.086987151438997</v>
      </c>
      <c r="H73" s="399">
        <v>18.597670000000001</v>
      </c>
      <c r="I73" s="396">
        <v>37.195340000000002</v>
      </c>
      <c r="J73" s="397">
        <v>-12.891647151439001</v>
      </c>
      <c r="K73" s="400">
        <v>0.123769140167</v>
      </c>
    </row>
    <row r="74" spans="1:11" ht="14.4" customHeight="1" thickBot="1" x14ac:dyDescent="0.35">
      <c r="A74" s="418" t="s">
        <v>335</v>
      </c>
      <c r="B74" s="396">
        <v>0.31176629998099997</v>
      </c>
      <c r="C74" s="396">
        <v>1.637</v>
      </c>
      <c r="D74" s="397">
        <v>1.3252337000179999</v>
      </c>
      <c r="E74" s="398">
        <v>5.2507278692300003</v>
      </c>
      <c r="F74" s="396">
        <v>1.6778072749749999</v>
      </c>
      <c r="G74" s="397">
        <v>0.27963454582899999</v>
      </c>
      <c r="H74" s="399">
        <v>0</v>
      </c>
      <c r="I74" s="396">
        <v>0</v>
      </c>
      <c r="J74" s="397">
        <v>-0.27963454582899999</v>
      </c>
      <c r="K74" s="400">
        <v>0</v>
      </c>
    </row>
    <row r="75" spans="1:11" ht="14.4" customHeight="1" thickBot="1" x14ac:dyDescent="0.35">
      <c r="A75" s="418" t="s">
        <v>336</v>
      </c>
      <c r="B75" s="396">
        <v>32.972078781790003</v>
      </c>
      <c r="C75" s="396">
        <v>36.90907</v>
      </c>
      <c r="D75" s="397">
        <v>3.9369912182090001</v>
      </c>
      <c r="E75" s="398">
        <v>1.1194037914399999</v>
      </c>
      <c r="F75" s="396">
        <v>37.339892217246003</v>
      </c>
      <c r="G75" s="397">
        <v>6.223315369541</v>
      </c>
      <c r="H75" s="399">
        <v>2.76302</v>
      </c>
      <c r="I75" s="396">
        <v>5.7059100000000003</v>
      </c>
      <c r="J75" s="397">
        <v>-0.51740536954100003</v>
      </c>
      <c r="K75" s="400">
        <v>0.152810028663</v>
      </c>
    </row>
    <row r="76" spans="1:11" ht="14.4" customHeight="1" thickBot="1" x14ac:dyDescent="0.35">
      <c r="A76" s="417" t="s">
        <v>337</v>
      </c>
      <c r="B76" s="401">
        <v>717.16171115433099</v>
      </c>
      <c r="C76" s="401">
        <v>607.89778000000001</v>
      </c>
      <c r="D76" s="402">
        <v>-109.263931154331</v>
      </c>
      <c r="E76" s="408">
        <v>0.84764394214700001</v>
      </c>
      <c r="F76" s="401">
        <v>569.238451694638</v>
      </c>
      <c r="G76" s="402">
        <v>94.873075282439004</v>
      </c>
      <c r="H76" s="404">
        <v>24.024850000000001</v>
      </c>
      <c r="I76" s="401">
        <v>45.234749999999998</v>
      </c>
      <c r="J76" s="402">
        <v>-49.638325282438998</v>
      </c>
      <c r="K76" s="409">
        <v>7.9465380220000006E-2</v>
      </c>
    </row>
    <row r="77" spans="1:11" ht="14.4" customHeight="1" thickBot="1" x14ac:dyDescent="0.35">
      <c r="A77" s="418" t="s">
        <v>338</v>
      </c>
      <c r="B77" s="396">
        <v>0</v>
      </c>
      <c r="C77" s="396">
        <v>0</v>
      </c>
      <c r="D77" s="397">
        <v>0</v>
      </c>
      <c r="E77" s="398">
        <v>1</v>
      </c>
      <c r="F77" s="396">
        <v>0</v>
      </c>
      <c r="G77" s="397">
        <v>0</v>
      </c>
      <c r="H77" s="399">
        <v>0</v>
      </c>
      <c r="I77" s="396">
        <v>19.54</v>
      </c>
      <c r="J77" s="397">
        <v>19.54</v>
      </c>
      <c r="K77" s="407" t="s">
        <v>284</v>
      </c>
    </row>
    <row r="78" spans="1:11" ht="14.4" customHeight="1" thickBot="1" x14ac:dyDescent="0.35">
      <c r="A78" s="418" t="s">
        <v>339</v>
      </c>
      <c r="B78" s="396">
        <v>527.64078254500305</v>
      </c>
      <c r="C78" s="396">
        <v>389.12099000000001</v>
      </c>
      <c r="D78" s="397">
        <v>-138.51979254500301</v>
      </c>
      <c r="E78" s="398">
        <v>0.737473301671</v>
      </c>
      <c r="F78" s="396">
        <v>325.21709860875001</v>
      </c>
      <c r="G78" s="397">
        <v>54.202849768124999</v>
      </c>
      <c r="H78" s="399">
        <v>24.024850000000001</v>
      </c>
      <c r="I78" s="396">
        <v>24.496849999999998</v>
      </c>
      <c r="J78" s="397">
        <v>-29.705999768123998</v>
      </c>
      <c r="K78" s="400">
        <v>7.5324606562000004E-2</v>
      </c>
    </row>
    <row r="79" spans="1:11" ht="14.4" customHeight="1" thickBot="1" x14ac:dyDescent="0.35">
      <c r="A79" s="418" t="s">
        <v>340</v>
      </c>
      <c r="B79" s="396">
        <v>29.010568085477001</v>
      </c>
      <c r="C79" s="396">
        <v>40.023000000000003</v>
      </c>
      <c r="D79" s="397">
        <v>11.012431914522001</v>
      </c>
      <c r="E79" s="398">
        <v>1.379600698685</v>
      </c>
      <c r="F79" s="396">
        <v>31.999998992077</v>
      </c>
      <c r="G79" s="397">
        <v>5.3333331653459997</v>
      </c>
      <c r="H79" s="399">
        <v>0</v>
      </c>
      <c r="I79" s="396">
        <v>1.1979</v>
      </c>
      <c r="J79" s="397">
        <v>-4.1354331653459999</v>
      </c>
      <c r="K79" s="400">
        <v>3.7434376179000001E-2</v>
      </c>
    </row>
    <row r="80" spans="1:11" ht="14.4" customHeight="1" thickBot="1" x14ac:dyDescent="0.35">
      <c r="A80" s="418" t="s">
        <v>341</v>
      </c>
      <c r="B80" s="396">
        <v>158.837481986006</v>
      </c>
      <c r="C80" s="396">
        <v>178.18993</v>
      </c>
      <c r="D80" s="397">
        <v>19.352448013993001</v>
      </c>
      <c r="E80" s="398">
        <v>1.121838043338</v>
      </c>
      <c r="F80" s="396">
        <v>210.09022643611701</v>
      </c>
      <c r="G80" s="397">
        <v>35.015037739352003</v>
      </c>
      <c r="H80" s="399">
        <v>0</v>
      </c>
      <c r="I80" s="396">
        <v>0</v>
      </c>
      <c r="J80" s="397">
        <v>-35.015037739352003</v>
      </c>
      <c r="K80" s="400">
        <v>0</v>
      </c>
    </row>
    <row r="81" spans="1:11" ht="14.4" customHeight="1" thickBot="1" x14ac:dyDescent="0.35">
      <c r="A81" s="418" t="s">
        <v>342</v>
      </c>
      <c r="B81" s="396">
        <v>1.6728785378440001</v>
      </c>
      <c r="C81" s="396">
        <v>0.56386000000000003</v>
      </c>
      <c r="D81" s="397">
        <v>-1.1090185378440001</v>
      </c>
      <c r="E81" s="398">
        <v>0.33705973700000003</v>
      </c>
      <c r="F81" s="396">
        <v>1.9311276576930001</v>
      </c>
      <c r="G81" s="397">
        <v>0.32185460961500001</v>
      </c>
      <c r="H81" s="399">
        <v>0</v>
      </c>
      <c r="I81" s="396">
        <v>0</v>
      </c>
      <c r="J81" s="397">
        <v>-0.32185460961500001</v>
      </c>
      <c r="K81" s="400">
        <v>0</v>
      </c>
    </row>
    <row r="82" spans="1:11" ht="14.4" customHeight="1" thickBot="1" x14ac:dyDescent="0.35">
      <c r="A82" s="417" t="s">
        <v>343</v>
      </c>
      <c r="B82" s="401">
        <v>199.99999999999699</v>
      </c>
      <c r="C82" s="401">
        <v>37.50309</v>
      </c>
      <c r="D82" s="402">
        <v>-162.49690999999601</v>
      </c>
      <c r="E82" s="408">
        <v>0.18751545</v>
      </c>
      <c r="F82" s="401">
        <v>189.99999401546</v>
      </c>
      <c r="G82" s="402">
        <v>31.666665669242999</v>
      </c>
      <c r="H82" s="404">
        <v>1.2569999999999999</v>
      </c>
      <c r="I82" s="401">
        <v>1.2569999999999999</v>
      </c>
      <c r="J82" s="402">
        <v>-30.409665669243001</v>
      </c>
      <c r="K82" s="409">
        <v>6.6157896820000003E-3</v>
      </c>
    </row>
    <row r="83" spans="1:11" ht="14.4" customHeight="1" thickBot="1" x14ac:dyDescent="0.35">
      <c r="A83" s="418" t="s">
        <v>344</v>
      </c>
      <c r="B83" s="396">
        <v>149.99999999999699</v>
      </c>
      <c r="C83" s="396">
        <v>37.50309</v>
      </c>
      <c r="D83" s="397">
        <v>-112.496909999997</v>
      </c>
      <c r="E83" s="398">
        <v>0.25002059999999998</v>
      </c>
      <c r="F83" s="396">
        <v>99.999996850241999</v>
      </c>
      <c r="G83" s="397">
        <v>16.666666141707001</v>
      </c>
      <c r="H83" s="399">
        <v>0</v>
      </c>
      <c r="I83" s="396">
        <v>0</v>
      </c>
      <c r="J83" s="397">
        <v>-16.666666141707001</v>
      </c>
      <c r="K83" s="400">
        <v>0</v>
      </c>
    </row>
    <row r="84" spans="1:11" ht="14.4" customHeight="1" thickBot="1" x14ac:dyDescent="0.35">
      <c r="A84" s="418" t="s">
        <v>345</v>
      </c>
      <c r="B84" s="396">
        <v>49.999999999998998</v>
      </c>
      <c r="C84" s="396">
        <v>0</v>
      </c>
      <c r="D84" s="397">
        <v>-49.999999999998998</v>
      </c>
      <c r="E84" s="398">
        <v>0</v>
      </c>
      <c r="F84" s="396">
        <v>89.999997165218005</v>
      </c>
      <c r="G84" s="397">
        <v>14.999999527536</v>
      </c>
      <c r="H84" s="399">
        <v>1.2569999999999999</v>
      </c>
      <c r="I84" s="396">
        <v>1.2569999999999999</v>
      </c>
      <c r="J84" s="397">
        <v>-13.742999527536</v>
      </c>
      <c r="K84" s="400">
        <v>1.3966667106000001E-2</v>
      </c>
    </row>
    <row r="85" spans="1:11" ht="14.4" customHeight="1" thickBot="1" x14ac:dyDescent="0.35">
      <c r="A85" s="415" t="s">
        <v>48</v>
      </c>
      <c r="B85" s="396">
        <v>15104.0746745999</v>
      </c>
      <c r="C85" s="396">
        <v>14736.4894</v>
      </c>
      <c r="D85" s="397">
        <v>-367.58527459994201</v>
      </c>
      <c r="E85" s="398">
        <v>0.97566317152600002</v>
      </c>
      <c r="F85" s="396">
        <v>14899.9995306861</v>
      </c>
      <c r="G85" s="397">
        <v>2483.3332551143499</v>
      </c>
      <c r="H85" s="399">
        <v>967.26783000000296</v>
      </c>
      <c r="I85" s="396">
        <v>1922.0491</v>
      </c>
      <c r="J85" s="397">
        <v>-561.28415511435105</v>
      </c>
      <c r="K85" s="400">
        <v>0.12899658795499999</v>
      </c>
    </row>
    <row r="86" spans="1:11" ht="14.4" customHeight="1" thickBot="1" x14ac:dyDescent="0.35">
      <c r="A86" s="421" t="s">
        <v>346</v>
      </c>
      <c r="B86" s="401">
        <v>11196.9999999998</v>
      </c>
      <c r="C86" s="401">
        <v>10938.906999999999</v>
      </c>
      <c r="D86" s="402">
        <v>-258.09299999979299</v>
      </c>
      <c r="E86" s="408">
        <v>0.976949807984</v>
      </c>
      <c r="F86" s="401">
        <v>11048.9996519833</v>
      </c>
      <c r="G86" s="402">
        <v>1841.49994199721</v>
      </c>
      <c r="H86" s="404">
        <v>716.68400000000202</v>
      </c>
      <c r="I86" s="401">
        <v>1425.5319999999999</v>
      </c>
      <c r="J86" s="402">
        <v>-415.96794199721199</v>
      </c>
      <c r="K86" s="409">
        <v>0.129019100814</v>
      </c>
    </row>
    <row r="87" spans="1:11" ht="14.4" customHeight="1" thickBot="1" x14ac:dyDescent="0.35">
      <c r="A87" s="417" t="s">
        <v>347</v>
      </c>
      <c r="B87" s="401">
        <v>11160.9999999998</v>
      </c>
      <c r="C87" s="401">
        <v>10912.656000000001</v>
      </c>
      <c r="D87" s="402">
        <v>-248.34399999979399</v>
      </c>
      <c r="E87" s="408">
        <v>0.97774894722600003</v>
      </c>
      <c r="F87" s="401">
        <v>10999.9996535267</v>
      </c>
      <c r="G87" s="402">
        <v>1833.33327558778</v>
      </c>
      <c r="H87" s="404">
        <v>715.92800000000204</v>
      </c>
      <c r="I87" s="401">
        <v>1418.3989999999999</v>
      </c>
      <c r="J87" s="402">
        <v>-414.93427558777501</v>
      </c>
      <c r="K87" s="409">
        <v>0.12894536769699999</v>
      </c>
    </row>
    <row r="88" spans="1:11" ht="14.4" customHeight="1" thickBot="1" x14ac:dyDescent="0.35">
      <c r="A88" s="418" t="s">
        <v>348</v>
      </c>
      <c r="B88" s="396">
        <v>11160.9999999998</v>
      </c>
      <c r="C88" s="396">
        <v>10912.656000000001</v>
      </c>
      <c r="D88" s="397">
        <v>-248.34399999979399</v>
      </c>
      <c r="E88" s="398">
        <v>0.97774894722600003</v>
      </c>
      <c r="F88" s="396">
        <v>10999.9996535267</v>
      </c>
      <c r="G88" s="397">
        <v>1833.33327558778</v>
      </c>
      <c r="H88" s="399">
        <v>715.92800000000204</v>
      </c>
      <c r="I88" s="396">
        <v>1418.3989999999999</v>
      </c>
      <c r="J88" s="397">
        <v>-414.93427558777501</v>
      </c>
      <c r="K88" s="400">
        <v>0.12894536769699999</v>
      </c>
    </row>
    <row r="89" spans="1:11" ht="14.4" customHeight="1" thickBot="1" x14ac:dyDescent="0.35">
      <c r="A89" s="417" t="s">
        <v>349</v>
      </c>
      <c r="B89" s="401">
        <v>0</v>
      </c>
      <c r="C89" s="401">
        <v>12.4</v>
      </c>
      <c r="D89" s="402">
        <v>12.4</v>
      </c>
      <c r="E89" s="403" t="s">
        <v>268</v>
      </c>
      <c r="F89" s="401">
        <v>14.999999527536</v>
      </c>
      <c r="G89" s="402">
        <v>2.4999999212559998</v>
      </c>
      <c r="H89" s="404">
        <v>0</v>
      </c>
      <c r="I89" s="401">
        <v>0</v>
      </c>
      <c r="J89" s="402">
        <v>-2.4999999212559998</v>
      </c>
      <c r="K89" s="409">
        <v>0</v>
      </c>
    </row>
    <row r="90" spans="1:11" ht="14.4" customHeight="1" thickBot="1" x14ac:dyDescent="0.35">
      <c r="A90" s="418" t="s">
        <v>350</v>
      </c>
      <c r="B90" s="396">
        <v>0</v>
      </c>
      <c r="C90" s="396">
        <v>12.4</v>
      </c>
      <c r="D90" s="397">
        <v>12.4</v>
      </c>
      <c r="E90" s="406" t="s">
        <v>268</v>
      </c>
      <c r="F90" s="396">
        <v>14.999999527536</v>
      </c>
      <c r="G90" s="397">
        <v>2.4999999212559998</v>
      </c>
      <c r="H90" s="399">
        <v>0</v>
      </c>
      <c r="I90" s="396">
        <v>0</v>
      </c>
      <c r="J90" s="397">
        <v>-2.4999999212559998</v>
      </c>
      <c r="K90" s="400">
        <v>0</v>
      </c>
    </row>
    <row r="91" spans="1:11" ht="14.4" customHeight="1" thickBot="1" x14ac:dyDescent="0.35">
      <c r="A91" s="417" t="s">
        <v>351</v>
      </c>
      <c r="B91" s="401">
        <v>35.999999999998998</v>
      </c>
      <c r="C91" s="401">
        <v>13.851000000000001</v>
      </c>
      <c r="D91" s="402">
        <v>-22.148999999998999</v>
      </c>
      <c r="E91" s="408">
        <v>0.38474999999999998</v>
      </c>
      <c r="F91" s="401">
        <v>33.999998929081997</v>
      </c>
      <c r="G91" s="402">
        <v>5.6666664881799997</v>
      </c>
      <c r="H91" s="404">
        <v>0.75600000000000001</v>
      </c>
      <c r="I91" s="401">
        <v>7.133</v>
      </c>
      <c r="J91" s="402">
        <v>1.466333511819</v>
      </c>
      <c r="K91" s="409">
        <v>0.20979412425499999</v>
      </c>
    </row>
    <row r="92" spans="1:11" ht="14.4" customHeight="1" thickBot="1" x14ac:dyDescent="0.35">
      <c r="A92" s="418" t="s">
        <v>352</v>
      </c>
      <c r="B92" s="396">
        <v>35.999999999998998</v>
      </c>
      <c r="C92" s="396">
        <v>13.851000000000001</v>
      </c>
      <c r="D92" s="397">
        <v>-22.148999999998999</v>
      </c>
      <c r="E92" s="398">
        <v>0.38474999999999998</v>
      </c>
      <c r="F92" s="396">
        <v>33.999998929081997</v>
      </c>
      <c r="G92" s="397">
        <v>5.6666664881799997</v>
      </c>
      <c r="H92" s="399">
        <v>0.75600000000000001</v>
      </c>
      <c r="I92" s="396">
        <v>7.133</v>
      </c>
      <c r="J92" s="397">
        <v>1.466333511819</v>
      </c>
      <c r="K92" s="400">
        <v>0.20979412425499999</v>
      </c>
    </row>
    <row r="93" spans="1:11" ht="14.4" customHeight="1" thickBot="1" x14ac:dyDescent="0.35">
      <c r="A93" s="416" t="s">
        <v>353</v>
      </c>
      <c r="B93" s="396">
        <v>3795.07467460015</v>
      </c>
      <c r="C93" s="396">
        <v>3688.2677800000001</v>
      </c>
      <c r="D93" s="397">
        <v>-106.80689460015</v>
      </c>
      <c r="E93" s="398">
        <v>0.971856444534</v>
      </c>
      <c r="F93" s="396">
        <v>3740.9998821675699</v>
      </c>
      <c r="G93" s="397">
        <v>623.49998036126101</v>
      </c>
      <c r="H93" s="399">
        <v>243.417000000001</v>
      </c>
      <c r="I93" s="396">
        <v>482.26115000000101</v>
      </c>
      <c r="J93" s="397">
        <v>-141.23883036126099</v>
      </c>
      <c r="K93" s="400">
        <v>0.128912367064</v>
      </c>
    </row>
    <row r="94" spans="1:11" ht="14.4" customHeight="1" thickBot="1" x14ac:dyDescent="0.35">
      <c r="A94" s="417" t="s">
        <v>354</v>
      </c>
      <c r="B94" s="401">
        <v>1004.07467460021</v>
      </c>
      <c r="C94" s="401">
        <v>982.43313000000001</v>
      </c>
      <c r="D94" s="402">
        <v>-21.641544600206</v>
      </c>
      <c r="E94" s="408">
        <v>0.97844627979599996</v>
      </c>
      <c r="F94" s="401">
        <v>990.99996878590196</v>
      </c>
      <c r="G94" s="402">
        <v>165.166661464317</v>
      </c>
      <c r="H94" s="404">
        <v>64.435000000000002</v>
      </c>
      <c r="I94" s="401">
        <v>127.6614</v>
      </c>
      <c r="J94" s="402">
        <v>-37.505261464316</v>
      </c>
      <c r="K94" s="409">
        <v>0.12882079114100001</v>
      </c>
    </row>
    <row r="95" spans="1:11" ht="14.4" customHeight="1" thickBot="1" x14ac:dyDescent="0.35">
      <c r="A95" s="418" t="s">
        <v>355</v>
      </c>
      <c r="B95" s="396">
        <v>1004.07467460021</v>
      </c>
      <c r="C95" s="396">
        <v>982.43313000000001</v>
      </c>
      <c r="D95" s="397">
        <v>-21.641544600206</v>
      </c>
      <c r="E95" s="398">
        <v>0.97844627979599996</v>
      </c>
      <c r="F95" s="396">
        <v>990.99996878590196</v>
      </c>
      <c r="G95" s="397">
        <v>165.166661464317</v>
      </c>
      <c r="H95" s="399">
        <v>64.435000000000002</v>
      </c>
      <c r="I95" s="396">
        <v>127.6614</v>
      </c>
      <c r="J95" s="397">
        <v>-37.505261464316</v>
      </c>
      <c r="K95" s="400">
        <v>0.12882079114100001</v>
      </c>
    </row>
    <row r="96" spans="1:11" ht="14.4" customHeight="1" thickBot="1" x14ac:dyDescent="0.35">
      <c r="A96" s="417" t="s">
        <v>356</v>
      </c>
      <c r="B96" s="401">
        <v>2790.99999999994</v>
      </c>
      <c r="C96" s="401">
        <v>2705.8346499999998</v>
      </c>
      <c r="D96" s="402">
        <v>-85.165349999941995</v>
      </c>
      <c r="E96" s="408">
        <v>0.96948572196299998</v>
      </c>
      <c r="F96" s="401">
        <v>2749.99991338167</v>
      </c>
      <c r="G96" s="402">
        <v>458.33331889694398</v>
      </c>
      <c r="H96" s="404">
        <v>178.982</v>
      </c>
      <c r="I96" s="401">
        <v>354.59974999999997</v>
      </c>
      <c r="J96" s="402">
        <v>-103.73356889694401</v>
      </c>
      <c r="K96" s="409">
        <v>0.12894536769699999</v>
      </c>
    </row>
    <row r="97" spans="1:11" ht="14.4" customHeight="1" thickBot="1" x14ac:dyDescent="0.35">
      <c r="A97" s="418" t="s">
        <v>357</v>
      </c>
      <c r="B97" s="396">
        <v>2790.99999999994</v>
      </c>
      <c r="C97" s="396">
        <v>2705.8346499999998</v>
      </c>
      <c r="D97" s="397">
        <v>-85.165349999941995</v>
      </c>
      <c r="E97" s="398">
        <v>0.96948572196299998</v>
      </c>
      <c r="F97" s="396">
        <v>2749.99991338167</v>
      </c>
      <c r="G97" s="397">
        <v>458.33331889694398</v>
      </c>
      <c r="H97" s="399">
        <v>178.982</v>
      </c>
      <c r="I97" s="396">
        <v>354.59974999999997</v>
      </c>
      <c r="J97" s="397">
        <v>-103.73356889694401</v>
      </c>
      <c r="K97" s="400">
        <v>0.12894536769699999</v>
      </c>
    </row>
    <row r="98" spans="1:11" ht="14.4" customHeight="1" thickBot="1" x14ac:dyDescent="0.35">
      <c r="A98" s="416" t="s">
        <v>358</v>
      </c>
      <c r="B98" s="396">
        <v>111.999999999998</v>
      </c>
      <c r="C98" s="396">
        <v>109.31462000000001</v>
      </c>
      <c r="D98" s="397">
        <v>-2.6853799999970001</v>
      </c>
      <c r="E98" s="398">
        <v>0.97602339285700002</v>
      </c>
      <c r="F98" s="396">
        <v>109.999996535267</v>
      </c>
      <c r="G98" s="397">
        <v>18.333332755876999</v>
      </c>
      <c r="H98" s="399">
        <v>7.16683</v>
      </c>
      <c r="I98" s="396">
        <v>14.25595</v>
      </c>
      <c r="J98" s="397">
        <v>-4.0773827558770002</v>
      </c>
      <c r="K98" s="400">
        <v>0.129599549536</v>
      </c>
    </row>
    <row r="99" spans="1:11" ht="14.4" customHeight="1" thickBot="1" x14ac:dyDescent="0.35">
      <c r="A99" s="417" t="s">
        <v>359</v>
      </c>
      <c r="B99" s="401">
        <v>111.999999999998</v>
      </c>
      <c r="C99" s="401">
        <v>109.31462000000001</v>
      </c>
      <c r="D99" s="402">
        <v>-2.6853799999970001</v>
      </c>
      <c r="E99" s="408">
        <v>0.97602339285700002</v>
      </c>
      <c r="F99" s="401">
        <v>109.999996535267</v>
      </c>
      <c r="G99" s="402">
        <v>18.333332755876999</v>
      </c>
      <c r="H99" s="404">
        <v>7.16683</v>
      </c>
      <c r="I99" s="401">
        <v>14.25595</v>
      </c>
      <c r="J99" s="402">
        <v>-4.0773827558770002</v>
      </c>
      <c r="K99" s="409">
        <v>0.129599549536</v>
      </c>
    </row>
    <row r="100" spans="1:11" ht="14.4" customHeight="1" thickBot="1" x14ac:dyDescent="0.35">
      <c r="A100" s="418" t="s">
        <v>360</v>
      </c>
      <c r="B100" s="396">
        <v>111.999999999998</v>
      </c>
      <c r="C100" s="396">
        <v>109.31462000000001</v>
      </c>
      <c r="D100" s="397">
        <v>-2.6853799999970001</v>
      </c>
      <c r="E100" s="398">
        <v>0.97602339285700002</v>
      </c>
      <c r="F100" s="396">
        <v>109.999996535267</v>
      </c>
      <c r="G100" s="397">
        <v>18.333332755876999</v>
      </c>
      <c r="H100" s="399">
        <v>7.16683</v>
      </c>
      <c r="I100" s="396">
        <v>14.25595</v>
      </c>
      <c r="J100" s="397">
        <v>-4.0773827558770002</v>
      </c>
      <c r="K100" s="400">
        <v>0.129599549536</v>
      </c>
    </row>
    <row r="101" spans="1:11" ht="14.4" customHeight="1" thickBot="1" x14ac:dyDescent="0.35">
      <c r="A101" s="415" t="s">
        <v>361</v>
      </c>
      <c r="B101" s="396">
        <v>0</v>
      </c>
      <c r="C101" s="396">
        <v>182.87844000000001</v>
      </c>
      <c r="D101" s="397">
        <v>182.87844000000001</v>
      </c>
      <c r="E101" s="406" t="s">
        <v>268</v>
      </c>
      <c r="F101" s="396">
        <v>0</v>
      </c>
      <c r="G101" s="397">
        <v>0</v>
      </c>
      <c r="H101" s="399">
        <v>4.7789999999999999</v>
      </c>
      <c r="I101" s="396">
        <v>7.7789999999999999</v>
      </c>
      <c r="J101" s="397">
        <v>7.7789999999999999</v>
      </c>
      <c r="K101" s="407" t="s">
        <v>268</v>
      </c>
    </row>
    <row r="102" spans="1:11" ht="14.4" customHeight="1" thickBot="1" x14ac:dyDescent="0.35">
      <c r="A102" s="416" t="s">
        <v>362</v>
      </c>
      <c r="B102" s="396">
        <v>0</v>
      </c>
      <c r="C102" s="396">
        <v>182.87844000000001</v>
      </c>
      <c r="D102" s="397">
        <v>182.87844000000001</v>
      </c>
      <c r="E102" s="406" t="s">
        <v>268</v>
      </c>
      <c r="F102" s="396">
        <v>0</v>
      </c>
      <c r="G102" s="397">
        <v>0</v>
      </c>
      <c r="H102" s="399">
        <v>4.7789999999999999</v>
      </c>
      <c r="I102" s="396">
        <v>7.7789999999999999</v>
      </c>
      <c r="J102" s="397">
        <v>7.7789999999999999</v>
      </c>
      <c r="K102" s="407" t="s">
        <v>268</v>
      </c>
    </row>
    <row r="103" spans="1:11" ht="14.4" customHeight="1" thickBot="1" x14ac:dyDescent="0.35">
      <c r="A103" s="417" t="s">
        <v>363</v>
      </c>
      <c r="B103" s="401">
        <v>0</v>
      </c>
      <c r="C103" s="401">
        <v>111.54331999999999</v>
      </c>
      <c r="D103" s="402">
        <v>111.54331999999999</v>
      </c>
      <c r="E103" s="403" t="s">
        <v>268</v>
      </c>
      <c r="F103" s="401">
        <v>0</v>
      </c>
      <c r="G103" s="402">
        <v>0</v>
      </c>
      <c r="H103" s="404">
        <v>4.0789999999999997</v>
      </c>
      <c r="I103" s="401">
        <v>7.0789999999999997</v>
      </c>
      <c r="J103" s="402">
        <v>7.0789999999999997</v>
      </c>
      <c r="K103" s="405" t="s">
        <v>268</v>
      </c>
    </row>
    <row r="104" spans="1:11" ht="14.4" customHeight="1" thickBot="1" x14ac:dyDescent="0.35">
      <c r="A104" s="418" t="s">
        <v>364</v>
      </c>
      <c r="B104" s="396">
        <v>0</v>
      </c>
      <c r="C104" s="396">
        <v>3.2342499999999998</v>
      </c>
      <c r="D104" s="397">
        <v>3.2342499999999998</v>
      </c>
      <c r="E104" s="406" t="s">
        <v>268</v>
      </c>
      <c r="F104" s="396">
        <v>0</v>
      </c>
      <c r="G104" s="397">
        <v>0</v>
      </c>
      <c r="H104" s="399">
        <v>0</v>
      </c>
      <c r="I104" s="396">
        <v>0</v>
      </c>
      <c r="J104" s="397">
        <v>0</v>
      </c>
      <c r="K104" s="407" t="s">
        <v>268</v>
      </c>
    </row>
    <row r="105" spans="1:11" ht="14.4" customHeight="1" thickBot="1" x14ac:dyDescent="0.35">
      <c r="A105" s="418" t="s">
        <v>365</v>
      </c>
      <c r="B105" s="396">
        <v>0</v>
      </c>
      <c r="C105" s="396">
        <v>8.2349999999999994</v>
      </c>
      <c r="D105" s="397">
        <v>8.2349999999999994</v>
      </c>
      <c r="E105" s="406" t="s">
        <v>268</v>
      </c>
      <c r="F105" s="396">
        <v>0</v>
      </c>
      <c r="G105" s="397">
        <v>0</v>
      </c>
      <c r="H105" s="399">
        <v>2.0790000000000002</v>
      </c>
      <c r="I105" s="396">
        <v>2.0790000000000002</v>
      </c>
      <c r="J105" s="397">
        <v>2.0790000000000002</v>
      </c>
      <c r="K105" s="407" t="s">
        <v>268</v>
      </c>
    </row>
    <row r="106" spans="1:11" ht="14.4" customHeight="1" thickBot="1" x14ac:dyDescent="0.35">
      <c r="A106" s="418" t="s">
        <v>366</v>
      </c>
      <c r="B106" s="396">
        <v>0</v>
      </c>
      <c r="C106" s="396">
        <v>94.032979999999995</v>
      </c>
      <c r="D106" s="397">
        <v>94.032979999999995</v>
      </c>
      <c r="E106" s="406" t="s">
        <v>268</v>
      </c>
      <c r="F106" s="396">
        <v>0</v>
      </c>
      <c r="G106" s="397">
        <v>0</v>
      </c>
      <c r="H106" s="399">
        <v>2</v>
      </c>
      <c r="I106" s="396">
        <v>5</v>
      </c>
      <c r="J106" s="397">
        <v>5</v>
      </c>
      <c r="K106" s="407" t="s">
        <v>268</v>
      </c>
    </row>
    <row r="107" spans="1:11" ht="14.4" customHeight="1" thickBot="1" x14ac:dyDescent="0.35">
      <c r="A107" s="418" t="s">
        <v>367</v>
      </c>
      <c r="B107" s="396">
        <v>0</v>
      </c>
      <c r="C107" s="396">
        <v>0.60499999999999998</v>
      </c>
      <c r="D107" s="397">
        <v>0.60499999999999998</v>
      </c>
      <c r="E107" s="406" t="s">
        <v>284</v>
      </c>
      <c r="F107" s="396">
        <v>0</v>
      </c>
      <c r="G107" s="397">
        <v>0</v>
      </c>
      <c r="H107" s="399">
        <v>0</v>
      </c>
      <c r="I107" s="396">
        <v>0</v>
      </c>
      <c r="J107" s="397">
        <v>0</v>
      </c>
      <c r="K107" s="407" t="s">
        <v>268</v>
      </c>
    </row>
    <row r="108" spans="1:11" ht="14.4" customHeight="1" thickBot="1" x14ac:dyDescent="0.35">
      <c r="A108" s="418" t="s">
        <v>368</v>
      </c>
      <c r="B108" s="396">
        <v>0</v>
      </c>
      <c r="C108" s="396">
        <v>5.4360900000000001</v>
      </c>
      <c r="D108" s="397">
        <v>5.4360900000000001</v>
      </c>
      <c r="E108" s="406" t="s">
        <v>284</v>
      </c>
      <c r="F108" s="396">
        <v>0</v>
      </c>
      <c r="G108" s="397">
        <v>0</v>
      </c>
      <c r="H108" s="399">
        <v>0</v>
      </c>
      <c r="I108" s="396">
        <v>0</v>
      </c>
      <c r="J108" s="397">
        <v>0</v>
      </c>
      <c r="K108" s="407" t="s">
        <v>268</v>
      </c>
    </row>
    <row r="109" spans="1:11" ht="14.4" customHeight="1" thickBot="1" x14ac:dyDescent="0.35">
      <c r="A109" s="417" t="s">
        <v>369</v>
      </c>
      <c r="B109" s="401">
        <v>0</v>
      </c>
      <c r="C109" s="401">
        <v>2.3001200000000002</v>
      </c>
      <c r="D109" s="402">
        <v>2.3001200000000002</v>
      </c>
      <c r="E109" s="403" t="s">
        <v>284</v>
      </c>
      <c r="F109" s="401">
        <v>0</v>
      </c>
      <c r="G109" s="402">
        <v>0</v>
      </c>
      <c r="H109" s="404">
        <v>0</v>
      </c>
      <c r="I109" s="401">
        <v>0</v>
      </c>
      <c r="J109" s="402">
        <v>0</v>
      </c>
      <c r="K109" s="405" t="s">
        <v>268</v>
      </c>
    </row>
    <row r="110" spans="1:11" ht="14.4" customHeight="1" thickBot="1" x14ac:dyDescent="0.35">
      <c r="A110" s="418" t="s">
        <v>370</v>
      </c>
      <c r="B110" s="396">
        <v>0</v>
      </c>
      <c r="C110" s="396">
        <v>2.3001200000000002</v>
      </c>
      <c r="D110" s="397">
        <v>2.3001200000000002</v>
      </c>
      <c r="E110" s="406" t="s">
        <v>284</v>
      </c>
      <c r="F110" s="396">
        <v>0</v>
      </c>
      <c r="G110" s="397">
        <v>0</v>
      </c>
      <c r="H110" s="399">
        <v>0</v>
      </c>
      <c r="I110" s="396">
        <v>0</v>
      </c>
      <c r="J110" s="397">
        <v>0</v>
      </c>
      <c r="K110" s="407" t="s">
        <v>268</v>
      </c>
    </row>
    <row r="111" spans="1:11" ht="14.4" customHeight="1" thickBot="1" x14ac:dyDescent="0.35">
      <c r="A111" s="420" t="s">
        <v>371</v>
      </c>
      <c r="B111" s="396">
        <v>0</v>
      </c>
      <c r="C111" s="396">
        <v>13.6</v>
      </c>
      <c r="D111" s="397">
        <v>13.6</v>
      </c>
      <c r="E111" s="406" t="s">
        <v>268</v>
      </c>
      <c r="F111" s="396">
        <v>0</v>
      </c>
      <c r="G111" s="397">
        <v>0</v>
      </c>
      <c r="H111" s="399">
        <v>0.5</v>
      </c>
      <c r="I111" s="396">
        <v>0.5</v>
      </c>
      <c r="J111" s="397">
        <v>0.5</v>
      </c>
      <c r="K111" s="407" t="s">
        <v>268</v>
      </c>
    </row>
    <row r="112" spans="1:11" ht="14.4" customHeight="1" thickBot="1" x14ac:dyDescent="0.35">
      <c r="A112" s="418" t="s">
        <v>372</v>
      </c>
      <c r="B112" s="396">
        <v>0</v>
      </c>
      <c r="C112" s="396">
        <v>13.6</v>
      </c>
      <c r="D112" s="397">
        <v>13.6</v>
      </c>
      <c r="E112" s="406" t="s">
        <v>268</v>
      </c>
      <c r="F112" s="396">
        <v>0</v>
      </c>
      <c r="G112" s="397">
        <v>0</v>
      </c>
      <c r="H112" s="399">
        <v>0.5</v>
      </c>
      <c r="I112" s="396">
        <v>0.5</v>
      </c>
      <c r="J112" s="397">
        <v>0.5</v>
      </c>
      <c r="K112" s="407" t="s">
        <v>268</v>
      </c>
    </row>
    <row r="113" spans="1:11" ht="14.4" customHeight="1" thickBot="1" x14ac:dyDescent="0.35">
      <c r="A113" s="420" t="s">
        <v>373</v>
      </c>
      <c r="B113" s="396">
        <v>0</v>
      </c>
      <c r="C113" s="396">
        <v>16.981999999999999</v>
      </c>
      <c r="D113" s="397">
        <v>16.981999999999999</v>
      </c>
      <c r="E113" s="406" t="s">
        <v>268</v>
      </c>
      <c r="F113" s="396">
        <v>0</v>
      </c>
      <c r="G113" s="397">
        <v>0</v>
      </c>
      <c r="H113" s="399">
        <v>0.2</v>
      </c>
      <c r="I113" s="396">
        <v>0.2</v>
      </c>
      <c r="J113" s="397">
        <v>0.2</v>
      </c>
      <c r="K113" s="407" t="s">
        <v>268</v>
      </c>
    </row>
    <row r="114" spans="1:11" ht="14.4" customHeight="1" thickBot="1" x14ac:dyDescent="0.35">
      <c r="A114" s="418" t="s">
        <v>374</v>
      </c>
      <c r="B114" s="396">
        <v>0</v>
      </c>
      <c r="C114" s="396">
        <v>16.981999999999999</v>
      </c>
      <c r="D114" s="397">
        <v>16.981999999999999</v>
      </c>
      <c r="E114" s="406" t="s">
        <v>268</v>
      </c>
      <c r="F114" s="396">
        <v>0</v>
      </c>
      <c r="G114" s="397">
        <v>0</v>
      </c>
      <c r="H114" s="399">
        <v>0.2</v>
      </c>
      <c r="I114" s="396">
        <v>0.2</v>
      </c>
      <c r="J114" s="397">
        <v>0.2</v>
      </c>
      <c r="K114" s="407" t="s">
        <v>268</v>
      </c>
    </row>
    <row r="115" spans="1:11" ht="14.4" customHeight="1" thickBot="1" x14ac:dyDescent="0.35">
      <c r="A115" s="420" t="s">
        <v>375</v>
      </c>
      <c r="B115" s="396">
        <v>0</v>
      </c>
      <c r="C115" s="396">
        <v>38.453000000000003</v>
      </c>
      <c r="D115" s="397">
        <v>38.453000000000003</v>
      </c>
      <c r="E115" s="406" t="s">
        <v>284</v>
      </c>
      <c r="F115" s="396">
        <v>0</v>
      </c>
      <c r="G115" s="397">
        <v>0</v>
      </c>
      <c r="H115" s="399">
        <v>0</v>
      </c>
      <c r="I115" s="396">
        <v>0</v>
      </c>
      <c r="J115" s="397">
        <v>0</v>
      </c>
      <c r="K115" s="407" t="s">
        <v>268</v>
      </c>
    </row>
    <row r="116" spans="1:11" ht="14.4" customHeight="1" thickBot="1" x14ac:dyDescent="0.35">
      <c r="A116" s="418" t="s">
        <v>376</v>
      </c>
      <c r="B116" s="396">
        <v>0</v>
      </c>
      <c r="C116" s="396">
        <v>38.453000000000003</v>
      </c>
      <c r="D116" s="397">
        <v>38.453000000000003</v>
      </c>
      <c r="E116" s="406" t="s">
        <v>284</v>
      </c>
      <c r="F116" s="396">
        <v>0</v>
      </c>
      <c r="G116" s="397">
        <v>0</v>
      </c>
      <c r="H116" s="399">
        <v>0</v>
      </c>
      <c r="I116" s="396">
        <v>0</v>
      </c>
      <c r="J116" s="397">
        <v>0</v>
      </c>
      <c r="K116" s="407" t="s">
        <v>268</v>
      </c>
    </row>
    <row r="117" spans="1:11" ht="14.4" customHeight="1" thickBot="1" x14ac:dyDescent="0.35">
      <c r="A117" s="415" t="s">
        <v>377</v>
      </c>
      <c r="B117" s="396">
        <v>2871.9811064957298</v>
      </c>
      <c r="C117" s="396">
        <v>2496.9569299999998</v>
      </c>
      <c r="D117" s="397">
        <v>-375.02417649573198</v>
      </c>
      <c r="E117" s="398">
        <v>0.86941969233399996</v>
      </c>
      <c r="F117" s="396">
        <v>2050.9998984448798</v>
      </c>
      <c r="G117" s="397">
        <v>341.83331640748003</v>
      </c>
      <c r="H117" s="399">
        <v>171.20599999999999</v>
      </c>
      <c r="I117" s="396">
        <v>342.41199999999998</v>
      </c>
      <c r="J117" s="397">
        <v>0.57868359251900003</v>
      </c>
      <c r="K117" s="400">
        <v>0.16694881372699999</v>
      </c>
    </row>
    <row r="118" spans="1:11" ht="14.4" customHeight="1" thickBot="1" x14ac:dyDescent="0.35">
      <c r="A118" s="416" t="s">
        <v>378</v>
      </c>
      <c r="B118" s="396">
        <v>2821.9811064957298</v>
      </c>
      <c r="C118" s="396">
        <v>2440.8539999999998</v>
      </c>
      <c r="D118" s="397">
        <v>-381.12710649573302</v>
      </c>
      <c r="E118" s="398">
        <v>0.86494342374599997</v>
      </c>
      <c r="F118" s="396">
        <v>2050.9998984448798</v>
      </c>
      <c r="G118" s="397">
        <v>341.83331640748003</v>
      </c>
      <c r="H118" s="399">
        <v>171.20599999999999</v>
      </c>
      <c r="I118" s="396">
        <v>342.41199999999998</v>
      </c>
      <c r="J118" s="397">
        <v>0.57868359251900003</v>
      </c>
      <c r="K118" s="400">
        <v>0.16694881372699999</v>
      </c>
    </row>
    <row r="119" spans="1:11" ht="14.4" customHeight="1" thickBot="1" x14ac:dyDescent="0.35">
      <c r="A119" s="417" t="s">
        <v>379</v>
      </c>
      <c r="B119" s="401">
        <v>2821.9811064957298</v>
      </c>
      <c r="C119" s="401">
        <v>2440.8539999999998</v>
      </c>
      <c r="D119" s="402">
        <v>-381.12710649573302</v>
      </c>
      <c r="E119" s="408">
        <v>0.86494342374599997</v>
      </c>
      <c r="F119" s="401">
        <v>2050.9998984448798</v>
      </c>
      <c r="G119" s="402">
        <v>341.83331640748003</v>
      </c>
      <c r="H119" s="404">
        <v>171.20599999999999</v>
      </c>
      <c r="I119" s="401">
        <v>342.41199999999998</v>
      </c>
      <c r="J119" s="402">
        <v>0.57868359251900003</v>
      </c>
      <c r="K119" s="409">
        <v>0.16694881372699999</v>
      </c>
    </row>
    <row r="120" spans="1:11" ht="14.4" customHeight="1" thickBot="1" x14ac:dyDescent="0.35">
      <c r="A120" s="418" t="s">
        <v>380</v>
      </c>
      <c r="B120" s="396">
        <v>41.999999999998998</v>
      </c>
      <c r="C120" s="396">
        <v>42.335999999999999</v>
      </c>
      <c r="D120" s="397">
        <v>0.33600000000000002</v>
      </c>
      <c r="E120" s="398">
        <v>1.008</v>
      </c>
      <c r="F120" s="396">
        <v>41.999998677100002</v>
      </c>
      <c r="G120" s="397">
        <v>6.9999997795160001</v>
      </c>
      <c r="H120" s="399">
        <v>3.528</v>
      </c>
      <c r="I120" s="396">
        <v>7.056</v>
      </c>
      <c r="J120" s="397">
        <v>5.6000220482999997E-2</v>
      </c>
      <c r="K120" s="400">
        <v>0.16800000529100001</v>
      </c>
    </row>
    <row r="121" spans="1:11" ht="14.4" customHeight="1" thickBot="1" x14ac:dyDescent="0.35">
      <c r="A121" s="418" t="s">
        <v>381</v>
      </c>
      <c r="B121" s="396">
        <v>473.98116808502499</v>
      </c>
      <c r="C121" s="396">
        <v>452.29300000000001</v>
      </c>
      <c r="D121" s="397">
        <v>-21.688168085024</v>
      </c>
      <c r="E121" s="398">
        <v>0.95424255319499995</v>
      </c>
      <c r="F121" s="396">
        <v>420.999986739512</v>
      </c>
      <c r="G121" s="397">
        <v>70.166664456584996</v>
      </c>
      <c r="H121" s="399">
        <v>35.131999999999998</v>
      </c>
      <c r="I121" s="396">
        <v>70.263999999999996</v>
      </c>
      <c r="J121" s="397">
        <v>9.7335543413999998E-2</v>
      </c>
      <c r="K121" s="400">
        <v>0.16689786748900001</v>
      </c>
    </row>
    <row r="122" spans="1:11" ht="14.4" customHeight="1" thickBot="1" x14ac:dyDescent="0.35">
      <c r="A122" s="418" t="s">
        <v>382</v>
      </c>
      <c r="B122" s="396">
        <v>2300.99999999996</v>
      </c>
      <c r="C122" s="396">
        <v>1941.19</v>
      </c>
      <c r="D122" s="397">
        <v>-359.80999999995799</v>
      </c>
      <c r="E122" s="398">
        <v>0.84362885701799994</v>
      </c>
      <c r="F122" s="396">
        <v>1583.99995010781</v>
      </c>
      <c r="G122" s="397">
        <v>263.99999168463501</v>
      </c>
      <c r="H122" s="399">
        <v>132.155</v>
      </c>
      <c r="I122" s="396">
        <v>264.31</v>
      </c>
      <c r="J122" s="397">
        <v>0.31000831536500001</v>
      </c>
      <c r="K122" s="400">
        <v>0.16686237899299999</v>
      </c>
    </row>
    <row r="123" spans="1:11" ht="14.4" customHeight="1" thickBot="1" x14ac:dyDescent="0.35">
      <c r="A123" s="418" t="s">
        <v>383</v>
      </c>
      <c r="B123" s="396">
        <v>4.9999384107499996</v>
      </c>
      <c r="C123" s="396">
        <v>5.0350000000000001</v>
      </c>
      <c r="D123" s="397">
        <v>3.5061589248999998E-2</v>
      </c>
      <c r="E123" s="398">
        <v>1.0070124042269999</v>
      </c>
      <c r="F123" s="396">
        <v>3.9999629204609999</v>
      </c>
      <c r="G123" s="397">
        <v>0.66666048674300005</v>
      </c>
      <c r="H123" s="399">
        <v>0.39100000000000001</v>
      </c>
      <c r="I123" s="396">
        <v>0.78200000000000003</v>
      </c>
      <c r="J123" s="397">
        <v>0.115339513256</v>
      </c>
      <c r="K123" s="400">
        <v>0.19550181227899999</v>
      </c>
    </row>
    <row r="124" spans="1:11" ht="14.4" customHeight="1" thickBot="1" x14ac:dyDescent="0.35">
      <c r="A124" s="416" t="s">
        <v>384</v>
      </c>
      <c r="B124" s="396">
        <v>50</v>
      </c>
      <c r="C124" s="396">
        <v>56.102930000000001</v>
      </c>
      <c r="D124" s="397">
        <v>6.1029299999999997</v>
      </c>
      <c r="E124" s="398">
        <v>1.1220585999999999</v>
      </c>
      <c r="F124" s="396">
        <v>0</v>
      </c>
      <c r="G124" s="397">
        <v>0</v>
      </c>
      <c r="H124" s="399">
        <v>0</v>
      </c>
      <c r="I124" s="396">
        <v>0</v>
      </c>
      <c r="J124" s="397">
        <v>0</v>
      </c>
      <c r="K124" s="407" t="s">
        <v>268</v>
      </c>
    </row>
    <row r="125" spans="1:11" ht="14.4" customHeight="1" thickBot="1" x14ac:dyDescent="0.35">
      <c r="A125" s="417" t="s">
        <v>385</v>
      </c>
      <c r="B125" s="401">
        <v>50</v>
      </c>
      <c r="C125" s="401">
        <v>50.21293</v>
      </c>
      <c r="D125" s="402">
        <v>0.21293000000000001</v>
      </c>
      <c r="E125" s="408">
        <v>1.0042586</v>
      </c>
      <c r="F125" s="401">
        <v>0</v>
      </c>
      <c r="G125" s="402">
        <v>0</v>
      </c>
      <c r="H125" s="404">
        <v>0</v>
      </c>
      <c r="I125" s="401">
        <v>0</v>
      </c>
      <c r="J125" s="402">
        <v>0</v>
      </c>
      <c r="K125" s="405" t="s">
        <v>268</v>
      </c>
    </row>
    <row r="126" spans="1:11" ht="14.4" customHeight="1" thickBot="1" x14ac:dyDescent="0.35">
      <c r="A126" s="418" t="s">
        <v>386</v>
      </c>
      <c r="B126" s="396">
        <v>50</v>
      </c>
      <c r="C126" s="396">
        <v>50.21293</v>
      </c>
      <c r="D126" s="397">
        <v>0.21293000000000001</v>
      </c>
      <c r="E126" s="398">
        <v>1.0042586</v>
      </c>
      <c r="F126" s="396">
        <v>0</v>
      </c>
      <c r="G126" s="397">
        <v>0</v>
      </c>
      <c r="H126" s="399">
        <v>0</v>
      </c>
      <c r="I126" s="396">
        <v>0</v>
      </c>
      <c r="J126" s="397">
        <v>0</v>
      </c>
      <c r="K126" s="407" t="s">
        <v>268</v>
      </c>
    </row>
    <row r="127" spans="1:11" ht="14.4" customHeight="1" thickBot="1" x14ac:dyDescent="0.35">
      <c r="A127" s="417" t="s">
        <v>387</v>
      </c>
      <c r="B127" s="401">
        <v>0</v>
      </c>
      <c r="C127" s="401">
        <v>5.89</v>
      </c>
      <c r="D127" s="402">
        <v>5.89</v>
      </c>
      <c r="E127" s="403" t="s">
        <v>268</v>
      </c>
      <c r="F127" s="401">
        <v>0</v>
      </c>
      <c r="G127" s="402">
        <v>0</v>
      </c>
      <c r="H127" s="404">
        <v>0</v>
      </c>
      <c r="I127" s="401">
        <v>0</v>
      </c>
      <c r="J127" s="402">
        <v>0</v>
      </c>
      <c r="K127" s="405" t="s">
        <v>268</v>
      </c>
    </row>
    <row r="128" spans="1:11" ht="14.4" customHeight="1" thickBot="1" x14ac:dyDescent="0.35">
      <c r="A128" s="418" t="s">
        <v>388</v>
      </c>
      <c r="B128" s="396">
        <v>0</v>
      </c>
      <c r="C128" s="396">
        <v>5.89</v>
      </c>
      <c r="D128" s="397">
        <v>5.89</v>
      </c>
      <c r="E128" s="406" t="s">
        <v>268</v>
      </c>
      <c r="F128" s="396">
        <v>0</v>
      </c>
      <c r="G128" s="397">
        <v>0</v>
      </c>
      <c r="H128" s="399">
        <v>0</v>
      </c>
      <c r="I128" s="396">
        <v>0</v>
      </c>
      <c r="J128" s="397">
        <v>0</v>
      </c>
      <c r="K128" s="407" t="s">
        <v>268</v>
      </c>
    </row>
    <row r="129" spans="1:11" ht="14.4" customHeight="1" thickBot="1" x14ac:dyDescent="0.35">
      <c r="A129" s="415" t="s">
        <v>389</v>
      </c>
      <c r="B129" s="396">
        <v>0</v>
      </c>
      <c r="C129" s="396">
        <v>1.43598</v>
      </c>
      <c r="D129" s="397">
        <v>1.43598</v>
      </c>
      <c r="E129" s="406" t="s">
        <v>268</v>
      </c>
      <c r="F129" s="396">
        <v>0</v>
      </c>
      <c r="G129" s="397">
        <v>0</v>
      </c>
      <c r="H129" s="399">
        <v>6.1429999999999998E-2</v>
      </c>
      <c r="I129" s="396">
        <v>6.1429999999999998E-2</v>
      </c>
      <c r="J129" s="397">
        <v>6.1429999999999998E-2</v>
      </c>
      <c r="K129" s="407" t="s">
        <v>268</v>
      </c>
    </row>
    <row r="130" spans="1:11" ht="14.4" customHeight="1" thickBot="1" x14ac:dyDescent="0.35">
      <c r="A130" s="416" t="s">
        <v>390</v>
      </c>
      <c r="B130" s="396">
        <v>0</v>
      </c>
      <c r="C130" s="396">
        <v>1.43598</v>
      </c>
      <c r="D130" s="397">
        <v>1.43598</v>
      </c>
      <c r="E130" s="406" t="s">
        <v>268</v>
      </c>
      <c r="F130" s="396">
        <v>0</v>
      </c>
      <c r="G130" s="397">
        <v>0</v>
      </c>
      <c r="H130" s="399">
        <v>6.1429999999999998E-2</v>
      </c>
      <c r="I130" s="396">
        <v>6.1429999999999998E-2</v>
      </c>
      <c r="J130" s="397">
        <v>6.1429999999999998E-2</v>
      </c>
      <c r="K130" s="407" t="s">
        <v>268</v>
      </c>
    </row>
    <row r="131" spans="1:11" ht="14.4" customHeight="1" thickBot="1" x14ac:dyDescent="0.35">
      <c r="A131" s="417" t="s">
        <v>391</v>
      </c>
      <c r="B131" s="401">
        <v>0</v>
      </c>
      <c r="C131" s="401">
        <v>1.43598</v>
      </c>
      <c r="D131" s="402">
        <v>1.43598</v>
      </c>
      <c r="E131" s="403" t="s">
        <v>268</v>
      </c>
      <c r="F131" s="401">
        <v>0</v>
      </c>
      <c r="G131" s="402">
        <v>0</v>
      </c>
      <c r="H131" s="404">
        <v>6.1429999999999998E-2</v>
      </c>
      <c r="I131" s="401">
        <v>6.1429999999999998E-2</v>
      </c>
      <c r="J131" s="402">
        <v>6.1429999999999998E-2</v>
      </c>
      <c r="K131" s="405" t="s">
        <v>268</v>
      </c>
    </row>
    <row r="132" spans="1:11" ht="14.4" customHeight="1" thickBot="1" x14ac:dyDescent="0.35">
      <c r="A132" s="418" t="s">
        <v>392</v>
      </c>
      <c r="B132" s="396">
        <v>0</v>
      </c>
      <c r="C132" s="396">
        <v>1.43598</v>
      </c>
      <c r="D132" s="397">
        <v>1.43598</v>
      </c>
      <c r="E132" s="406" t="s">
        <v>268</v>
      </c>
      <c r="F132" s="396">
        <v>0</v>
      </c>
      <c r="G132" s="397">
        <v>0</v>
      </c>
      <c r="H132" s="399">
        <v>6.1429999999999998E-2</v>
      </c>
      <c r="I132" s="396">
        <v>6.1429999999999998E-2</v>
      </c>
      <c r="J132" s="397">
        <v>6.1429999999999998E-2</v>
      </c>
      <c r="K132" s="407" t="s">
        <v>268</v>
      </c>
    </row>
    <row r="133" spans="1:11" ht="14.4" customHeight="1" thickBot="1" x14ac:dyDescent="0.35">
      <c r="A133" s="414" t="s">
        <v>393</v>
      </c>
      <c r="B133" s="396">
        <v>52299.513625355699</v>
      </c>
      <c r="C133" s="396">
        <v>60730.06609</v>
      </c>
      <c r="D133" s="397">
        <v>8430.5524646443191</v>
      </c>
      <c r="E133" s="398">
        <v>1.161197530918</v>
      </c>
      <c r="F133" s="396">
        <v>59225.096414554697</v>
      </c>
      <c r="G133" s="397">
        <v>9870.8494024257798</v>
      </c>
      <c r="H133" s="399">
        <v>4050.0337500000001</v>
      </c>
      <c r="I133" s="396">
        <v>8163.4636399999999</v>
      </c>
      <c r="J133" s="397">
        <v>-1707.3857624257801</v>
      </c>
      <c r="K133" s="400">
        <v>0.137837912206</v>
      </c>
    </row>
    <row r="134" spans="1:11" ht="14.4" customHeight="1" thickBot="1" x14ac:dyDescent="0.35">
      <c r="A134" s="415" t="s">
        <v>394</v>
      </c>
      <c r="B134" s="396">
        <v>52281.843154549199</v>
      </c>
      <c r="C134" s="396">
        <v>60666.476089999996</v>
      </c>
      <c r="D134" s="397">
        <v>8384.6329354507398</v>
      </c>
      <c r="E134" s="398">
        <v>1.160373705851</v>
      </c>
      <c r="F134" s="396">
        <v>59201.982298911498</v>
      </c>
      <c r="G134" s="397">
        <v>9866.9970498185903</v>
      </c>
      <c r="H134" s="399">
        <v>4050.0237499999998</v>
      </c>
      <c r="I134" s="396">
        <v>8163.4516400000002</v>
      </c>
      <c r="J134" s="397">
        <v>-1703.5454098185901</v>
      </c>
      <c r="K134" s="400">
        <v>0.13789152530000001</v>
      </c>
    </row>
    <row r="135" spans="1:11" ht="14.4" customHeight="1" thickBot="1" x14ac:dyDescent="0.35">
      <c r="A135" s="416" t="s">
        <v>395</v>
      </c>
      <c r="B135" s="396">
        <v>52281.843154549199</v>
      </c>
      <c r="C135" s="396">
        <v>60666.476089999996</v>
      </c>
      <c r="D135" s="397">
        <v>8384.6329354507398</v>
      </c>
      <c r="E135" s="398">
        <v>1.160373705851</v>
      </c>
      <c r="F135" s="396">
        <v>59201.982298911498</v>
      </c>
      <c r="G135" s="397">
        <v>9866.9970498185903</v>
      </c>
      <c r="H135" s="399">
        <v>4050.0237499999998</v>
      </c>
      <c r="I135" s="396">
        <v>8163.4516400000002</v>
      </c>
      <c r="J135" s="397">
        <v>-1703.5454098185901</v>
      </c>
      <c r="K135" s="400">
        <v>0.13789152530000001</v>
      </c>
    </row>
    <row r="136" spans="1:11" ht="14.4" customHeight="1" thickBot="1" x14ac:dyDescent="0.35">
      <c r="A136" s="417" t="s">
        <v>396</v>
      </c>
      <c r="B136" s="401">
        <v>523.84315454924194</v>
      </c>
      <c r="C136" s="401">
        <v>370.05417999999997</v>
      </c>
      <c r="D136" s="402">
        <v>-153.788974549242</v>
      </c>
      <c r="E136" s="408">
        <v>0.70642171571000001</v>
      </c>
      <c r="F136" s="401">
        <v>347.62220521387701</v>
      </c>
      <c r="G136" s="402">
        <v>57.937034202311999</v>
      </c>
      <c r="H136" s="404">
        <v>22.486280000000001</v>
      </c>
      <c r="I136" s="401">
        <v>22.486280000000001</v>
      </c>
      <c r="J136" s="402">
        <v>-35.450754202311998</v>
      </c>
      <c r="K136" s="409">
        <v>6.4685971329000003E-2</v>
      </c>
    </row>
    <row r="137" spans="1:11" ht="14.4" customHeight="1" thickBot="1" x14ac:dyDescent="0.35">
      <c r="A137" s="418" t="s">
        <v>397</v>
      </c>
      <c r="B137" s="396">
        <v>286.764656544758</v>
      </c>
      <c r="C137" s="396">
        <v>177.20684</v>
      </c>
      <c r="D137" s="397">
        <v>-109.557816544758</v>
      </c>
      <c r="E137" s="398">
        <v>0.61795216375299999</v>
      </c>
      <c r="F137" s="396">
        <v>165.40040387859099</v>
      </c>
      <c r="G137" s="397">
        <v>27.566733979765001</v>
      </c>
      <c r="H137" s="399">
        <v>15.486000000000001</v>
      </c>
      <c r="I137" s="396">
        <v>15.486000000000001</v>
      </c>
      <c r="J137" s="397">
        <v>-12.080733979765</v>
      </c>
      <c r="K137" s="400">
        <v>9.3627340906000001E-2</v>
      </c>
    </row>
    <row r="138" spans="1:11" ht="14.4" customHeight="1" thickBot="1" x14ac:dyDescent="0.35">
      <c r="A138" s="418" t="s">
        <v>398</v>
      </c>
      <c r="B138" s="396">
        <v>232.26273064486401</v>
      </c>
      <c r="C138" s="396">
        <v>192.84734</v>
      </c>
      <c r="D138" s="397">
        <v>-39.415390644863002</v>
      </c>
      <c r="E138" s="398">
        <v>0.83029825518900002</v>
      </c>
      <c r="F138" s="396">
        <v>182.22180133528499</v>
      </c>
      <c r="G138" s="397">
        <v>30.370300222547002</v>
      </c>
      <c r="H138" s="399">
        <v>7.0002800000000001</v>
      </c>
      <c r="I138" s="396">
        <v>7.0002800000000001</v>
      </c>
      <c r="J138" s="397">
        <v>-23.370020222547002</v>
      </c>
      <c r="K138" s="400">
        <v>3.8416259463000001E-2</v>
      </c>
    </row>
    <row r="139" spans="1:11" ht="14.4" customHeight="1" thickBot="1" x14ac:dyDescent="0.35">
      <c r="A139" s="417" t="s">
        <v>399</v>
      </c>
      <c r="B139" s="401">
        <v>0</v>
      </c>
      <c r="C139" s="401">
        <v>6.6675000000000004</v>
      </c>
      <c r="D139" s="402">
        <v>6.6675000000000004</v>
      </c>
      <c r="E139" s="403" t="s">
        <v>268</v>
      </c>
      <c r="F139" s="401">
        <v>5.1116973209059999</v>
      </c>
      <c r="G139" s="402">
        <v>0.85194955348400003</v>
      </c>
      <c r="H139" s="404">
        <v>0</v>
      </c>
      <c r="I139" s="401">
        <v>0</v>
      </c>
      <c r="J139" s="402">
        <v>-0.85194955348400003</v>
      </c>
      <c r="K139" s="409">
        <v>0</v>
      </c>
    </row>
    <row r="140" spans="1:11" ht="14.4" customHeight="1" thickBot="1" x14ac:dyDescent="0.35">
      <c r="A140" s="418" t="s">
        <v>400</v>
      </c>
      <c r="B140" s="396">
        <v>0</v>
      </c>
      <c r="C140" s="396">
        <v>6.6675000000000004</v>
      </c>
      <c r="D140" s="397">
        <v>6.6675000000000004</v>
      </c>
      <c r="E140" s="406" t="s">
        <v>268</v>
      </c>
      <c r="F140" s="396">
        <v>5.1116973209059999</v>
      </c>
      <c r="G140" s="397">
        <v>0.85194955348400003</v>
      </c>
      <c r="H140" s="399">
        <v>0</v>
      </c>
      <c r="I140" s="396">
        <v>0</v>
      </c>
      <c r="J140" s="397">
        <v>-0.85194955348400003</v>
      </c>
      <c r="K140" s="400">
        <v>0</v>
      </c>
    </row>
    <row r="141" spans="1:11" ht="14.4" customHeight="1" thickBot="1" x14ac:dyDescent="0.35">
      <c r="A141" s="417" t="s">
        <v>401</v>
      </c>
      <c r="B141" s="401">
        <v>0</v>
      </c>
      <c r="C141" s="401">
        <v>77.154660000000007</v>
      </c>
      <c r="D141" s="402">
        <v>77.154660000000007</v>
      </c>
      <c r="E141" s="403" t="s">
        <v>268</v>
      </c>
      <c r="F141" s="401">
        <v>112.248396361396</v>
      </c>
      <c r="G141" s="402">
        <v>18.708066060231999</v>
      </c>
      <c r="H141" s="404">
        <v>0</v>
      </c>
      <c r="I141" s="401">
        <v>0</v>
      </c>
      <c r="J141" s="402">
        <v>-18.708066060231999</v>
      </c>
      <c r="K141" s="409">
        <v>0</v>
      </c>
    </row>
    <row r="142" spans="1:11" ht="14.4" customHeight="1" thickBot="1" x14ac:dyDescent="0.35">
      <c r="A142" s="418" t="s">
        <v>402</v>
      </c>
      <c r="B142" s="396">
        <v>0</v>
      </c>
      <c r="C142" s="396">
        <v>4.25549</v>
      </c>
      <c r="D142" s="397">
        <v>4.25549</v>
      </c>
      <c r="E142" s="406" t="s">
        <v>268</v>
      </c>
      <c r="F142" s="396">
        <v>4.2483963613669999</v>
      </c>
      <c r="G142" s="397">
        <v>0.70806606022700003</v>
      </c>
      <c r="H142" s="399">
        <v>0</v>
      </c>
      <c r="I142" s="396">
        <v>0</v>
      </c>
      <c r="J142" s="397">
        <v>-0.70806606022700003</v>
      </c>
      <c r="K142" s="400">
        <v>0</v>
      </c>
    </row>
    <row r="143" spans="1:11" ht="14.4" customHeight="1" thickBot="1" x14ac:dyDescent="0.35">
      <c r="A143" s="418" t="s">
        <v>403</v>
      </c>
      <c r="B143" s="396">
        <v>0</v>
      </c>
      <c r="C143" s="396">
        <v>72.899169999999998</v>
      </c>
      <c r="D143" s="397">
        <v>72.899169999999998</v>
      </c>
      <c r="E143" s="406" t="s">
        <v>268</v>
      </c>
      <c r="F143" s="396">
        <v>108.000000000028</v>
      </c>
      <c r="G143" s="397">
        <v>18.000000000004</v>
      </c>
      <c r="H143" s="399">
        <v>0</v>
      </c>
      <c r="I143" s="396">
        <v>0</v>
      </c>
      <c r="J143" s="397">
        <v>-18.000000000004</v>
      </c>
      <c r="K143" s="400">
        <v>0</v>
      </c>
    </row>
    <row r="144" spans="1:11" ht="14.4" customHeight="1" thickBot="1" x14ac:dyDescent="0.35">
      <c r="A144" s="417" t="s">
        <v>404</v>
      </c>
      <c r="B144" s="401">
        <v>51758</v>
      </c>
      <c r="C144" s="401">
        <v>56698.47395</v>
      </c>
      <c r="D144" s="402">
        <v>4940.4739499999996</v>
      </c>
      <c r="E144" s="408">
        <v>1.0954533395799999</v>
      </c>
      <c r="F144" s="401">
        <v>58737.000000015301</v>
      </c>
      <c r="G144" s="402">
        <v>9789.5000000025593</v>
      </c>
      <c r="H144" s="404">
        <v>4027.5374700000002</v>
      </c>
      <c r="I144" s="401">
        <v>8211.4508000000005</v>
      </c>
      <c r="J144" s="402">
        <v>-1578.0492000025599</v>
      </c>
      <c r="K144" s="409">
        <v>0.139800309855</v>
      </c>
    </row>
    <row r="145" spans="1:11" ht="14.4" customHeight="1" thickBot="1" x14ac:dyDescent="0.35">
      <c r="A145" s="418" t="s">
        <v>405</v>
      </c>
      <c r="B145" s="396">
        <v>18476</v>
      </c>
      <c r="C145" s="396">
        <v>20686.803810000001</v>
      </c>
      <c r="D145" s="397">
        <v>2210.8038099999899</v>
      </c>
      <c r="E145" s="398">
        <v>1.119658140831</v>
      </c>
      <c r="F145" s="396">
        <v>23672.000000006199</v>
      </c>
      <c r="G145" s="397">
        <v>3945.3333333343598</v>
      </c>
      <c r="H145" s="399">
        <v>1152.5800999999999</v>
      </c>
      <c r="I145" s="396">
        <v>2657.1106</v>
      </c>
      <c r="J145" s="397">
        <v>-1288.2227333343601</v>
      </c>
      <c r="K145" s="400">
        <v>0.11224698377800001</v>
      </c>
    </row>
    <row r="146" spans="1:11" ht="14.4" customHeight="1" thickBot="1" x14ac:dyDescent="0.35">
      <c r="A146" s="418" t="s">
        <v>406</v>
      </c>
      <c r="B146" s="396">
        <v>33282</v>
      </c>
      <c r="C146" s="396">
        <v>36011.670140000002</v>
      </c>
      <c r="D146" s="397">
        <v>2729.6701400000002</v>
      </c>
      <c r="E146" s="398">
        <v>1.08201640947</v>
      </c>
      <c r="F146" s="396">
        <v>35065.000000009197</v>
      </c>
      <c r="G146" s="397">
        <v>5844.1666666681904</v>
      </c>
      <c r="H146" s="399">
        <v>2874.9573700000001</v>
      </c>
      <c r="I146" s="396">
        <v>5554.3401999999996</v>
      </c>
      <c r="J146" s="397">
        <v>-289.82646666819397</v>
      </c>
      <c r="K146" s="400">
        <v>0.15840126051600001</v>
      </c>
    </row>
    <row r="147" spans="1:11" ht="14.4" customHeight="1" thickBot="1" x14ac:dyDescent="0.35">
      <c r="A147" s="417" t="s">
        <v>407</v>
      </c>
      <c r="B147" s="401">
        <v>0</v>
      </c>
      <c r="C147" s="401">
        <v>3514.1257999999998</v>
      </c>
      <c r="D147" s="402">
        <v>3514.1257999999998</v>
      </c>
      <c r="E147" s="403" t="s">
        <v>268</v>
      </c>
      <c r="F147" s="401">
        <v>0</v>
      </c>
      <c r="G147" s="402">
        <v>0</v>
      </c>
      <c r="H147" s="404">
        <v>0</v>
      </c>
      <c r="I147" s="401">
        <v>-70.485439999999997</v>
      </c>
      <c r="J147" s="402">
        <v>-70.485439999999997</v>
      </c>
      <c r="K147" s="405" t="s">
        <v>268</v>
      </c>
    </row>
    <row r="148" spans="1:11" ht="14.4" customHeight="1" thickBot="1" x14ac:dyDescent="0.35">
      <c r="A148" s="418" t="s">
        <v>408</v>
      </c>
      <c r="B148" s="396">
        <v>0</v>
      </c>
      <c r="C148" s="396">
        <v>130.19875999999999</v>
      </c>
      <c r="D148" s="397">
        <v>130.19875999999999</v>
      </c>
      <c r="E148" s="406" t="s">
        <v>268</v>
      </c>
      <c r="F148" s="396">
        <v>0</v>
      </c>
      <c r="G148" s="397">
        <v>0</v>
      </c>
      <c r="H148" s="399">
        <v>0</v>
      </c>
      <c r="I148" s="396">
        <v>0</v>
      </c>
      <c r="J148" s="397">
        <v>0</v>
      </c>
      <c r="K148" s="407" t="s">
        <v>268</v>
      </c>
    </row>
    <row r="149" spans="1:11" ht="14.4" customHeight="1" thickBot="1" x14ac:dyDescent="0.35">
      <c r="A149" s="418" t="s">
        <v>409</v>
      </c>
      <c r="B149" s="396">
        <v>0</v>
      </c>
      <c r="C149" s="396">
        <v>3383.92704</v>
      </c>
      <c r="D149" s="397">
        <v>3383.92704</v>
      </c>
      <c r="E149" s="406" t="s">
        <v>268</v>
      </c>
      <c r="F149" s="396">
        <v>0</v>
      </c>
      <c r="G149" s="397">
        <v>0</v>
      </c>
      <c r="H149" s="399">
        <v>0</v>
      </c>
      <c r="I149" s="396">
        <v>-70.485439999999997</v>
      </c>
      <c r="J149" s="397">
        <v>-70.485439999999997</v>
      </c>
      <c r="K149" s="407" t="s">
        <v>268</v>
      </c>
    </row>
    <row r="150" spans="1:11" ht="14.4" customHeight="1" thickBot="1" x14ac:dyDescent="0.35">
      <c r="A150" s="415" t="s">
        <v>410</v>
      </c>
      <c r="B150" s="396">
        <v>17.670470806421999</v>
      </c>
      <c r="C150" s="396">
        <v>63.566580000000002</v>
      </c>
      <c r="D150" s="397">
        <v>45.896109193576997</v>
      </c>
      <c r="E150" s="398">
        <v>3.5973336928230002</v>
      </c>
      <c r="F150" s="396">
        <v>23.114115643161998</v>
      </c>
      <c r="G150" s="397">
        <v>3.8523526071930001</v>
      </c>
      <c r="H150" s="399">
        <v>0.01</v>
      </c>
      <c r="I150" s="396">
        <v>1.2E-2</v>
      </c>
      <c r="J150" s="397">
        <v>-3.8403526071930001</v>
      </c>
      <c r="K150" s="400">
        <v>5.1916327599999998E-4</v>
      </c>
    </row>
    <row r="151" spans="1:11" ht="14.4" customHeight="1" thickBot="1" x14ac:dyDescent="0.35">
      <c r="A151" s="416" t="s">
        <v>411</v>
      </c>
      <c r="B151" s="396">
        <v>0</v>
      </c>
      <c r="C151" s="396">
        <v>11.58882</v>
      </c>
      <c r="D151" s="397">
        <v>11.58882</v>
      </c>
      <c r="E151" s="406" t="s">
        <v>268</v>
      </c>
      <c r="F151" s="396">
        <v>0</v>
      </c>
      <c r="G151" s="397">
        <v>0</v>
      </c>
      <c r="H151" s="399">
        <v>0</v>
      </c>
      <c r="I151" s="396">
        <v>0</v>
      </c>
      <c r="J151" s="397">
        <v>0</v>
      </c>
      <c r="K151" s="400">
        <v>0</v>
      </c>
    </row>
    <row r="152" spans="1:11" ht="14.4" customHeight="1" thickBot="1" x14ac:dyDescent="0.35">
      <c r="A152" s="417" t="s">
        <v>412</v>
      </c>
      <c r="B152" s="401">
        <v>0</v>
      </c>
      <c r="C152" s="401">
        <v>11.58882</v>
      </c>
      <c r="D152" s="402">
        <v>11.58882</v>
      </c>
      <c r="E152" s="403" t="s">
        <v>284</v>
      </c>
      <c r="F152" s="401">
        <v>0</v>
      </c>
      <c r="G152" s="402">
        <v>0</v>
      </c>
      <c r="H152" s="404">
        <v>0</v>
      </c>
      <c r="I152" s="401">
        <v>0</v>
      </c>
      <c r="J152" s="402">
        <v>0</v>
      </c>
      <c r="K152" s="409">
        <v>0</v>
      </c>
    </row>
    <row r="153" spans="1:11" ht="14.4" customHeight="1" thickBot="1" x14ac:dyDescent="0.35">
      <c r="A153" s="418" t="s">
        <v>413</v>
      </c>
      <c r="B153" s="396">
        <v>0</v>
      </c>
      <c r="C153" s="396">
        <v>11.58882</v>
      </c>
      <c r="D153" s="397">
        <v>11.58882</v>
      </c>
      <c r="E153" s="406" t="s">
        <v>284</v>
      </c>
      <c r="F153" s="396">
        <v>0</v>
      </c>
      <c r="G153" s="397">
        <v>0</v>
      </c>
      <c r="H153" s="399">
        <v>0</v>
      </c>
      <c r="I153" s="396">
        <v>0</v>
      </c>
      <c r="J153" s="397">
        <v>0</v>
      </c>
      <c r="K153" s="400">
        <v>0</v>
      </c>
    </row>
    <row r="154" spans="1:11" ht="14.4" customHeight="1" thickBot="1" x14ac:dyDescent="0.35">
      <c r="A154" s="421" t="s">
        <v>414</v>
      </c>
      <c r="B154" s="401">
        <v>17.670470806421999</v>
      </c>
      <c r="C154" s="401">
        <v>51.977760000000004</v>
      </c>
      <c r="D154" s="402">
        <v>34.307289193576999</v>
      </c>
      <c r="E154" s="408">
        <v>2.9415039683659998</v>
      </c>
      <c r="F154" s="401">
        <v>23.114115643161998</v>
      </c>
      <c r="G154" s="402">
        <v>3.8523526071930001</v>
      </c>
      <c r="H154" s="404">
        <v>0.01</v>
      </c>
      <c r="I154" s="401">
        <v>1.2E-2</v>
      </c>
      <c r="J154" s="402">
        <v>-3.8403526071930001</v>
      </c>
      <c r="K154" s="409">
        <v>5.1916327599999998E-4</v>
      </c>
    </row>
    <row r="155" spans="1:11" ht="14.4" customHeight="1" thickBot="1" x14ac:dyDescent="0.35">
      <c r="A155" s="417" t="s">
        <v>415</v>
      </c>
      <c r="B155" s="401">
        <v>0</v>
      </c>
      <c r="C155" s="401">
        <v>1.2600000000000001E-3</v>
      </c>
      <c r="D155" s="402">
        <v>1.2600000000000001E-3</v>
      </c>
      <c r="E155" s="403" t="s">
        <v>268</v>
      </c>
      <c r="F155" s="401">
        <v>0</v>
      </c>
      <c r="G155" s="402">
        <v>0</v>
      </c>
      <c r="H155" s="404">
        <v>0</v>
      </c>
      <c r="I155" s="401">
        <v>0</v>
      </c>
      <c r="J155" s="402">
        <v>0</v>
      </c>
      <c r="K155" s="405" t="s">
        <v>268</v>
      </c>
    </row>
    <row r="156" spans="1:11" ht="14.4" customHeight="1" thickBot="1" x14ac:dyDescent="0.35">
      <c r="A156" s="418" t="s">
        <v>416</v>
      </c>
      <c r="B156" s="396">
        <v>0</v>
      </c>
      <c r="C156" s="396">
        <v>1.2600000000000001E-3</v>
      </c>
      <c r="D156" s="397">
        <v>1.2600000000000001E-3</v>
      </c>
      <c r="E156" s="406" t="s">
        <v>268</v>
      </c>
      <c r="F156" s="396">
        <v>0</v>
      </c>
      <c r="G156" s="397">
        <v>0</v>
      </c>
      <c r="H156" s="399">
        <v>0</v>
      </c>
      <c r="I156" s="396">
        <v>0</v>
      </c>
      <c r="J156" s="397">
        <v>0</v>
      </c>
      <c r="K156" s="407" t="s">
        <v>268</v>
      </c>
    </row>
    <row r="157" spans="1:11" ht="14.4" customHeight="1" thickBot="1" x14ac:dyDescent="0.35">
      <c r="A157" s="417" t="s">
        <v>417</v>
      </c>
      <c r="B157" s="401">
        <v>17.670470806421999</v>
      </c>
      <c r="C157" s="401">
        <v>46.086500000000001</v>
      </c>
      <c r="D157" s="402">
        <v>28.416029193577</v>
      </c>
      <c r="E157" s="408">
        <v>2.6081082108600002</v>
      </c>
      <c r="F157" s="401">
        <v>23.114115643161998</v>
      </c>
      <c r="G157" s="402">
        <v>3.8523526071930001</v>
      </c>
      <c r="H157" s="404">
        <v>0.01</v>
      </c>
      <c r="I157" s="401">
        <v>1.2E-2</v>
      </c>
      <c r="J157" s="402">
        <v>-3.8403526071930001</v>
      </c>
      <c r="K157" s="409">
        <v>5.1916327599999998E-4</v>
      </c>
    </row>
    <row r="158" spans="1:11" ht="14.4" customHeight="1" thickBot="1" x14ac:dyDescent="0.35">
      <c r="A158" s="418" t="s">
        <v>418</v>
      </c>
      <c r="B158" s="396">
        <v>0</v>
      </c>
      <c r="C158" s="396">
        <v>0.191</v>
      </c>
      <c r="D158" s="397">
        <v>0.191</v>
      </c>
      <c r="E158" s="406" t="s">
        <v>268</v>
      </c>
      <c r="F158" s="396">
        <v>0.114115643162</v>
      </c>
      <c r="G158" s="397">
        <v>1.9019273860000002E-2</v>
      </c>
      <c r="H158" s="399">
        <v>0.01</v>
      </c>
      <c r="I158" s="396">
        <v>1.2E-2</v>
      </c>
      <c r="J158" s="397">
        <v>-7.0192738600000004E-3</v>
      </c>
      <c r="K158" s="400">
        <v>0.10515648571400001</v>
      </c>
    </row>
    <row r="159" spans="1:11" ht="14.4" customHeight="1" thickBot="1" x14ac:dyDescent="0.35">
      <c r="A159" s="418" t="s">
        <v>419</v>
      </c>
      <c r="B159" s="396">
        <v>5.9560908231990002</v>
      </c>
      <c r="C159" s="396">
        <v>26.81812</v>
      </c>
      <c r="D159" s="397">
        <v>20.8620291768</v>
      </c>
      <c r="E159" s="398">
        <v>4.5026378535970002</v>
      </c>
      <c r="F159" s="396">
        <v>23</v>
      </c>
      <c r="G159" s="397">
        <v>3.833333333333</v>
      </c>
      <c r="H159" s="399">
        <v>0</v>
      </c>
      <c r="I159" s="396">
        <v>0</v>
      </c>
      <c r="J159" s="397">
        <v>-3.833333333333</v>
      </c>
      <c r="K159" s="400">
        <v>0</v>
      </c>
    </row>
    <row r="160" spans="1:11" ht="14.4" customHeight="1" thickBot="1" x14ac:dyDescent="0.35">
      <c r="A160" s="418" t="s">
        <v>420</v>
      </c>
      <c r="B160" s="396">
        <v>0</v>
      </c>
      <c r="C160" s="396">
        <v>19.077380000000002</v>
      </c>
      <c r="D160" s="397">
        <v>19.077380000000002</v>
      </c>
      <c r="E160" s="406" t="s">
        <v>268</v>
      </c>
      <c r="F160" s="396">
        <v>0</v>
      </c>
      <c r="G160" s="397">
        <v>0</v>
      </c>
      <c r="H160" s="399">
        <v>0</v>
      </c>
      <c r="I160" s="396">
        <v>0</v>
      </c>
      <c r="J160" s="397">
        <v>0</v>
      </c>
      <c r="K160" s="407" t="s">
        <v>268</v>
      </c>
    </row>
    <row r="161" spans="1:11" ht="14.4" customHeight="1" thickBot="1" x14ac:dyDescent="0.35">
      <c r="A161" s="417" t="s">
        <v>421</v>
      </c>
      <c r="B161" s="401">
        <v>0</v>
      </c>
      <c r="C161" s="401">
        <v>5.89</v>
      </c>
      <c r="D161" s="402">
        <v>5.89</v>
      </c>
      <c r="E161" s="403" t="s">
        <v>268</v>
      </c>
      <c r="F161" s="401">
        <v>0</v>
      </c>
      <c r="G161" s="402">
        <v>0</v>
      </c>
      <c r="H161" s="404">
        <v>0</v>
      </c>
      <c r="I161" s="401">
        <v>0</v>
      </c>
      <c r="J161" s="402">
        <v>0</v>
      </c>
      <c r="K161" s="405" t="s">
        <v>268</v>
      </c>
    </row>
    <row r="162" spans="1:11" ht="14.4" customHeight="1" thickBot="1" x14ac:dyDescent="0.35">
      <c r="A162" s="418" t="s">
        <v>422</v>
      </c>
      <c r="B162" s="396">
        <v>0</v>
      </c>
      <c r="C162" s="396">
        <v>5.89</v>
      </c>
      <c r="D162" s="397">
        <v>5.89</v>
      </c>
      <c r="E162" s="406" t="s">
        <v>268</v>
      </c>
      <c r="F162" s="396">
        <v>0</v>
      </c>
      <c r="G162" s="397">
        <v>0</v>
      </c>
      <c r="H162" s="399">
        <v>0</v>
      </c>
      <c r="I162" s="396">
        <v>0</v>
      </c>
      <c r="J162" s="397">
        <v>0</v>
      </c>
      <c r="K162" s="407" t="s">
        <v>268</v>
      </c>
    </row>
    <row r="163" spans="1:11" ht="14.4" customHeight="1" thickBot="1" x14ac:dyDescent="0.35">
      <c r="A163" s="415" t="s">
        <v>423</v>
      </c>
      <c r="B163" s="396">
        <v>0</v>
      </c>
      <c r="C163" s="396">
        <v>2.342E-2</v>
      </c>
      <c r="D163" s="397">
        <v>2.342E-2</v>
      </c>
      <c r="E163" s="406" t="s">
        <v>284</v>
      </c>
      <c r="F163" s="396">
        <v>0</v>
      </c>
      <c r="G163" s="397">
        <v>0</v>
      </c>
      <c r="H163" s="399">
        <v>0</v>
      </c>
      <c r="I163" s="396">
        <v>0</v>
      </c>
      <c r="J163" s="397">
        <v>0</v>
      </c>
      <c r="K163" s="407" t="s">
        <v>268</v>
      </c>
    </row>
    <row r="164" spans="1:11" ht="14.4" customHeight="1" thickBot="1" x14ac:dyDescent="0.35">
      <c r="A164" s="421" t="s">
        <v>424</v>
      </c>
      <c r="B164" s="401">
        <v>0</v>
      </c>
      <c r="C164" s="401">
        <v>2.342E-2</v>
      </c>
      <c r="D164" s="402">
        <v>2.342E-2</v>
      </c>
      <c r="E164" s="403" t="s">
        <v>284</v>
      </c>
      <c r="F164" s="401">
        <v>0</v>
      </c>
      <c r="G164" s="402">
        <v>0</v>
      </c>
      <c r="H164" s="404">
        <v>0</v>
      </c>
      <c r="I164" s="401">
        <v>0</v>
      </c>
      <c r="J164" s="402">
        <v>0</v>
      </c>
      <c r="K164" s="405" t="s">
        <v>268</v>
      </c>
    </row>
    <row r="165" spans="1:11" ht="14.4" customHeight="1" thickBot="1" x14ac:dyDescent="0.35">
      <c r="A165" s="417" t="s">
        <v>425</v>
      </c>
      <c r="B165" s="401">
        <v>0</v>
      </c>
      <c r="C165" s="401">
        <v>2.342E-2</v>
      </c>
      <c r="D165" s="402">
        <v>2.342E-2</v>
      </c>
      <c r="E165" s="403" t="s">
        <v>284</v>
      </c>
      <c r="F165" s="401">
        <v>0</v>
      </c>
      <c r="G165" s="402">
        <v>0</v>
      </c>
      <c r="H165" s="404">
        <v>0</v>
      </c>
      <c r="I165" s="401">
        <v>0</v>
      </c>
      <c r="J165" s="402">
        <v>0</v>
      </c>
      <c r="K165" s="405" t="s">
        <v>268</v>
      </c>
    </row>
    <row r="166" spans="1:11" ht="14.4" customHeight="1" thickBot="1" x14ac:dyDescent="0.35">
      <c r="A166" s="418" t="s">
        <v>426</v>
      </c>
      <c r="B166" s="396">
        <v>0</v>
      </c>
      <c r="C166" s="396">
        <v>2.342E-2</v>
      </c>
      <c r="D166" s="397">
        <v>2.342E-2</v>
      </c>
      <c r="E166" s="406" t="s">
        <v>284</v>
      </c>
      <c r="F166" s="396">
        <v>0</v>
      </c>
      <c r="G166" s="397">
        <v>0</v>
      </c>
      <c r="H166" s="399">
        <v>0</v>
      </c>
      <c r="I166" s="396">
        <v>0</v>
      </c>
      <c r="J166" s="397">
        <v>0</v>
      </c>
      <c r="K166" s="407" t="s">
        <v>268</v>
      </c>
    </row>
    <row r="167" spans="1:11" ht="14.4" customHeight="1" thickBot="1" x14ac:dyDescent="0.35">
      <c r="A167" s="414" t="s">
        <v>427</v>
      </c>
      <c r="B167" s="396">
        <v>2267.0007088176899</v>
      </c>
      <c r="C167" s="396">
        <v>2187.9432099999999</v>
      </c>
      <c r="D167" s="397">
        <v>-79.057498817690998</v>
      </c>
      <c r="E167" s="398">
        <v>0.96512683100999996</v>
      </c>
      <c r="F167" s="396">
        <v>0</v>
      </c>
      <c r="G167" s="397">
        <v>0</v>
      </c>
      <c r="H167" s="399">
        <v>161.13761</v>
      </c>
      <c r="I167" s="396">
        <v>324.13738999999998</v>
      </c>
      <c r="J167" s="397">
        <v>324.13738999999998</v>
      </c>
      <c r="K167" s="407" t="s">
        <v>268</v>
      </c>
    </row>
    <row r="168" spans="1:11" ht="14.4" customHeight="1" thickBot="1" x14ac:dyDescent="0.35">
      <c r="A168" s="419" t="s">
        <v>428</v>
      </c>
      <c r="B168" s="401">
        <v>2267.0007088176899</v>
      </c>
      <c r="C168" s="401">
        <v>2187.9432099999999</v>
      </c>
      <c r="D168" s="402">
        <v>-79.057498817690998</v>
      </c>
      <c r="E168" s="408">
        <v>0.96512683100999996</v>
      </c>
      <c r="F168" s="401">
        <v>0</v>
      </c>
      <c r="G168" s="402">
        <v>0</v>
      </c>
      <c r="H168" s="404">
        <v>161.13761</v>
      </c>
      <c r="I168" s="401">
        <v>324.13738999999998</v>
      </c>
      <c r="J168" s="402">
        <v>324.13738999999998</v>
      </c>
      <c r="K168" s="405" t="s">
        <v>268</v>
      </c>
    </row>
    <row r="169" spans="1:11" ht="14.4" customHeight="1" thickBot="1" x14ac:dyDescent="0.35">
      <c r="A169" s="421" t="s">
        <v>54</v>
      </c>
      <c r="B169" s="401">
        <v>2267.0007088176899</v>
      </c>
      <c r="C169" s="401">
        <v>2187.9432099999999</v>
      </c>
      <c r="D169" s="402">
        <v>-79.057498817690998</v>
      </c>
      <c r="E169" s="408">
        <v>0.96512683100999996</v>
      </c>
      <c r="F169" s="401">
        <v>0</v>
      </c>
      <c r="G169" s="402">
        <v>0</v>
      </c>
      <c r="H169" s="404">
        <v>161.13761</v>
      </c>
      <c r="I169" s="401">
        <v>324.13738999999998</v>
      </c>
      <c r="J169" s="402">
        <v>324.13738999999998</v>
      </c>
      <c r="K169" s="405" t="s">
        <v>268</v>
      </c>
    </row>
    <row r="170" spans="1:11" ht="14.4" customHeight="1" thickBot="1" x14ac:dyDescent="0.35">
      <c r="A170" s="417" t="s">
        <v>429</v>
      </c>
      <c r="B170" s="401">
        <v>18</v>
      </c>
      <c r="C170" s="401">
        <v>40.326000000000001</v>
      </c>
      <c r="D170" s="402">
        <v>22.326000000000001</v>
      </c>
      <c r="E170" s="408">
        <v>2.240333333333</v>
      </c>
      <c r="F170" s="401">
        <v>0</v>
      </c>
      <c r="G170" s="402">
        <v>0</v>
      </c>
      <c r="H170" s="404">
        <v>3.3959999999999999</v>
      </c>
      <c r="I170" s="401">
        <v>6.7922500000000001</v>
      </c>
      <c r="J170" s="402">
        <v>6.7922500000000001</v>
      </c>
      <c r="K170" s="405" t="s">
        <v>268</v>
      </c>
    </row>
    <row r="171" spans="1:11" ht="14.4" customHeight="1" thickBot="1" x14ac:dyDescent="0.35">
      <c r="A171" s="418" t="s">
        <v>430</v>
      </c>
      <c r="B171" s="396">
        <v>18</v>
      </c>
      <c r="C171" s="396">
        <v>40.326000000000001</v>
      </c>
      <c r="D171" s="397">
        <v>22.326000000000001</v>
      </c>
      <c r="E171" s="398">
        <v>2.240333333333</v>
      </c>
      <c r="F171" s="396">
        <v>0</v>
      </c>
      <c r="G171" s="397">
        <v>0</v>
      </c>
      <c r="H171" s="399">
        <v>3.3959999999999999</v>
      </c>
      <c r="I171" s="396">
        <v>6.7922500000000001</v>
      </c>
      <c r="J171" s="397">
        <v>6.7922500000000001</v>
      </c>
      <c r="K171" s="407" t="s">
        <v>268</v>
      </c>
    </row>
    <row r="172" spans="1:11" ht="14.4" customHeight="1" thickBot="1" x14ac:dyDescent="0.35">
      <c r="A172" s="417" t="s">
        <v>431</v>
      </c>
      <c r="B172" s="401">
        <v>5.0007088176919998</v>
      </c>
      <c r="C172" s="401">
        <v>4.8557800000000002</v>
      </c>
      <c r="D172" s="402">
        <v>-0.144928817692</v>
      </c>
      <c r="E172" s="408">
        <v>0.97101834500299999</v>
      </c>
      <c r="F172" s="401">
        <v>0</v>
      </c>
      <c r="G172" s="402">
        <v>0</v>
      </c>
      <c r="H172" s="404">
        <v>0.34104000000000001</v>
      </c>
      <c r="I172" s="401">
        <v>1.75972</v>
      </c>
      <c r="J172" s="402">
        <v>1.75972</v>
      </c>
      <c r="K172" s="405" t="s">
        <v>268</v>
      </c>
    </row>
    <row r="173" spans="1:11" ht="14.4" customHeight="1" thickBot="1" x14ac:dyDescent="0.35">
      <c r="A173" s="418" t="s">
        <v>432</v>
      </c>
      <c r="B173" s="396">
        <v>5.0007088176919998</v>
      </c>
      <c r="C173" s="396">
        <v>4.8557800000000002</v>
      </c>
      <c r="D173" s="397">
        <v>-0.144928817692</v>
      </c>
      <c r="E173" s="398">
        <v>0.97101834500299999</v>
      </c>
      <c r="F173" s="396">
        <v>0</v>
      </c>
      <c r="G173" s="397">
        <v>0</v>
      </c>
      <c r="H173" s="399">
        <v>0.34104000000000001</v>
      </c>
      <c r="I173" s="396">
        <v>1.75972</v>
      </c>
      <c r="J173" s="397">
        <v>1.75972</v>
      </c>
      <c r="K173" s="407" t="s">
        <v>268</v>
      </c>
    </row>
    <row r="174" spans="1:11" ht="14.4" customHeight="1" thickBot="1" x14ac:dyDescent="0.35">
      <c r="A174" s="417" t="s">
        <v>433</v>
      </c>
      <c r="B174" s="401">
        <v>46</v>
      </c>
      <c r="C174" s="401">
        <v>30.487279999999998</v>
      </c>
      <c r="D174" s="402">
        <v>-15.51272</v>
      </c>
      <c r="E174" s="408">
        <v>0.66276695652100004</v>
      </c>
      <c r="F174" s="401">
        <v>0</v>
      </c>
      <c r="G174" s="402">
        <v>0</v>
      </c>
      <c r="H174" s="404">
        <v>2.0227599999999999</v>
      </c>
      <c r="I174" s="401">
        <v>4.0925599999999998</v>
      </c>
      <c r="J174" s="402">
        <v>4.0925599999999998</v>
      </c>
      <c r="K174" s="405" t="s">
        <v>268</v>
      </c>
    </row>
    <row r="175" spans="1:11" ht="14.4" customHeight="1" thickBot="1" x14ac:dyDescent="0.35">
      <c r="A175" s="418" t="s">
        <v>434</v>
      </c>
      <c r="B175" s="396">
        <v>46</v>
      </c>
      <c r="C175" s="396">
        <v>30.487279999999998</v>
      </c>
      <c r="D175" s="397">
        <v>-15.51272</v>
      </c>
      <c r="E175" s="398">
        <v>0.66276695652100004</v>
      </c>
      <c r="F175" s="396">
        <v>0</v>
      </c>
      <c r="G175" s="397">
        <v>0</v>
      </c>
      <c r="H175" s="399">
        <v>2.0227599999999999</v>
      </c>
      <c r="I175" s="396">
        <v>4.0925599999999998</v>
      </c>
      <c r="J175" s="397">
        <v>4.0925599999999998</v>
      </c>
      <c r="K175" s="407" t="s">
        <v>268</v>
      </c>
    </row>
    <row r="176" spans="1:11" ht="14.4" customHeight="1" thickBot="1" x14ac:dyDescent="0.35">
      <c r="A176" s="417" t="s">
        <v>435</v>
      </c>
      <c r="B176" s="401">
        <v>490</v>
      </c>
      <c r="C176" s="401">
        <v>430.84690000000001</v>
      </c>
      <c r="D176" s="402">
        <v>-59.153099999999</v>
      </c>
      <c r="E176" s="408">
        <v>0.87927938775500003</v>
      </c>
      <c r="F176" s="401">
        <v>0</v>
      </c>
      <c r="G176" s="402">
        <v>0</v>
      </c>
      <c r="H176" s="404">
        <v>43.08417</v>
      </c>
      <c r="I176" s="401">
        <v>108.79353</v>
      </c>
      <c r="J176" s="402">
        <v>108.79353</v>
      </c>
      <c r="K176" s="405" t="s">
        <v>268</v>
      </c>
    </row>
    <row r="177" spans="1:11" ht="14.4" customHeight="1" thickBot="1" x14ac:dyDescent="0.35">
      <c r="A177" s="418" t="s">
        <v>436</v>
      </c>
      <c r="B177" s="396">
        <v>484</v>
      </c>
      <c r="C177" s="396">
        <v>424.17054999999999</v>
      </c>
      <c r="D177" s="397">
        <v>-59.829450000000001</v>
      </c>
      <c r="E177" s="398">
        <v>0.87638543388400003</v>
      </c>
      <c r="F177" s="396">
        <v>0</v>
      </c>
      <c r="G177" s="397">
        <v>0</v>
      </c>
      <c r="H177" s="399">
        <v>43.08417</v>
      </c>
      <c r="I177" s="396">
        <v>108.79353</v>
      </c>
      <c r="J177" s="397">
        <v>108.79353</v>
      </c>
      <c r="K177" s="407" t="s">
        <v>268</v>
      </c>
    </row>
    <row r="178" spans="1:11" ht="14.4" customHeight="1" thickBot="1" x14ac:dyDescent="0.35">
      <c r="A178" s="418" t="s">
        <v>437</v>
      </c>
      <c r="B178" s="396">
        <v>6</v>
      </c>
      <c r="C178" s="396">
        <v>6.6763500000000002</v>
      </c>
      <c r="D178" s="397">
        <v>0.67635000000000001</v>
      </c>
      <c r="E178" s="398">
        <v>1.112725</v>
      </c>
      <c r="F178" s="396">
        <v>0</v>
      </c>
      <c r="G178" s="397">
        <v>0</v>
      </c>
      <c r="H178" s="399">
        <v>0</v>
      </c>
      <c r="I178" s="396">
        <v>0</v>
      </c>
      <c r="J178" s="397">
        <v>0</v>
      </c>
      <c r="K178" s="407" t="s">
        <v>268</v>
      </c>
    </row>
    <row r="179" spans="1:11" ht="14.4" customHeight="1" thickBot="1" x14ac:dyDescent="0.35">
      <c r="A179" s="417" t="s">
        <v>438</v>
      </c>
      <c r="B179" s="401">
        <v>1708</v>
      </c>
      <c r="C179" s="401">
        <v>1681.42725</v>
      </c>
      <c r="D179" s="402">
        <v>-26.572749999999001</v>
      </c>
      <c r="E179" s="408">
        <v>0.98444218384000004</v>
      </c>
      <c r="F179" s="401">
        <v>0</v>
      </c>
      <c r="G179" s="402">
        <v>0</v>
      </c>
      <c r="H179" s="404">
        <v>112.29364</v>
      </c>
      <c r="I179" s="401">
        <v>202.69933</v>
      </c>
      <c r="J179" s="402">
        <v>202.69933</v>
      </c>
      <c r="K179" s="405" t="s">
        <v>268</v>
      </c>
    </row>
    <row r="180" spans="1:11" ht="14.4" customHeight="1" thickBot="1" x14ac:dyDescent="0.35">
      <c r="A180" s="418" t="s">
        <v>439</v>
      </c>
      <c r="B180" s="396">
        <v>1708</v>
      </c>
      <c r="C180" s="396">
        <v>1681.42725</v>
      </c>
      <c r="D180" s="397">
        <v>-26.572749999999001</v>
      </c>
      <c r="E180" s="398">
        <v>0.98444218384000004</v>
      </c>
      <c r="F180" s="396">
        <v>0</v>
      </c>
      <c r="G180" s="397">
        <v>0</v>
      </c>
      <c r="H180" s="399">
        <v>112.29364</v>
      </c>
      <c r="I180" s="396">
        <v>202.69933</v>
      </c>
      <c r="J180" s="397">
        <v>202.69933</v>
      </c>
      <c r="K180" s="407" t="s">
        <v>268</v>
      </c>
    </row>
    <row r="181" spans="1:11" ht="14.4" customHeight="1" thickBot="1" x14ac:dyDescent="0.35">
      <c r="A181" s="422"/>
      <c r="B181" s="396">
        <v>25058.589737992701</v>
      </c>
      <c r="C181" s="396">
        <v>34057.584560000003</v>
      </c>
      <c r="D181" s="397">
        <v>8998.9948220072802</v>
      </c>
      <c r="E181" s="398">
        <v>1.3591181673070001</v>
      </c>
      <c r="F181" s="396">
        <v>35121.662559502802</v>
      </c>
      <c r="G181" s="397">
        <v>5853.6104265838103</v>
      </c>
      <c r="H181" s="399">
        <v>2581.6386200000002</v>
      </c>
      <c r="I181" s="396">
        <v>5119.4395400000003</v>
      </c>
      <c r="J181" s="397">
        <v>-734.17088658381101</v>
      </c>
      <c r="K181" s="400">
        <v>0.145763018232</v>
      </c>
    </row>
    <row r="182" spans="1:11" ht="14.4" customHeight="1" thickBot="1" x14ac:dyDescent="0.35">
      <c r="A182" s="423" t="s">
        <v>66</v>
      </c>
      <c r="B182" s="410">
        <v>25058.589737992701</v>
      </c>
      <c r="C182" s="410">
        <v>34057.584560000003</v>
      </c>
      <c r="D182" s="411">
        <v>8998.9948220072692</v>
      </c>
      <c r="E182" s="412">
        <v>-0.78433346586700003</v>
      </c>
      <c r="F182" s="410">
        <v>35121.662559502802</v>
      </c>
      <c r="G182" s="411">
        <v>5853.6104265838103</v>
      </c>
      <c r="H182" s="410">
        <v>2581.6386200000002</v>
      </c>
      <c r="I182" s="410">
        <v>5119.4395400000003</v>
      </c>
      <c r="J182" s="411">
        <v>-734.17088658380897</v>
      </c>
      <c r="K182" s="413">
        <v>0.145763018232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8" customWidth="1"/>
    <col min="2" max="2" width="61.109375" style="198" customWidth="1"/>
    <col min="3" max="3" width="9.5546875" style="119" customWidth="1"/>
    <col min="4" max="4" width="9.5546875" style="199" customWidth="1"/>
    <col min="5" max="5" width="2.21875" style="199" customWidth="1"/>
    <col min="6" max="6" width="9.5546875" style="200" customWidth="1"/>
    <col min="7" max="7" width="9.5546875" style="197" customWidth="1"/>
    <col min="8" max="9" width="9.5546875" style="119" customWidth="1"/>
    <col min="10" max="10" width="0" style="119" hidden="1" customWidth="1"/>
    <col min="11" max="16384" width="8.88671875" style="119"/>
  </cols>
  <sheetData>
    <row r="1" spans="1:10" ht="18.600000000000001" customHeight="1" thickBot="1" x14ac:dyDescent="0.4">
      <c r="A1" s="343" t="s">
        <v>132</v>
      </c>
      <c r="B1" s="344"/>
      <c r="C1" s="344"/>
      <c r="D1" s="344"/>
      <c r="E1" s="344"/>
      <c r="F1" s="344"/>
      <c r="G1" s="315"/>
      <c r="H1" s="345"/>
      <c r="I1" s="345"/>
    </row>
    <row r="2" spans="1:10" ht="14.4" customHeight="1" thickBot="1" x14ac:dyDescent="0.35">
      <c r="A2" s="224" t="s">
        <v>267</v>
      </c>
      <c r="B2" s="196"/>
      <c r="C2" s="196"/>
      <c r="D2" s="196"/>
      <c r="E2" s="196"/>
      <c r="F2" s="196"/>
    </row>
    <row r="3" spans="1:10" ht="14.4" customHeight="1" thickBot="1" x14ac:dyDescent="0.35">
      <c r="A3" s="224"/>
      <c r="B3" s="196"/>
      <c r="C3" s="282">
        <v>2013</v>
      </c>
      <c r="D3" s="283">
        <v>2014</v>
      </c>
      <c r="E3" s="7"/>
      <c r="F3" s="338">
        <v>2015</v>
      </c>
      <c r="G3" s="339"/>
      <c r="H3" s="339"/>
      <c r="I3" s="340"/>
    </row>
    <row r="4" spans="1:10" ht="14.4" customHeight="1" thickBot="1" x14ac:dyDescent="0.35">
      <c r="A4" s="287" t="s">
        <v>0</v>
      </c>
      <c r="B4" s="288" t="s">
        <v>231</v>
      </c>
      <c r="C4" s="341" t="s">
        <v>73</v>
      </c>
      <c r="D4" s="342"/>
      <c r="E4" s="289"/>
      <c r="F4" s="284" t="s">
        <v>73</v>
      </c>
      <c r="G4" s="285" t="s">
        <v>74</v>
      </c>
      <c r="H4" s="285" t="s">
        <v>68</v>
      </c>
      <c r="I4" s="286" t="s">
        <v>75</v>
      </c>
    </row>
    <row r="5" spans="1:10" ht="14.4" customHeight="1" x14ac:dyDescent="0.3">
      <c r="A5" s="424" t="s">
        <v>440</v>
      </c>
      <c r="B5" s="425" t="s">
        <v>441</v>
      </c>
      <c r="C5" s="426" t="s">
        <v>442</v>
      </c>
      <c r="D5" s="426" t="s">
        <v>442</v>
      </c>
      <c r="E5" s="426"/>
      <c r="F5" s="426" t="s">
        <v>442</v>
      </c>
      <c r="G5" s="426" t="s">
        <v>442</v>
      </c>
      <c r="H5" s="426" t="s">
        <v>442</v>
      </c>
      <c r="I5" s="427" t="s">
        <v>442</v>
      </c>
      <c r="J5" s="428" t="s">
        <v>69</v>
      </c>
    </row>
    <row r="6" spans="1:10" ht="14.4" customHeight="1" x14ac:dyDescent="0.3">
      <c r="A6" s="424" t="s">
        <v>440</v>
      </c>
      <c r="B6" s="425" t="s">
        <v>276</v>
      </c>
      <c r="C6" s="426">
        <v>21.46922</v>
      </c>
      <c r="D6" s="426">
        <v>11.18417</v>
      </c>
      <c r="E6" s="426"/>
      <c r="F6" s="426">
        <v>4.7029200000000007</v>
      </c>
      <c r="G6" s="426">
        <v>9.8840800963866666</v>
      </c>
      <c r="H6" s="426">
        <v>-5.181160096386666</v>
      </c>
      <c r="I6" s="427">
        <v>0.47580755661007362</v>
      </c>
      <c r="J6" s="428" t="s">
        <v>1</v>
      </c>
    </row>
    <row r="7" spans="1:10" ht="14.4" customHeight="1" x14ac:dyDescent="0.3">
      <c r="A7" s="424" t="s">
        <v>440</v>
      </c>
      <c r="B7" s="425" t="s">
        <v>443</v>
      </c>
      <c r="C7" s="426">
        <v>0.59170999999999996</v>
      </c>
      <c r="D7" s="426">
        <v>0</v>
      </c>
      <c r="E7" s="426"/>
      <c r="F7" s="426" t="s">
        <v>442</v>
      </c>
      <c r="G7" s="426" t="s">
        <v>442</v>
      </c>
      <c r="H7" s="426" t="s">
        <v>442</v>
      </c>
      <c r="I7" s="427" t="s">
        <v>442</v>
      </c>
      <c r="J7" s="428" t="s">
        <v>1</v>
      </c>
    </row>
    <row r="8" spans="1:10" ht="14.4" customHeight="1" x14ac:dyDescent="0.3">
      <c r="A8" s="424" t="s">
        <v>440</v>
      </c>
      <c r="B8" s="425" t="s">
        <v>277</v>
      </c>
      <c r="C8" s="426">
        <v>0.88571999999999995</v>
      </c>
      <c r="D8" s="426">
        <v>0.88571999999999995</v>
      </c>
      <c r="E8" s="426"/>
      <c r="F8" s="426">
        <v>0</v>
      </c>
      <c r="G8" s="426">
        <v>0.27956426028183334</v>
      </c>
      <c r="H8" s="426">
        <v>-0.27956426028183334</v>
      </c>
      <c r="I8" s="427">
        <v>0</v>
      </c>
      <c r="J8" s="428" t="s">
        <v>1</v>
      </c>
    </row>
    <row r="9" spans="1:10" ht="14.4" customHeight="1" x14ac:dyDescent="0.3">
      <c r="A9" s="424" t="s">
        <v>440</v>
      </c>
      <c r="B9" s="425" t="s">
        <v>444</v>
      </c>
      <c r="C9" s="426">
        <v>22.946649999999998</v>
      </c>
      <c r="D9" s="426">
        <v>12.069889999999999</v>
      </c>
      <c r="E9" s="426"/>
      <c r="F9" s="426">
        <v>4.7029200000000007</v>
      </c>
      <c r="G9" s="426">
        <v>10.163644356668501</v>
      </c>
      <c r="H9" s="426">
        <v>-5.4607243566685</v>
      </c>
      <c r="I9" s="427">
        <v>0.46271985077029509</v>
      </c>
      <c r="J9" s="428" t="s">
        <v>445</v>
      </c>
    </row>
    <row r="11" spans="1:10" ht="14.4" customHeight="1" x14ac:dyDescent="0.3">
      <c r="A11" s="424" t="s">
        <v>440</v>
      </c>
      <c r="B11" s="425" t="s">
        <v>441</v>
      </c>
      <c r="C11" s="426" t="s">
        <v>442</v>
      </c>
      <c r="D11" s="426" t="s">
        <v>442</v>
      </c>
      <c r="E11" s="426"/>
      <c r="F11" s="426" t="s">
        <v>442</v>
      </c>
      <c r="G11" s="426" t="s">
        <v>442</v>
      </c>
      <c r="H11" s="426" t="s">
        <v>442</v>
      </c>
      <c r="I11" s="427" t="s">
        <v>442</v>
      </c>
      <c r="J11" s="428" t="s">
        <v>69</v>
      </c>
    </row>
    <row r="12" spans="1:10" ht="14.4" customHeight="1" x14ac:dyDescent="0.3">
      <c r="A12" s="424" t="s">
        <v>446</v>
      </c>
      <c r="B12" s="425" t="s">
        <v>447</v>
      </c>
      <c r="C12" s="426" t="s">
        <v>442</v>
      </c>
      <c r="D12" s="426" t="s">
        <v>442</v>
      </c>
      <c r="E12" s="426"/>
      <c r="F12" s="426" t="s">
        <v>442</v>
      </c>
      <c r="G12" s="426" t="s">
        <v>442</v>
      </c>
      <c r="H12" s="426" t="s">
        <v>442</v>
      </c>
      <c r="I12" s="427" t="s">
        <v>442</v>
      </c>
      <c r="J12" s="428" t="s">
        <v>0</v>
      </c>
    </row>
    <row r="13" spans="1:10" ht="14.4" customHeight="1" x14ac:dyDescent="0.3">
      <c r="A13" s="424" t="s">
        <v>446</v>
      </c>
      <c r="B13" s="425" t="s">
        <v>276</v>
      </c>
      <c r="C13" s="426">
        <v>12.973559999999999</v>
      </c>
      <c r="D13" s="426">
        <v>7.5594900000000003</v>
      </c>
      <c r="E13" s="426"/>
      <c r="F13" s="426">
        <v>0</v>
      </c>
      <c r="G13" s="426">
        <v>4.2177385022685003</v>
      </c>
      <c r="H13" s="426">
        <v>-4.2177385022685003</v>
      </c>
      <c r="I13" s="427">
        <v>0</v>
      </c>
      <c r="J13" s="428" t="s">
        <v>1</v>
      </c>
    </row>
    <row r="14" spans="1:10" ht="14.4" customHeight="1" x14ac:dyDescent="0.3">
      <c r="A14" s="424" t="s">
        <v>446</v>
      </c>
      <c r="B14" s="425" t="s">
        <v>443</v>
      </c>
      <c r="C14" s="426">
        <v>3.7690000000000001E-2</v>
      </c>
      <c r="D14" s="426">
        <v>0</v>
      </c>
      <c r="E14" s="426"/>
      <c r="F14" s="426" t="s">
        <v>442</v>
      </c>
      <c r="G14" s="426" t="s">
        <v>442</v>
      </c>
      <c r="H14" s="426" t="s">
        <v>442</v>
      </c>
      <c r="I14" s="427" t="s">
        <v>442</v>
      </c>
      <c r="J14" s="428" t="s">
        <v>1</v>
      </c>
    </row>
    <row r="15" spans="1:10" ht="14.4" customHeight="1" x14ac:dyDescent="0.3">
      <c r="A15" s="424" t="s">
        <v>446</v>
      </c>
      <c r="B15" s="425" t="s">
        <v>448</v>
      </c>
      <c r="C15" s="426">
        <v>13.011249999999999</v>
      </c>
      <c r="D15" s="426">
        <v>7.5594900000000003</v>
      </c>
      <c r="E15" s="426"/>
      <c r="F15" s="426">
        <v>0</v>
      </c>
      <c r="G15" s="426">
        <v>4.2177385022685003</v>
      </c>
      <c r="H15" s="426">
        <v>-4.2177385022685003</v>
      </c>
      <c r="I15" s="427">
        <v>0</v>
      </c>
      <c r="J15" s="428" t="s">
        <v>449</v>
      </c>
    </row>
    <row r="16" spans="1:10" ht="14.4" customHeight="1" x14ac:dyDescent="0.3">
      <c r="A16" s="424" t="s">
        <v>442</v>
      </c>
      <c r="B16" s="425" t="s">
        <v>442</v>
      </c>
      <c r="C16" s="426" t="s">
        <v>442</v>
      </c>
      <c r="D16" s="426" t="s">
        <v>442</v>
      </c>
      <c r="E16" s="426"/>
      <c r="F16" s="426" t="s">
        <v>442</v>
      </c>
      <c r="G16" s="426" t="s">
        <v>442</v>
      </c>
      <c r="H16" s="426" t="s">
        <v>442</v>
      </c>
      <c r="I16" s="427" t="s">
        <v>442</v>
      </c>
      <c r="J16" s="428" t="s">
        <v>450</v>
      </c>
    </row>
    <row r="17" spans="1:10" ht="14.4" customHeight="1" x14ac:dyDescent="0.3">
      <c r="A17" s="424" t="s">
        <v>451</v>
      </c>
      <c r="B17" s="425" t="s">
        <v>452</v>
      </c>
      <c r="C17" s="426" t="s">
        <v>442</v>
      </c>
      <c r="D17" s="426" t="s">
        <v>442</v>
      </c>
      <c r="E17" s="426"/>
      <c r="F17" s="426" t="s">
        <v>442</v>
      </c>
      <c r="G17" s="426" t="s">
        <v>442</v>
      </c>
      <c r="H17" s="426" t="s">
        <v>442</v>
      </c>
      <c r="I17" s="427" t="s">
        <v>442</v>
      </c>
      <c r="J17" s="428" t="s">
        <v>0</v>
      </c>
    </row>
    <row r="18" spans="1:10" ht="14.4" customHeight="1" x14ac:dyDescent="0.3">
      <c r="A18" s="424" t="s">
        <v>451</v>
      </c>
      <c r="B18" s="425" t="s">
        <v>276</v>
      </c>
      <c r="C18" s="426">
        <v>8.4956599999999991</v>
      </c>
      <c r="D18" s="426">
        <v>3.6246799999999997</v>
      </c>
      <c r="E18" s="426"/>
      <c r="F18" s="426">
        <v>4.7029200000000007</v>
      </c>
      <c r="G18" s="426">
        <v>5.6663415941181663</v>
      </c>
      <c r="H18" s="426">
        <v>-0.96342159411816564</v>
      </c>
      <c r="I18" s="427">
        <v>0.829974670937907</v>
      </c>
      <c r="J18" s="428" t="s">
        <v>1</v>
      </c>
    </row>
    <row r="19" spans="1:10" ht="14.4" customHeight="1" x14ac:dyDescent="0.3">
      <c r="A19" s="424" t="s">
        <v>451</v>
      </c>
      <c r="B19" s="425" t="s">
        <v>443</v>
      </c>
      <c r="C19" s="426">
        <v>0.55401999999999996</v>
      </c>
      <c r="D19" s="426">
        <v>0</v>
      </c>
      <c r="E19" s="426"/>
      <c r="F19" s="426" t="s">
        <v>442</v>
      </c>
      <c r="G19" s="426" t="s">
        <v>442</v>
      </c>
      <c r="H19" s="426" t="s">
        <v>442</v>
      </c>
      <c r="I19" s="427" t="s">
        <v>442</v>
      </c>
      <c r="J19" s="428" t="s">
        <v>1</v>
      </c>
    </row>
    <row r="20" spans="1:10" ht="14.4" customHeight="1" x14ac:dyDescent="0.3">
      <c r="A20" s="424" t="s">
        <v>451</v>
      </c>
      <c r="B20" s="425" t="s">
        <v>277</v>
      </c>
      <c r="C20" s="426">
        <v>0.88571999999999995</v>
      </c>
      <c r="D20" s="426">
        <v>0.88571999999999995</v>
      </c>
      <c r="E20" s="426"/>
      <c r="F20" s="426">
        <v>0</v>
      </c>
      <c r="G20" s="426">
        <v>0.27956426028183334</v>
      </c>
      <c r="H20" s="426">
        <v>-0.27956426028183334</v>
      </c>
      <c r="I20" s="427">
        <v>0</v>
      </c>
      <c r="J20" s="428" t="s">
        <v>1</v>
      </c>
    </row>
    <row r="21" spans="1:10" ht="14.4" customHeight="1" x14ac:dyDescent="0.3">
      <c r="A21" s="424" t="s">
        <v>451</v>
      </c>
      <c r="B21" s="425" t="s">
        <v>453</v>
      </c>
      <c r="C21" s="426">
        <v>9.9353999999999978</v>
      </c>
      <c r="D21" s="426">
        <v>4.5103999999999997</v>
      </c>
      <c r="E21" s="426"/>
      <c r="F21" s="426">
        <v>4.7029200000000007</v>
      </c>
      <c r="G21" s="426">
        <v>5.9459058543999994</v>
      </c>
      <c r="H21" s="426">
        <v>-1.2429858543999988</v>
      </c>
      <c r="I21" s="427">
        <v>0.79095096948429089</v>
      </c>
      <c r="J21" s="428" t="s">
        <v>449</v>
      </c>
    </row>
    <row r="22" spans="1:10" ht="14.4" customHeight="1" x14ac:dyDescent="0.3">
      <c r="A22" s="424" t="s">
        <v>442</v>
      </c>
      <c r="B22" s="425" t="s">
        <v>442</v>
      </c>
      <c r="C22" s="426" t="s">
        <v>442</v>
      </c>
      <c r="D22" s="426" t="s">
        <v>442</v>
      </c>
      <c r="E22" s="426"/>
      <c r="F22" s="426" t="s">
        <v>442</v>
      </c>
      <c r="G22" s="426" t="s">
        <v>442</v>
      </c>
      <c r="H22" s="426" t="s">
        <v>442</v>
      </c>
      <c r="I22" s="427" t="s">
        <v>442</v>
      </c>
      <c r="J22" s="428" t="s">
        <v>450</v>
      </c>
    </row>
    <row r="23" spans="1:10" ht="14.4" customHeight="1" x14ac:dyDescent="0.3">
      <c r="A23" s="424" t="s">
        <v>440</v>
      </c>
      <c r="B23" s="425" t="s">
        <v>444</v>
      </c>
      <c r="C23" s="426">
        <v>22.946649999999998</v>
      </c>
      <c r="D23" s="426">
        <v>12.069889999999999</v>
      </c>
      <c r="E23" s="426"/>
      <c r="F23" s="426">
        <v>4.7029200000000007</v>
      </c>
      <c r="G23" s="426">
        <v>10.163644356668501</v>
      </c>
      <c r="H23" s="426">
        <v>-5.4607243566685</v>
      </c>
      <c r="I23" s="427">
        <v>0.46271985077029509</v>
      </c>
      <c r="J23" s="428" t="s">
        <v>445</v>
      </c>
    </row>
  </sheetData>
  <mergeCells count="3">
    <mergeCell ref="F3:I3"/>
    <mergeCell ref="C4:D4"/>
    <mergeCell ref="A1:I1"/>
  </mergeCells>
  <conditionalFormatting sqref="F10 F24:F65537">
    <cfRule type="cellIs" dxfId="51" priority="18" stopIfTrue="1" operator="greaterThan">
      <formula>1</formula>
    </cfRule>
  </conditionalFormatting>
  <conditionalFormatting sqref="H5:H9">
    <cfRule type="expression" dxfId="50" priority="14">
      <formula>$H5&gt;0</formula>
    </cfRule>
  </conditionalFormatting>
  <conditionalFormatting sqref="I5:I9">
    <cfRule type="expression" dxfId="49" priority="15">
      <formula>$I5&gt;1</formula>
    </cfRule>
  </conditionalFormatting>
  <conditionalFormatting sqref="B5:B9">
    <cfRule type="expression" dxfId="48" priority="11">
      <formula>OR($J5="NS",$J5="SumaNS",$J5="Účet")</formula>
    </cfRule>
  </conditionalFormatting>
  <conditionalFormatting sqref="B5:D9 F5:I9">
    <cfRule type="expression" dxfId="47" priority="17">
      <formula>AND($J5&lt;&gt;"",$J5&lt;&gt;"mezeraKL")</formula>
    </cfRule>
  </conditionalFormatting>
  <conditionalFormatting sqref="B5:D9 F5:I9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5" priority="13">
      <formula>OR($J5="SumaNS",$J5="NS")</formula>
    </cfRule>
  </conditionalFormatting>
  <conditionalFormatting sqref="A5:A9">
    <cfRule type="expression" dxfId="44" priority="9">
      <formula>AND($J5&lt;&gt;"mezeraKL",$J5&lt;&gt;"")</formula>
    </cfRule>
  </conditionalFormatting>
  <conditionalFormatting sqref="A5:A9">
    <cfRule type="expression" dxfId="43" priority="10">
      <formula>AND($J5&lt;&gt;"",$J5&lt;&gt;"mezeraKL")</formula>
    </cfRule>
  </conditionalFormatting>
  <conditionalFormatting sqref="H11:H23">
    <cfRule type="expression" dxfId="42" priority="5">
      <formula>$H11&gt;0</formula>
    </cfRule>
  </conditionalFormatting>
  <conditionalFormatting sqref="A11:A23">
    <cfRule type="expression" dxfId="41" priority="2">
      <formula>AND($J11&lt;&gt;"mezeraKL",$J11&lt;&gt;"")</formula>
    </cfRule>
  </conditionalFormatting>
  <conditionalFormatting sqref="I11:I23">
    <cfRule type="expression" dxfId="40" priority="6">
      <formula>$I11&gt;1</formula>
    </cfRule>
  </conditionalFormatting>
  <conditionalFormatting sqref="B11:B23">
    <cfRule type="expression" dxfId="39" priority="1">
      <formula>OR($J11="NS",$J11="SumaNS",$J11="Účet")</formula>
    </cfRule>
  </conditionalFormatting>
  <conditionalFormatting sqref="A11:D23 F11:I23">
    <cfRule type="expression" dxfId="38" priority="8">
      <formula>AND($J11&lt;&gt;"",$J11&lt;&gt;"mezeraKL")</formula>
    </cfRule>
  </conditionalFormatting>
  <conditionalFormatting sqref="B11:D23 F11:I23">
    <cfRule type="expression" dxfId="37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36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9" hidden="1" customWidth="1" outlineLevel="1"/>
    <col min="2" max="2" width="28.33203125" style="119" hidden="1" customWidth="1" outlineLevel="1"/>
    <col min="3" max="3" width="5.33203125" style="199" bestFit="1" customWidth="1" collapsed="1"/>
    <col min="4" max="4" width="18.77734375" style="203" customWidth="1"/>
    <col min="5" max="5" width="9" style="199" bestFit="1" customWidth="1"/>
    <col min="6" max="6" width="18.77734375" style="203" customWidth="1"/>
    <col min="7" max="7" width="5" style="199" customWidth="1"/>
    <col min="8" max="8" width="12.44140625" style="199" hidden="1" customWidth="1" outlineLevel="1"/>
    <col min="9" max="9" width="8.5546875" style="199" hidden="1" customWidth="1" outlineLevel="1"/>
    <col min="10" max="10" width="25.77734375" style="199" customWidth="1" collapsed="1"/>
    <col min="11" max="11" width="8.77734375" style="199" customWidth="1"/>
    <col min="12" max="13" width="7.77734375" style="197" customWidth="1"/>
    <col min="14" max="14" width="11.109375" style="197" customWidth="1"/>
    <col min="15" max="16384" width="8.88671875" style="119"/>
  </cols>
  <sheetData>
    <row r="1" spans="1:14" ht="18.600000000000001" customHeight="1" thickBot="1" x14ac:dyDescent="0.4">
      <c r="A1" s="350" t="s">
        <v>154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</row>
    <row r="2" spans="1:14" ht="14.4" customHeight="1" thickBot="1" x14ac:dyDescent="0.35">
      <c r="A2" s="224" t="s">
        <v>267</v>
      </c>
      <c r="B2" s="57"/>
      <c r="C2" s="201"/>
      <c r="D2" s="201"/>
      <c r="E2" s="201"/>
      <c r="F2" s="201"/>
      <c r="G2" s="201"/>
      <c r="H2" s="201"/>
      <c r="I2" s="201"/>
      <c r="J2" s="201"/>
      <c r="K2" s="201"/>
      <c r="L2" s="202"/>
      <c r="M2" s="202"/>
      <c r="N2" s="202"/>
    </row>
    <row r="3" spans="1:14" ht="14.4" customHeight="1" thickBot="1" x14ac:dyDescent="0.35">
      <c r="A3" s="57"/>
      <c r="B3" s="57"/>
      <c r="C3" s="346"/>
      <c r="D3" s="347"/>
      <c r="E3" s="347"/>
      <c r="F3" s="347"/>
      <c r="G3" s="347"/>
      <c r="H3" s="347"/>
      <c r="I3" s="347"/>
      <c r="J3" s="348" t="s">
        <v>129</v>
      </c>
      <c r="K3" s="349"/>
      <c r="L3" s="88">
        <f>IF(M3&lt;&gt;0,N3/M3,0)</f>
        <v>172.8487926690093</v>
      </c>
      <c r="M3" s="88">
        <f>SUBTOTAL(9,M5:M1048576)</f>
        <v>6.25</v>
      </c>
      <c r="N3" s="89">
        <f>SUBTOTAL(9,N5:N1048576)</f>
        <v>1080.3049541813082</v>
      </c>
    </row>
    <row r="4" spans="1:14" s="198" customFormat="1" ht="14.4" customHeight="1" thickBot="1" x14ac:dyDescent="0.35">
      <c r="A4" s="429" t="s">
        <v>4</v>
      </c>
      <c r="B4" s="430" t="s">
        <v>5</v>
      </c>
      <c r="C4" s="430" t="s">
        <v>0</v>
      </c>
      <c r="D4" s="430" t="s">
        <v>6</v>
      </c>
      <c r="E4" s="430" t="s">
        <v>7</v>
      </c>
      <c r="F4" s="430" t="s">
        <v>1</v>
      </c>
      <c r="G4" s="430" t="s">
        <v>8</v>
      </c>
      <c r="H4" s="430" t="s">
        <v>9</v>
      </c>
      <c r="I4" s="430" t="s">
        <v>10</v>
      </c>
      <c r="J4" s="431" t="s">
        <v>11</v>
      </c>
      <c r="K4" s="431" t="s">
        <v>12</v>
      </c>
      <c r="L4" s="432" t="s">
        <v>137</v>
      </c>
      <c r="M4" s="432" t="s">
        <v>13</v>
      </c>
      <c r="N4" s="433" t="s">
        <v>149</v>
      </c>
    </row>
    <row r="5" spans="1:14" ht="14.4" customHeight="1" x14ac:dyDescent="0.3">
      <c r="A5" s="434" t="s">
        <v>440</v>
      </c>
      <c r="B5" s="435" t="s">
        <v>464</v>
      </c>
      <c r="C5" s="436" t="s">
        <v>451</v>
      </c>
      <c r="D5" s="437" t="s">
        <v>465</v>
      </c>
      <c r="E5" s="436" t="s">
        <v>454</v>
      </c>
      <c r="F5" s="437" t="s">
        <v>466</v>
      </c>
      <c r="G5" s="436" t="s">
        <v>455</v>
      </c>
      <c r="H5" s="436" t="s">
        <v>456</v>
      </c>
      <c r="I5" s="436" t="s">
        <v>456</v>
      </c>
      <c r="J5" s="436" t="s">
        <v>457</v>
      </c>
      <c r="K5" s="436" t="s">
        <v>458</v>
      </c>
      <c r="L5" s="438">
        <v>171.60000000000002</v>
      </c>
      <c r="M5" s="438">
        <v>0.25</v>
      </c>
      <c r="N5" s="439">
        <v>42.900000000000006</v>
      </c>
    </row>
    <row r="6" spans="1:14" ht="14.4" customHeight="1" x14ac:dyDescent="0.3">
      <c r="A6" s="440" t="s">
        <v>440</v>
      </c>
      <c r="B6" s="441" t="s">
        <v>464</v>
      </c>
      <c r="C6" s="442" t="s">
        <v>451</v>
      </c>
      <c r="D6" s="443" t="s">
        <v>465</v>
      </c>
      <c r="E6" s="442" t="s">
        <v>454</v>
      </c>
      <c r="F6" s="443" t="s">
        <v>466</v>
      </c>
      <c r="G6" s="442" t="s">
        <v>455</v>
      </c>
      <c r="H6" s="442" t="s">
        <v>459</v>
      </c>
      <c r="I6" s="442" t="s">
        <v>156</v>
      </c>
      <c r="J6" s="442" t="s">
        <v>460</v>
      </c>
      <c r="K6" s="442"/>
      <c r="L6" s="444">
        <v>179.89296294124915</v>
      </c>
      <c r="M6" s="444">
        <v>5</v>
      </c>
      <c r="N6" s="445">
        <v>899.46481470624576</v>
      </c>
    </row>
    <row r="7" spans="1:14" ht="14.4" customHeight="1" thickBot="1" x14ac:dyDescent="0.35">
      <c r="A7" s="446" t="s">
        <v>440</v>
      </c>
      <c r="B7" s="447" t="s">
        <v>464</v>
      </c>
      <c r="C7" s="448" t="s">
        <v>451</v>
      </c>
      <c r="D7" s="449" t="s">
        <v>465</v>
      </c>
      <c r="E7" s="448" t="s">
        <v>454</v>
      </c>
      <c r="F7" s="449" t="s">
        <v>466</v>
      </c>
      <c r="G7" s="448" t="s">
        <v>455</v>
      </c>
      <c r="H7" s="448" t="s">
        <v>461</v>
      </c>
      <c r="I7" s="448" t="s">
        <v>156</v>
      </c>
      <c r="J7" s="448" t="s">
        <v>462</v>
      </c>
      <c r="K7" s="448" t="s">
        <v>463</v>
      </c>
      <c r="L7" s="450">
        <v>137.94013947506252</v>
      </c>
      <c r="M7" s="450">
        <v>1</v>
      </c>
      <c r="N7" s="451">
        <v>137.94013947506252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2" customWidth="1"/>
    <col min="2" max="2" width="5.44140625" style="197" bestFit="1" customWidth="1"/>
    <col min="3" max="3" width="6.109375" style="197" bestFit="1" customWidth="1"/>
    <col min="4" max="4" width="7.44140625" style="197" bestFit="1" customWidth="1"/>
    <col min="5" max="5" width="6.21875" style="197" bestFit="1" customWidth="1"/>
    <col min="6" max="6" width="6.33203125" style="200" bestFit="1" customWidth="1"/>
    <col min="7" max="7" width="6.109375" style="200" bestFit="1" customWidth="1"/>
    <col min="8" max="8" width="7.44140625" style="200" bestFit="1" customWidth="1"/>
    <col min="9" max="9" width="6.21875" style="200" bestFit="1" customWidth="1"/>
    <col min="10" max="10" width="5.44140625" style="197" bestFit="1" customWidth="1"/>
    <col min="11" max="11" width="6.109375" style="197" bestFit="1" customWidth="1"/>
    <col min="12" max="12" width="7.44140625" style="197" bestFit="1" customWidth="1"/>
    <col min="13" max="13" width="6.21875" style="197" bestFit="1" customWidth="1"/>
    <col min="14" max="14" width="5.33203125" style="200" bestFit="1" customWidth="1"/>
    <col min="15" max="15" width="6.109375" style="200" bestFit="1" customWidth="1"/>
    <col min="16" max="16" width="7.44140625" style="200" bestFit="1" customWidth="1"/>
    <col min="17" max="17" width="6.21875" style="200" bestFit="1" customWidth="1"/>
    <col min="18" max="16384" width="8.88671875" style="119"/>
  </cols>
  <sheetData>
    <row r="1" spans="1:17" ht="18.600000000000001" customHeight="1" thickBot="1" x14ac:dyDescent="0.4">
      <c r="A1" s="351" t="s">
        <v>232</v>
      </c>
      <c r="B1" s="351"/>
      <c r="C1" s="351"/>
      <c r="D1" s="351"/>
      <c r="E1" s="351"/>
      <c r="F1" s="315"/>
      <c r="G1" s="315"/>
      <c r="H1" s="315"/>
      <c r="I1" s="315"/>
      <c r="J1" s="345"/>
      <c r="K1" s="345"/>
      <c r="L1" s="345"/>
      <c r="M1" s="345"/>
      <c r="N1" s="345"/>
      <c r="O1" s="345"/>
      <c r="P1" s="345"/>
      <c r="Q1" s="345"/>
    </row>
    <row r="2" spans="1:17" ht="14.4" customHeight="1" thickBot="1" x14ac:dyDescent="0.35">
      <c r="A2" s="224" t="s">
        <v>267</v>
      </c>
      <c r="B2" s="204"/>
      <c r="C2" s="204"/>
      <c r="D2" s="204"/>
      <c r="E2" s="204"/>
    </row>
    <row r="3" spans="1:17" ht="14.4" customHeight="1" thickBot="1" x14ac:dyDescent="0.35">
      <c r="A3" s="291" t="s">
        <v>3</v>
      </c>
      <c r="B3" s="295">
        <f>SUM(B6:B1048576)</f>
        <v>9</v>
      </c>
      <c r="C3" s="296">
        <f>SUM(C6:C1048576)</f>
        <v>0</v>
      </c>
      <c r="D3" s="296">
        <f>SUM(D6:D1048576)</f>
        <v>0</v>
      </c>
      <c r="E3" s="297">
        <f>SUM(E6:E1048576)</f>
        <v>0</v>
      </c>
      <c r="F3" s="294">
        <f>IF(SUM($B3:$E3)=0,"",B3/SUM($B3:$E3))</f>
        <v>1</v>
      </c>
      <c r="G3" s="292">
        <f t="shared" ref="G3:I3" si="0">IF(SUM($B3:$E3)=0,"",C3/SUM($B3:$E3))</f>
        <v>0</v>
      </c>
      <c r="H3" s="292">
        <f t="shared" si="0"/>
        <v>0</v>
      </c>
      <c r="I3" s="293">
        <f t="shared" si="0"/>
        <v>0</v>
      </c>
      <c r="J3" s="296">
        <f>SUM(J6:J1048576)</f>
        <v>7</v>
      </c>
      <c r="K3" s="296">
        <f>SUM(K6:K1048576)</f>
        <v>0</v>
      </c>
      <c r="L3" s="296">
        <f>SUM(L6:L1048576)</f>
        <v>0</v>
      </c>
      <c r="M3" s="297">
        <f>SUM(M6:M1048576)</f>
        <v>0</v>
      </c>
      <c r="N3" s="294">
        <f>IF(SUM($J3:$M3)=0,"",J3/SUM($J3:$M3))</f>
        <v>1</v>
      </c>
      <c r="O3" s="292">
        <f t="shared" ref="O3:Q3" si="1">IF(SUM($J3:$M3)=0,"",K3/SUM($J3:$M3))</f>
        <v>0</v>
      </c>
      <c r="P3" s="292">
        <f t="shared" si="1"/>
        <v>0</v>
      </c>
      <c r="Q3" s="293">
        <f t="shared" si="1"/>
        <v>0</v>
      </c>
    </row>
    <row r="4" spans="1:17" ht="14.4" customHeight="1" thickBot="1" x14ac:dyDescent="0.35">
      <c r="A4" s="290"/>
      <c r="B4" s="355" t="s">
        <v>234</v>
      </c>
      <c r="C4" s="356"/>
      <c r="D4" s="356"/>
      <c r="E4" s="357"/>
      <c r="F4" s="352" t="s">
        <v>239</v>
      </c>
      <c r="G4" s="353"/>
      <c r="H4" s="353"/>
      <c r="I4" s="354"/>
      <c r="J4" s="355" t="s">
        <v>240</v>
      </c>
      <c r="K4" s="356"/>
      <c r="L4" s="356"/>
      <c r="M4" s="357"/>
      <c r="N4" s="352" t="s">
        <v>241</v>
      </c>
      <c r="O4" s="353"/>
      <c r="P4" s="353"/>
      <c r="Q4" s="354"/>
    </row>
    <row r="5" spans="1:17" ht="14.4" customHeight="1" thickBot="1" x14ac:dyDescent="0.35">
      <c r="A5" s="452" t="s">
        <v>233</v>
      </c>
      <c r="B5" s="453" t="s">
        <v>235</v>
      </c>
      <c r="C5" s="453" t="s">
        <v>236</v>
      </c>
      <c r="D5" s="453" t="s">
        <v>237</v>
      </c>
      <c r="E5" s="454" t="s">
        <v>238</v>
      </c>
      <c r="F5" s="455" t="s">
        <v>235</v>
      </c>
      <c r="G5" s="456" t="s">
        <v>236</v>
      </c>
      <c r="H5" s="456" t="s">
        <v>237</v>
      </c>
      <c r="I5" s="457" t="s">
        <v>238</v>
      </c>
      <c r="J5" s="453" t="s">
        <v>235</v>
      </c>
      <c r="K5" s="453" t="s">
        <v>236</v>
      </c>
      <c r="L5" s="453" t="s">
        <v>237</v>
      </c>
      <c r="M5" s="454" t="s">
        <v>238</v>
      </c>
      <c r="N5" s="455" t="s">
        <v>235</v>
      </c>
      <c r="O5" s="456" t="s">
        <v>236</v>
      </c>
      <c r="P5" s="456" t="s">
        <v>237</v>
      </c>
      <c r="Q5" s="457" t="s">
        <v>238</v>
      </c>
    </row>
    <row r="6" spans="1:17" ht="14.4" customHeight="1" x14ac:dyDescent="0.3">
      <c r="A6" s="462" t="s">
        <v>467</v>
      </c>
      <c r="B6" s="466"/>
      <c r="C6" s="438"/>
      <c r="D6" s="438"/>
      <c r="E6" s="439"/>
      <c r="F6" s="464"/>
      <c r="G6" s="458"/>
      <c r="H6" s="458"/>
      <c r="I6" s="468"/>
      <c r="J6" s="466"/>
      <c r="K6" s="438"/>
      <c r="L6" s="438"/>
      <c r="M6" s="439"/>
      <c r="N6" s="464"/>
      <c r="O6" s="458"/>
      <c r="P6" s="458"/>
      <c r="Q6" s="459"/>
    </row>
    <row r="7" spans="1:17" ht="14.4" customHeight="1" thickBot="1" x14ac:dyDescent="0.35">
      <c r="A7" s="463" t="s">
        <v>468</v>
      </c>
      <c r="B7" s="467">
        <v>9</v>
      </c>
      <c r="C7" s="450"/>
      <c r="D7" s="450"/>
      <c r="E7" s="451"/>
      <c r="F7" s="465">
        <v>1</v>
      </c>
      <c r="G7" s="460">
        <v>0</v>
      </c>
      <c r="H7" s="460">
        <v>0</v>
      </c>
      <c r="I7" s="469">
        <v>0</v>
      </c>
      <c r="J7" s="467">
        <v>7</v>
      </c>
      <c r="K7" s="450"/>
      <c r="L7" s="450"/>
      <c r="M7" s="451"/>
      <c r="N7" s="465">
        <v>1</v>
      </c>
      <c r="O7" s="460">
        <v>0</v>
      </c>
      <c r="P7" s="460">
        <v>0</v>
      </c>
      <c r="Q7" s="46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2015-03-21T00:16:51Z</dcterms:modified>
</cp:coreProperties>
</file>