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L26" i="419" l="1"/>
  <c r="L25" i="419"/>
  <c r="F26" i="419"/>
  <c r="L28" i="419" l="1"/>
  <c r="L27" i="419"/>
  <c r="F25" i="419"/>
  <c r="C25" i="419"/>
  <c r="L20" i="419"/>
  <c r="K20" i="419"/>
  <c r="L19" i="419"/>
  <c r="K19" i="419"/>
  <c r="L17" i="419"/>
  <c r="K17" i="419"/>
  <c r="L16" i="419"/>
  <c r="K16" i="419"/>
  <c r="L14" i="419"/>
  <c r="K14" i="419"/>
  <c r="L13" i="419"/>
  <c r="K13" i="419"/>
  <c r="L12" i="419"/>
  <c r="K12" i="419"/>
  <c r="L11" i="419"/>
  <c r="K11" i="419"/>
  <c r="AW3" i="418"/>
  <c r="AV3" i="418"/>
  <c r="AU3" i="418"/>
  <c r="AT3" i="418"/>
  <c r="AS3" i="418"/>
  <c r="AR3" i="418"/>
  <c r="AQ3" i="418"/>
  <c r="AP3" i="418"/>
  <c r="K18" i="419" l="1"/>
  <c r="L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J21" i="419" l="1"/>
  <c r="I21" i="419"/>
  <c r="I22" i="419" s="1"/>
  <c r="H21" i="419"/>
  <c r="H22" i="419" s="1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F18" i="419" l="1"/>
  <c r="F23" i="419"/>
  <c r="G18" i="419"/>
  <c r="H23" i="419"/>
  <c r="H18" i="419"/>
  <c r="I18" i="419"/>
  <c r="J23" i="419"/>
  <c r="G23" i="419"/>
  <c r="I23" i="419"/>
  <c r="J18" i="419"/>
  <c r="F22" i="419"/>
  <c r="J22" i="419"/>
  <c r="G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K6" i="419"/>
  <c r="H6" i="419"/>
  <c r="G6" i="419"/>
  <c r="J6" i="419"/>
  <c r="F6" i="419"/>
  <c r="I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D19" i="414"/>
  <c r="C16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F13" i="339" l="1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<sst xmlns="http://schemas.openxmlformats.org/spreadsheetml/2006/main" count="2224" uniqueCount="775">
  <si>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</si>
  <si>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</si>
  <si>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</si>
  <si>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</si>
  <si>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</si>
  <si>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</si>
  <si>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</si>
  <si>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</si>
  <si>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</si>
  <si>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</si>
  <si>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</si>
  <si>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</si>
  <si>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</si>
  <si>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</si>
  <si>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</si>
  <si>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</si>
  <si>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</si>
  <si>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</si>
  <si>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</si>
  <si>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</si>
  <si>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</si>
  <si>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</si>
  <si>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</si>
  <si>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</si>
  <si>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</si>
  <si>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</si>
  <si>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</si>
  <si>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</si>
  <si>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</si>
  <si>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</si>
  <si>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</si>
  <si>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</si>
  <si>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</si>
  <si>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</si>
  <si>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</si>
  <si>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</si>
  <si>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</si>
  <si>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</si>
  <si>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</si>
  <si>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</si>
  <si>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</si>
  <si>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</si>
  <si>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</si>
  <si>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</si>
  <si>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</si>
  <si>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</si>
  <si>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</si>
  <si>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</si>
  <si>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</si>
  <si>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</si>
  <si>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</si>
  <si>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</si>
  <si>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</si>
  <si>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</si>
  <si>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</si>
  <si>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</si>
  <si>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</si>
  <si>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</si>
  <si>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</si>
  <si>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</si>
  <si>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</si>
  <si>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</si>
  <si>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</si>
  <si>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</si>
  <si>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</si>
  <si>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</si>
  <si>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</si>
  <si>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</si>
  <si>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</si>
  <si>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</si>
  <si>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</si>
  <si>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</si>
  <si>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</si>
  <si>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</si>
  <si>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</si>
  <si>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</si>
  <si>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</si>
  <si>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</si>
  <si>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</si>
  <si>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</si>
  <si>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</si>
  <si>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</si>
  <si>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</si>
  <si>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</si>
  <si>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</si>
  <si>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</si>
  <si>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</si>
  <si>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</si>
  <si>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</si>
  <si>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</si>
  <si>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</si>
  <si>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</si>
  <si>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</si>
  <si>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</si>
  <si>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</si>
  <si>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</si>
  <si>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</si>
  <si>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</si>
  <si>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</si>
  <si>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</si>
  <si>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</si>
  <si>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</si>
  <si>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</si>
  <si>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</si>
  <si>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</si>
  <si>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</si>
  <si>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</si>
  <si>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</si>
  <si>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</si>
  <si>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</si>
  <si>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</si>
  <si>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</si>
  <si>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</si>
  <si>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</si>
  <si>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</si>
  <si>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</si>
  <si>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</si>
  <si>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</si>
  <si>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</si>
  <si>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</si>
  <si>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</si>
  <si>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</si>
  <si>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</si>
  <si>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</si>
  <si>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</si>
  <si>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</si>
  <si>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</si>
  <si>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</si>
  <si>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</si>
  <si>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</si>
  <si>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</si>
  <si>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</si>
  <si>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</si>
  <si>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</si>
  <si>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</si>
  <si>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</si>
  <si>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</si>
  <si>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</si>
  <si>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</si>
  <si>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</si>
  <si>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</si>
  <si>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</si>
  <si>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</si>
  <si>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</si>
  <si>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</si>
  <si>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</si>
  <si>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</si>
  <si>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</si>
  <si>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</si>
  <si>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</si>
  <si>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</si>
  <si>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</si>
  <si>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</si>
  <si>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</si>
  <si>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</si>
  <si>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</si>
  <si>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</si>
  <si>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</si>
  <si>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</si>
  <si>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</si>
  <si>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</si>
  <si>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</si>
  <si>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</si>
  <si>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</si>
  <si>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</si>
  <si>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</si>
  <si>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</si>
  <si>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</si>
  <si>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</si>
  <si>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</si>
  <si>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</si>
  <si>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</si>
  <si>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</si>
  <si>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</si>
  <si>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</si>
  <si>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</si>
  <si>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</si>
  <si>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</si>
  <si>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</si>
  <si>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</si>
  <si>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</si>
  <si>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</si>
  <si>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</si>
  <si>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</si>
  <si>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</si>
  <si>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</si>
  <si>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</si>
  <si>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</si>
  <si>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</si>
  <si>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</si>
  <si>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</si>
  <si>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</si>
  <si>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</si>
  <si>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</si>
  <si>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</si>
  <si>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</si>
  <si>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</si>
  <si>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</si>
  <si>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</si>
  <si>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</si>
  <si>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</si>
  <si>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</si>
  <si>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</si>
  <si>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</si>
  <si>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</si>
  <si>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</si>
  <si>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</si>
  <si>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</si>
  <si>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</si>
  <si>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</si>
  <si>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</si>
  <si>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</si>
  <si>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</si>
  <si>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</si>
  <si>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</si>
  <si>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</si>
  <si>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</si>
  <si>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</si>
  <si>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</si>
  <si>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</si>
  <si>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</si>
  <si>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</si>
  <si>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</si>
  <si>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</si>
  <si>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</si>
  <si>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</si>
  <si>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</si>
  <si>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</si>
  <si>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</si>
  <si>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</si>
  <si>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</si>
  <si>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</si>
  <si>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</si>
  <si>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</si>
  <si>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</si>
  <si>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</si>
  <si>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</si>
  <si>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</si>
  <si>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</si>
  <si>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</si>
  <si>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</si>
  <si>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</si>
  <si>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</si>
  <si>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</si>
  <si>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</si>
  <si>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</si>
  <si>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</si>
  <si>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</si>
  <si>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</si>
  <si>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</si>
  <si>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</si>
  <si>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</si>
  <si>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</si>
  <si>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</si>
  <si>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</si>
  <si>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</si>
  <si>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</si>
  <si>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</si>
  <si>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</si>
  <si>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</si>
  <si>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</si>
  <si>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</si>
  <si>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</si>
  <si>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</si>
  <si>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</si>
  <si>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</si>
  <si>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</si>
  <si>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</si>
  <si>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</si>
  <si>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</si>
  <si>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</si>
  <si>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</si>
  <si>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</si>
  <si>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</si>
  <si>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</si>
  <si>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</si>
  <si>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</si>
  <si>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</si>
  <si>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</si>
  <si>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</si>
  <si>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</si>
  <si>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</si>
  <si>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</si>
  <si>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</si>
  <si>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</si>
  <si>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</si>
  <si>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</si>
  <si>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</si>
  <si>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</si>
  <si>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</si>
  <si>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</si>
  <si>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</si>
  <si>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</si>
  <si>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</si>
  <si>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</si>
  <si>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</si>
  <si>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</si>
  <si>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</si>
  <si>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</si>
  <si>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</si>
  <si>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</si>
  <si>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</si>
  <si>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</si>
  <si>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</si>
  <si>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</si>
  <si>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</si>
  <si>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</si>
  <si>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</si>
  <si>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</si>
  <si>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</si>
  <si>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</si>
  <si>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</si>
  <si>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</si>
  <si>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</si>
  <si>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</si>
  <si>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</si>
  <si>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</si>
  <si>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</si>
  <si>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</si>
  <si>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</si>
  <si>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</si>
  <si>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</si>
  <si>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</si>
  <si>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</si>
  <si>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</si>
  <si>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</si>
  <si>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</si>
  <si>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</si>
  <si>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</si>
  <si>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</si>
  <si>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</si>
  <si>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</si>
  <si>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</si>
  <si>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</si>
  <si>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</si>
  <si>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</si>
  <si>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</si>
  <si>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</si>
  <si>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</si>
  <si>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</si>
  <si>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</si>
  <si>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</si>
  <si>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</si>
  <si>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</si>
  <si>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</si>
  <si>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</si>
  <si>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</si>
  <si>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</si>
  <si>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</si>
  <si>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</si>
  <si>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</si>
  <si>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</si>
  <si>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</si>
  <si>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</si>
  <si>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</si>
  <si>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</si>
  <si>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</si>
  <si>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</si>
  <si>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</si>
  <si>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</si>
  <si>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</si>
  <si>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</si>
  <si>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</si>
  <si>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</si>
  <si>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</si>
  <si>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</si>
  <si>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</si>
  <si>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</si>
  <si>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</si>
  <si>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</si>
  <si>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</si>
  <si>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</si>
  <si>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</si>
  <si>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</si>
  <si>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</si>
  <si>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</si>
  <si>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</si>
  <si>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</si>
  <si>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</si>
  <si>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</si>
  <si>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</si>
  <si>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</si>
  <si>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</si>
  <si>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</si>
  <si>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</si>
  <si>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</si>
  <si>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</si>
  <si>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</si>
  <si>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</si>
  <si>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</si>
  <si>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</si>
  <si>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</si>
  <si>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</si>
  <si>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</si>
  <si>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</si>
  <si>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</si>
  <si>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</si>
  <si>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</si>
  <si>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</si>
  <si>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</si>
  <si>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</si>
  <si>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</si>
  <si>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</si>
  <si>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</si>
  <si>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</si>
  <si>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</si>
  <si>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</si>
  <si>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</si>
  <si>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</si>
  <si>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</si>
  <si>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</si>
  <si>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</si>
  <si>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</si>
  <si>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</si>
  <si>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</si>
  <si>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</si>
  <si>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</si>
  <si>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</si>
  <si>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</si>
  <si>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</si>
  <si>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</si>
  <si>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</si>
  <si>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</si>
  <si>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</si>
  <si>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</si>
  <si>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</si>
  <si>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</si>
  <si>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</si>
  <si>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</si>
  <si>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</si>
  <si>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</si>
  <si>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</si>
  <si>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</si>
  <si>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</si>
  <si>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</si>
  <si>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395997</t>
  </si>
  <si>
    <t>0</t>
  </si>
  <si>
    <t>DZ SOFTASEPT N BEZBARVÝ 250 ml</t>
  </si>
  <si>
    <t>51366</t>
  </si>
  <si>
    <t>CHLORID SODNÝ 0,9% BRAUN</t>
  </si>
  <si>
    <t>INF SOL 20X100MLPELAH</t>
  </si>
  <si>
    <t>930589</t>
  </si>
  <si>
    <t>KL ETHANOLUM BENZ.DENAT. 900 ml / 720g/</t>
  </si>
  <si>
    <t>UN 1170</t>
  </si>
  <si>
    <t>921227</t>
  </si>
  <si>
    <t>KL SOL.HYD.PEROX.20% 500g</t>
  </si>
  <si>
    <t>930443</t>
  </si>
  <si>
    <t>KL PERSTERIL 4% 1 kg HVLP</t>
  </si>
  <si>
    <t>UN 3149</t>
  </si>
  <si>
    <t>50113013</t>
  </si>
  <si>
    <t>P</t>
  </si>
  <si>
    <t>201974</t>
  </si>
  <si>
    <t>PENICILIN G 1,0 DRASELNÁ SO. BIOTIKA</t>
  </si>
  <si>
    <t>INJ PLV SOL 10X1MU</t>
  </si>
  <si>
    <t>Ústav lékařské genetiky a fet.med.</t>
  </si>
  <si>
    <t>GEN, ambulance</t>
  </si>
  <si>
    <t>GEN, laboratoř</t>
  </si>
  <si>
    <t>Lékárna - léčiva</t>
  </si>
  <si>
    <t>Lékárna - antibiotika</t>
  </si>
  <si>
    <t>2841 - GEN, laboratoř</t>
  </si>
  <si>
    <t>J01CE01 - Benzylpenicilin</t>
  </si>
  <si>
    <t>J01CE01</t>
  </si>
  <si>
    <t>Přehled plnění pozitivního listu - spotřeba léčivých přípravků - orientační přehled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</si>
  <si>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</si>
  <si>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</si>
  <si>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</si>
  <si>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</si>
  <si>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</si>
  <si>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</si>
  <si>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</si>
  <si>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</si>
  <si>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</si>
  <si>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</si>
  <si>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Štellmachová Júlia</t>
  </si>
  <si>
    <t>Veberová Tereza</t>
  </si>
  <si>
    <t>Azithromycin</t>
  </si>
  <si>
    <t>45010</t>
  </si>
  <si>
    <t>AZITROMYCIN SANDOZ 500 MG</t>
  </si>
  <si>
    <t>POR TBL FLM 3X500MG</t>
  </si>
  <si>
    <t>Omeprazol</t>
  </si>
  <si>
    <t>25366</t>
  </si>
  <si>
    <t>HELICID 20 ZENTIVA</t>
  </si>
  <si>
    <t>POR CPS ETD 90X20MG</t>
  </si>
  <si>
    <t>Nifuroxazid</t>
  </si>
  <si>
    <t>155871</t>
  </si>
  <si>
    <t>ERCEFURYL 200 MG CPS.</t>
  </si>
  <si>
    <t>POR CPS DUR 14X200MG</t>
  </si>
  <si>
    <t>Pitofenon a analgetika</t>
  </si>
  <si>
    <t>88708</t>
  </si>
  <si>
    <t>ALGIFEN</t>
  </si>
  <si>
    <t>POR TBL NOB 20</t>
  </si>
  <si>
    <t>Ambulance odd.lékařské genetiky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</si>
  <si>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</si>
  <si>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</si>
  <si>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</si>
  <si>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J01FA10</t>
  </si>
  <si>
    <t>Přehled plnění PL - Preskripce léčivých přípravků - orientační přehled</t>
  </si>
  <si>
    <t>ZA446</t>
  </si>
  <si>
    <t>Vata buničitá přířezy 20 x 30 cm 1230200129</t>
  </si>
  <si>
    <t>ZA593</t>
  </si>
  <si>
    <t>Tampon sterilní stáčený 20 x 20 cm / 5 ks 28003</t>
  </si>
  <si>
    <t>ZC100</t>
  </si>
  <si>
    <t>Vata buničitá dělená 2 role / 500 ks 40 x 50 mm 1230200310</t>
  </si>
  <si>
    <t>ZA808</t>
  </si>
  <si>
    <t>Kanyla venofix safety 23G modrá 4056353</t>
  </si>
  <si>
    <t>ZB758</t>
  </si>
  <si>
    <t>Zkumavka 9 ml K3 edta NR 455036</t>
  </si>
  <si>
    <t>ZB763</t>
  </si>
  <si>
    <t>Zkumavka červená 9 ml 455092</t>
  </si>
  <si>
    <t>ZB764</t>
  </si>
  <si>
    <t>Zkumavka zelená 4 ml 454051</t>
  </si>
  <si>
    <t>ZB771</t>
  </si>
  <si>
    <t>Držák jehly základní 450201</t>
  </si>
  <si>
    <t>ZB773</t>
  </si>
  <si>
    <t>Zkumavka šedá-glykemie 454085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</si>
  <si>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</si>
  <si>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</si>
  <si>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</si>
  <si>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</si>
  <si>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</si>
  <si>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</si>
  <si>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ZB966</t>
  </si>
  <si>
    <t>Nůžky rovné chirurgické hrotnaté 150 mm B397113920005</t>
  </si>
  <si>
    <t>ZN206</t>
  </si>
  <si>
    <t>Lopatka ústní dřevěná lékařská sterilní 150 x 17 mm bal. á 500 ks 4002/SG/CS/L</t>
  </si>
  <si>
    <t>ZB963</t>
  </si>
  <si>
    <t>Pinzeta anatomická úzká 145 mm B397114920019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</si>
  <si>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</si>
  <si>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</si>
  <si>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</si>
  <si>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</si>
  <si>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</si>
  <si>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</si>
  <si>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ZA411</t>
  </si>
  <si>
    <t>Gáza přířezy 30 cm x 30 cm 17 nití 07004</t>
  </si>
  <si>
    <t>ZD104</t>
  </si>
  <si>
    <t>Náplast omniplast 10,0 cm x 10,0 m 9004472 (900535)</t>
  </si>
  <si>
    <t>ZA789</t>
  </si>
  <si>
    <t>Stříkačka injekční 2-dílná 2 ml L Inject Solo 4606027V</t>
  </si>
  <si>
    <t>ZA817</t>
  </si>
  <si>
    <t>Zkumavka PS 10 ml sterilní modrá zátka bal. á 20 ks 400914</t>
  </si>
  <si>
    <t>ZC767</t>
  </si>
  <si>
    <t>Víčko UH žluté ke zkumavka močová bal. á 100 ks FLME25072</t>
  </si>
  <si>
    <t>ZJ763</t>
  </si>
  <si>
    <t>Kapilára avant aray 36 cm 4333464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</si>
  <si>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</si>
  <si>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</si>
  <si>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</si>
  <si>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</si>
  <si>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</si>
  <si>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</si>
  <si>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ZA900</t>
  </si>
  <si>
    <t>Mikrozkumavka PCR 0,2 ml s vypouklým víčkem (5320) BPCST02-DC-01B</t>
  </si>
  <si>
    <t>ZB605</t>
  </si>
  <si>
    <t>Špička modrá krátká manžeta 1108</t>
  </si>
  <si>
    <t>ZB788</t>
  </si>
  <si>
    <t>Špička s filtrem 20 ul bal. á 96 ks 96.11190.9.01 (staré.k.č. 96.10296.9.01)</t>
  </si>
  <si>
    <t>ZC066</t>
  </si>
  <si>
    <t>Kádinka nízká s výlevkou sklo 100 ml (213-1045) KAVA632417010100</t>
  </si>
  <si>
    <t>ZC043</t>
  </si>
  <si>
    <t>Kádinka vysoká s výlevkou 400 ml KAVA632417012400_U</t>
  </si>
  <si>
    <t>ZA793</t>
  </si>
  <si>
    <t>Špička s filtrem 200 ul bal. á 96 ks (96.9263.9.01) 96.11193.9.01</t>
  </si>
  <si>
    <t>ZB000</t>
  </si>
  <si>
    <t>Špička s filtrem 1000 ul bal. á 480 ks (96.10298.9.01- končí) 96.11194.9.01</t>
  </si>
  <si>
    <t>ZA832</t>
  </si>
  <si>
    <t>Jehla injekční 0,9 x 40 mm žlutá 4657519</t>
  </si>
  <si>
    <t>ZK475</t>
  </si>
  <si>
    <t>Rukavice operační latexové s pudrem ansell medigrip plus vel. 7,0 303504EU (303364)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</si>
  <si>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</si>
  <si>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</si>
  <si>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</si>
  <si>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</si>
  <si>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</si>
  <si>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</si>
  <si>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</si>
  <si>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</si>
  <si>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</si>
  <si>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</si>
  <si>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</si>
  <si>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</si>
  <si>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</si>
  <si>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</si>
  <si>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DG208</t>
  </si>
  <si>
    <t>GIEMSA-ROMANOWSKI</t>
  </si>
  <si>
    <t>DC858</t>
  </si>
  <si>
    <t>PRIMER</t>
  </si>
  <si>
    <t>DG143</t>
  </si>
  <si>
    <t>kyselina SÍROVÁ P.A.</t>
  </si>
  <si>
    <t>DG229</t>
  </si>
  <si>
    <t>METHANOL P.A.</t>
  </si>
  <si>
    <t>DC792</t>
  </si>
  <si>
    <t>QIAamp DNA Mini Kit (250), QIAgen</t>
  </si>
  <si>
    <t>DE260</t>
  </si>
  <si>
    <t>AmnioGrow CE IVD</t>
  </si>
  <si>
    <t>DE452</t>
  </si>
  <si>
    <t>Flushing medium, 500 ml,CFLM-500</t>
  </si>
  <si>
    <t>DB186</t>
  </si>
  <si>
    <t>Ion Library Equalizer Kit</t>
  </si>
  <si>
    <t>DG815</t>
  </si>
  <si>
    <t>SALSA MLPA P070 Hu Telomere-5 probemix 50rxn</t>
  </si>
  <si>
    <t>DG896</t>
  </si>
  <si>
    <t>ION 316 chip kit v2, 4 chips</t>
  </si>
  <si>
    <t>DG295</t>
  </si>
  <si>
    <t>SALSA MLPA P036 Hu Telomere-3 probemix 50rxn</t>
  </si>
  <si>
    <t>DG939</t>
  </si>
  <si>
    <t>SALSA MLPA EK5 reagent kit- 500 reactions (5x6 vials) - FAM</t>
  </si>
  <si>
    <t>DG635</t>
  </si>
  <si>
    <t>ION AMPLISEQ LIBRARY KIT 2.0</t>
  </si>
  <si>
    <t>DA982</t>
  </si>
  <si>
    <t>Chromosome Synchro P</t>
  </si>
  <si>
    <t>DD452</t>
  </si>
  <si>
    <t>ION PGM HI-Q OT2 KIT</t>
  </si>
  <si>
    <t>DG202</t>
  </si>
  <si>
    <t>CHLORID AMONNY P.A.</t>
  </si>
  <si>
    <t>DG399</t>
  </si>
  <si>
    <t>SALSA MLPA P250 DiGeorge probemix-25R</t>
  </si>
  <si>
    <t>DG607</t>
  </si>
  <si>
    <t>SALSA MLPA P297 Microdel.Syndr.-2 probemix 50rxn</t>
  </si>
  <si>
    <t>DC767</t>
  </si>
  <si>
    <t>POP4</t>
  </si>
  <si>
    <t>DG533</t>
  </si>
  <si>
    <t>SNaPshot Multiplex Kit 100Reactions</t>
  </si>
  <si>
    <t>DG931</t>
  </si>
  <si>
    <t>SALSA MLPA probemix P060-SMA 100rxn</t>
  </si>
  <si>
    <t>DH412</t>
  </si>
  <si>
    <t>BRCA hereditary Cancer MASTR Plus</t>
  </si>
  <si>
    <t>801335</t>
  </si>
  <si>
    <t>-HCl 0,1 M 1000 ml, 500 ml</t>
  </si>
  <si>
    <t>DA242</t>
  </si>
  <si>
    <t>NA06897 DNA from LCL</t>
  </si>
  <si>
    <t>DA241</t>
  </si>
  <si>
    <t>NA07537 DNA from LCL</t>
  </si>
  <si>
    <t>DA810</t>
  </si>
  <si>
    <t>SALSA MLPA P343 Autism-1 probemix - 25 reactions</t>
  </si>
  <si>
    <t>DF544</t>
  </si>
  <si>
    <t>Sure FISH 1q23.3 PBX1 DF 603kb</t>
  </si>
  <si>
    <t>DH424</t>
  </si>
  <si>
    <t>SALSA MLPA P046-C1 TSC2 -25 r</t>
  </si>
  <si>
    <t>DH430</t>
  </si>
  <si>
    <t>SALSA MLPA P264-B1 Human Telomere-9, 25rxn</t>
  </si>
  <si>
    <t>DH088</t>
  </si>
  <si>
    <t>Devyser CFTR core</t>
  </si>
  <si>
    <t>DA864</t>
  </si>
  <si>
    <t>Ion Xpress™ Barcode Adapters 1-16 Kit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</si>
  <si>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</si>
  <si>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</si>
  <si>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</si>
  <si>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</si>
  <si>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</si>
  <si>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</si>
  <si>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</si>
  <si>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</si>
  <si>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</si>
  <si>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</si>
  <si>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</si>
  <si>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</si>
  <si>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</si>
  <si>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(112 04 004, 132 01 004)</t>
  </si>
  <si>
    <t>Spotřeba zdravotnického materiálu - orientační přehled</t>
  </si>
  <si>
    <t>ON Data</t>
  </si>
  <si>
    <t>107 - Pracoviště kardiologie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</si>
  <si>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</si>
  <si>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</si>
  <si>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</si>
  <si>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</si>
  <si>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</si>
  <si>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</si>
  <si>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</si>
  <si>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Dhaifalah Ishraq</t>
  </si>
  <si>
    <t>Godava Marek</t>
  </si>
  <si>
    <t>Petřková Jana</t>
  </si>
  <si>
    <t>Procházka Martin</t>
  </si>
  <si>
    <t>Zdravotní výkony vykázané na pracovišti v rámci ambulantní péče dle lékařů *</t>
  </si>
  <si>
    <t>107</t>
  </si>
  <si>
    <t>V</t>
  </si>
  <si>
    <t>09513</t>
  </si>
  <si>
    <t>TELEFONICKÁ KONZULTACE OŠETŘUJÍCÍHO LÉKAŘE PACIENT</t>
  </si>
  <si>
    <t>208</t>
  </si>
  <si>
    <t>1</t>
  </si>
  <si>
    <t>0113403</t>
  </si>
  <si>
    <t>RHOPHYLAC 300 MIKROGRAMŮ/2 ML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</si>
  <si>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</si>
  <si>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</si>
  <si>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</si>
  <si>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</si>
  <si>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</si>
  <si>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</si>
  <si>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</si>
  <si>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</si>
  <si>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</si>
  <si>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</si>
  <si>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</si>
  <si>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</si>
  <si>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</si>
  <si>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</si>
  <si>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</si>
  <si>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</si>
  <si>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</si>
  <si>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</si>
  <si>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</si>
  <si>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</si>
  <si>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</si>
  <si>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</si>
  <si>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</si>
  <si>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</si>
  <si>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</si>
  <si>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</si>
  <si>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301</t>
  </si>
  <si>
    <t>31022</t>
  </si>
  <si>
    <t>CÍLENÉ VYŠETŘENÍ DĚTSKÝM LÉKAŘEM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</si>
  <si>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</si>
  <si>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</si>
  <si>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</si>
  <si>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</si>
  <si>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</si>
  <si>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</si>
  <si>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</si>
  <si>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</si>
  <si>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</si>
  <si>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</si>
  <si>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</si>
  <si>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</si>
  <si>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</si>
  <si>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</si>
  <si>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</si>
  <si>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</si>
  <si>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</si>
  <si>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</si>
  <si>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</si>
  <si>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</si>
  <si>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</si>
  <si>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</si>
  <si>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</si>
  <si>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</si>
  <si>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</si>
  <si>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</si>
  <si>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</si>
  <si>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</si>
  <si>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</si>
  <si>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</si>
  <si>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</si>
  <si>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</si>
  <si>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</si>
  <si>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</si>
  <si>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</si>
  <si>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</si>
  <si>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</si>
  <si>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</si>
  <si>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</si>
  <si>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</si>
  <si>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</si>
  <si>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</si>
  <si>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</si>
  <si>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</si>
  <si>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</si>
  <si>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</si>
  <si>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</si>
  <si>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</si>
  <si>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</si>
  <si>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</si>
  <si>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Zdravotní výkony + ZUM + ZULP vykázané na pracovišti v rámci ambulantní péče - orientační přehled</t>
  </si>
  <si>
    <t>03 - III. interní klinika - nefrologická, revmatologická a endokrinologická</t>
  </si>
  <si>
    <t>08 - Porodnicko-gynekologická klinika</t>
  </si>
  <si>
    <t>09 - Novorozenecké oddělení</t>
  </si>
  <si>
    <t>10 - Dětská klinika</t>
  </si>
  <si>
    <t>17 - Neurologická klinika</t>
  </si>
  <si>
    <t>21 - Onkologická klinika</t>
  </si>
  <si>
    <t>03</t>
  </si>
  <si>
    <t>08</t>
  </si>
  <si>
    <t>09</t>
  </si>
  <si>
    <t>10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</si>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</sst>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4" xfId="0" applyNumberFormat="1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9" fontId="33" fillId="0" borderId="54" xfId="0" applyNumberFormat="1" applyFont="1" applyFill="1" applyBorder="1"/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54" xfId="0" applyNumberFormat="1" applyFont="1" applyFill="1" applyBorder="1"/>
    <xf numFmtId="3" fontId="33" fillId="0" borderId="61" xfId="0" applyNumberFormat="1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0" fontId="40" fillId="0" borderId="52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164" fontId="33" fillId="0" borderId="136" xfId="0" applyNumberFormat="1" applyFont="1" applyFill="1" applyBorder="1" applyAlignment="1">
      <alignment horizontal="right"/>
    </xf>
    <xf numFmtId="173" fontId="40" fillId="4" borderId="144" xfId="0" applyNumberFormat="1" applyFont="1" applyFill="1" applyBorder="1" applyAlignment="1">
      <alignment horizontal="center"/>
    </xf>
    <xf numFmtId="0" fontId="0" fillId="0" borderId="145" xfId="0" applyBorder="1" applyAlignment="1"/>
    <xf numFmtId="173" fontId="40" fillId="4" borderId="145" xfId="0" applyNumberFormat="1" applyFont="1" applyFill="1" applyBorder="1" applyAlignment="1">
      <alignment horizontal="center"/>
    </xf>
    <xf numFmtId="0" fontId="0" fillId="0" borderId="145" xfId="0" applyBorder="1" applyAlignment="1">
      <alignment horizontal="center"/>
    </xf>
    <xf numFmtId="173" fontId="33" fillId="0" borderId="146" xfId="0" applyNumberFormat="1" applyFont="1" applyBorder="1" applyAlignment="1">
      <alignment horizontal="right"/>
    </xf>
    <xf numFmtId="0" fontId="0" fillId="0" borderId="147" xfId="0" applyBorder="1" applyAlignment="1">
      <alignment horizontal="right"/>
    </xf>
    <xf numFmtId="173" fontId="33" fillId="0" borderId="147" xfId="0" applyNumberFormat="1" applyFont="1" applyBorder="1" applyAlignment="1">
      <alignment horizontal="right"/>
    </xf>
    <xf numFmtId="173" fontId="33" fillId="0" borderId="147" xfId="0" applyNumberFormat="1" applyFont="1" applyBorder="1" applyAlignment="1">
      <alignment horizontal="right" wrapText="1"/>
    </xf>
    <xf numFmtId="0" fontId="0" fillId="0" borderId="147" xfId="0" applyBorder="1" applyAlignment="1">
      <alignment horizontal="right" wrapText="1"/>
    </xf>
    <xf numFmtId="175" fontId="33" fillId="0" borderId="146" xfId="0" applyNumberFormat="1" applyFont="1" applyBorder="1" applyAlignment="1">
      <alignment horizontal="right"/>
    </xf>
    <xf numFmtId="175" fontId="33" fillId="0" borderId="147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3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2" xfId="0" applyNumberFormat="1" applyFont="1" applyBorder="1"/>
    <xf numFmtId="174" fontId="33" fillId="0" borderId="151" xfId="0" applyNumberFormat="1" applyFont="1" applyBorder="1"/>
    <xf numFmtId="173" fontId="40" fillId="4" borderId="57" xfId="0" applyNumberFormat="1" applyFont="1" applyFill="1" applyBorder="1" applyAlignment="1"/>
    <xf numFmtId="173" fontId="33" fillId="0" borderId="142" xfId="0" applyNumberFormat="1" applyFont="1" applyBorder="1"/>
    <xf numFmtId="173" fontId="33" fillId="0" borderId="143" xfId="0" applyNumberFormat="1" applyFont="1" applyBorder="1"/>
    <xf numFmtId="173" fontId="40" fillId="2" borderId="57" xfId="0" applyNumberFormat="1" applyFont="1" applyFill="1" applyBorder="1" applyAlignment="1"/>
    <xf numFmtId="173" fontId="33" fillId="0" borderId="151" xfId="0" applyNumberFormat="1" applyFont="1" applyBorder="1"/>
    <xf numFmtId="173" fontId="33" fillId="0" borderId="57" xfId="0" applyNumberFormat="1" applyFont="1" applyBorder="1"/>
    <xf numFmtId="173" fontId="40" fillId="4" borderId="152" xfId="0" applyNumberFormat="1" applyFont="1" applyFill="1" applyBorder="1" applyAlignment="1">
      <alignment horizontal="center"/>
    </xf>
    <xf numFmtId="173" fontId="33" fillId="0" borderId="153" xfId="0" applyNumberFormat="1" applyFont="1" applyBorder="1" applyAlignment="1">
      <alignment horizontal="right"/>
    </xf>
    <xf numFmtId="175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0" fontId="0" fillId="0" borderId="150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169" fontId="33" fillId="0" borderId="136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40" fillId="0" borderId="135" xfId="0" applyFont="1" applyFill="1" applyBorder="1"/>
    <xf numFmtId="169" fontId="33" fillId="0" borderId="25" xfId="0" applyNumberFormat="1" applyFont="1" applyFill="1" applyBorder="1"/>
    <xf numFmtId="169" fontId="33" fillId="0" borderId="140" xfId="0" applyNumberFormat="1" applyFont="1" applyFill="1" applyBorder="1"/>
    <xf numFmtId="169" fontId="33" fillId="0" borderId="13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5.2411676108528056</c:v>
                </c:pt>
                <c:pt idx="1">
                  <c:v>4.6642119316592039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3840432"/>
        <c:axId val="-11138398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2.0435287836446308</c:v>
                </c:pt>
                <c:pt idx="1">
                  <c:v>2.0435287836446308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2119696"/>
        <c:axId val="-1082119152"/>
      </c:scatterChart>
      <c:catAx>
        <c:axId val="-111384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1383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3839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13840432"/>
        <c:crosses val="autoZero"/>
        <c:crossBetween val="between"/>
      </c:valAx>
      <c:valAx>
        <c:axId val="-10821196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082119152"/>
        <c:crosses val="max"/>
        <c:crossBetween val="midCat"/>
      </c:valAx>
      <c:valAx>
        <c:axId val="-10821191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0821196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256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258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1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462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212</v>
      </c>
      <c r="C15" s="47" t="s">
        <v>222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492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1" t="s">
        <v>493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496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659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666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673</v>
      </c>
      <c r="C27" s="47" t="s">
        <v>225</v>
      </c>
    </row>
    <row r="28" spans="1:3" ht="14.4" customHeight="1" x14ac:dyDescent="0.3">
      <c r="A28" s="147" t="str">
        <f t="shared" si="4"/>
        <v>ZV Vykáz.-A Detail</v>
      </c>
      <c r="B28" s="90" t="s">
        <v>761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774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462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190.52</v>
      </c>
      <c r="K3" s="44">
        <f>IF(M3=0,0,J3/M3)</f>
        <v>1</v>
      </c>
      <c r="L3" s="43">
        <f>SUBTOTAL(9,L6:L1048576)</f>
        <v>1</v>
      </c>
      <c r="M3" s="45">
        <f>SUBTOTAL(9,M6:M1048576)</f>
        <v>190.52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6" t="s">
        <v>131</v>
      </c>
      <c r="B5" s="492" t="s">
        <v>132</v>
      </c>
      <c r="C5" s="492" t="s">
        <v>71</v>
      </c>
      <c r="D5" s="492" t="s">
        <v>133</v>
      </c>
      <c r="E5" s="492" t="s">
        <v>134</v>
      </c>
      <c r="F5" s="493" t="s">
        <v>28</v>
      </c>
      <c r="G5" s="493" t="s">
        <v>14</v>
      </c>
      <c r="H5" s="478" t="s">
        <v>135</v>
      </c>
      <c r="I5" s="477" t="s">
        <v>28</v>
      </c>
      <c r="J5" s="493" t="s">
        <v>14</v>
      </c>
      <c r="K5" s="478" t="s">
        <v>135</v>
      </c>
      <c r="L5" s="477" t="s">
        <v>28</v>
      </c>
      <c r="M5" s="494" t="s">
        <v>14</v>
      </c>
    </row>
    <row r="6" spans="1:13" ht="14.4" customHeight="1" thickBot="1" x14ac:dyDescent="0.35">
      <c r="A6" s="483" t="s">
        <v>430</v>
      </c>
      <c r="B6" s="496" t="s">
        <v>461</v>
      </c>
      <c r="C6" s="496" t="s">
        <v>451</v>
      </c>
      <c r="D6" s="496" t="s">
        <v>452</v>
      </c>
      <c r="E6" s="496" t="s">
        <v>453</v>
      </c>
      <c r="F6" s="484"/>
      <c r="G6" s="484"/>
      <c r="H6" s="302">
        <v>0</v>
      </c>
      <c r="I6" s="484">
        <v>1</v>
      </c>
      <c r="J6" s="484">
        <v>190.52</v>
      </c>
      <c r="K6" s="302">
        <v>1</v>
      </c>
      <c r="L6" s="484">
        <v>1</v>
      </c>
      <c r="M6" s="485">
        <v>190.52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212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256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10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8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214</v>
      </c>
      <c r="C4" s="377"/>
      <c r="D4" s="377"/>
      <c r="E4" s="378"/>
      <c r="F4" s="373" t="s">
        <v>219</v>
      </c>
      <c r="G4" s="374"/>
      <c r="H4" s="374"/>
      <c r="I4" s="375"/>
      <c r="J4" s="376" t="s">
        <v>220</v>
      </c>
      <c r="K4" s="377"/>
      <c r="L4" s="377"/>
      <c r="M4" s="378"/>
      <c r="N4" s="373" t="s">
        <v>221</v>
      </c>
      <c r="O4" s="374"/>
      <c r="P4" s="374"/>
      <c r="Q4" s="375"/>
    </row>
    <row r="5" spans="1:17" ht="14.4" customHeight="1" thickBot="1" x14ac:dyDescent="0.35">
      <c r="A5" s="497" t="s">
        <v>213</v>
      </c>
      <c r="B5" s="498" t="s">
        <v>215</v>
      </c>
      <c r="C5" s="498" t="s">
        <v>216</v>
      </c>
      <c r="D5" s="498" t="s">
        <v>217</v>
      </c>
      <c r="E5" s="499" t="s">
        <v>218</v>
      </c>
      <c r="F5" s="500" t="s">
        <v>215</v>
      </c>
      <c r="G5" s="501" t="s">
        <v>216</v>
      </c>
      <c r="H5" s="501" t="s">
        <v>217</v>
      </c>
      <c r="I5" s="502" t="s">
        <v>218</v>
      </c>
      <c r="J5" s="498" t="s">
        <v>215</v>
      </c>
      <c r="K5" s="498" t="s">
        <v>216</v>
      </c>
      <c r="L5" s="498" t="s">
        <v>217</v>
      </c>
      <c r="M5" s="499" t="s">
        <v>218</v>
      </c>
      <c r="N5" s="500" t="s">
        <v>215</v>
      </c>
      <c r="O5" s="501" t="s">
        <v>216</v>
      </c>
      <c r="P5" s="501" t="s">
        <v>217</v>
      </c>
      <c r="Q5" s="502" t="s">
        <v>218</v>
      </c>
    </row>
    <row r="6" spans="1:17" ht="14.4" customHeight="1" x14ac:dyDescent="0.3">
      <c r="A6" s="507" t="s">
        <v>463</v>
      </c>
      <c r="B6" s="513"/>
      <c r="C6" s="462"/>
      <c r="D6" s="462"/>
      <c r="E6" s="463"/>
      <c r="F6" s="510"/>
      <c r="G6" s="481"/>
      <c r="H6" s="481"/>
      <c r="I6" s="516"/>
      <c r="J6" s="513"/>
      <c r="K6" s="462"/>
      <c r="L6" s="462"/>
      <c r="M6" s="463"/>
      <c r="N6" s="510"/>
      <c r="O6" s="481"/>
      <c r="P6" s="481"/>
      <c r="Q6" s="503"/>
    </row>
    <row r="7" spans="1:17" ht="14.4" customHeight="1" x14ac:dyDescent="0.3">
      <c r="A7" s="508" t="s">
        <v>464</v>
      </c>
      <c r="B7" s="514">
        <v>3</v>
      </c>
      <c r="C7" s="468"/>
      <c r="D7" s="468"/>
      <c r="E7" s="469"/>
      <c r="F7" s="511">
        <v>1</v>
      </c>
      <c r="G7" s="504">
        <v>0</v>
      </c>
      <c r="H7" s="504">
        <v>0</v>
      </c>
      <c r="I7" s="517">
        <v>0</v>
      </c>
      <c r="J7" s="514">
        <v>1</v>
      </c>
      <c r="K7" s="468"/>
      <c r="L7" s="468"/>
      <c r="M7" s="469"/>
      <c r="N7" s="511">
        <v>1</v>
      </c>
      <c r="O7" s="504">
        <v>0</v>
      </c>
      <c r="P7" s="504">
        <v>0</v>
      </c>
      <c r="Q7" s="505">
        <v>0</v>
      </c>
    </row>
    <row r="8" spans="1:17" ht="14.4" customHeight="1" thickBot="1" x14ac:dyDescent="0.35">
      <c r="A8" s="509" t="s">
        <v>465</v>
      </c>
      <c r="B8" s="515">
        <v>7</v>
      </c>
      <c r="C8" s="474"/>
      <c r="D8" s="474"/>
      <c r="E8" s="475"/>
      <c r="F8" s="512">
        <v>1</v>
      </c>
      <c r="G8" s="482">
        <v>0</v>
      </c>
      <c r="H8" s="482">
        <v>0</v>
      </c>
      <c r="I8" s="518">
        <v>0</v>
      </c>
      <c r="J8" s="515">
        <v>7</v>
      </c>
      <c r="K8" s="474"/>
      <c r="L8" s="474"/>
      <c r="M8" s="475"/>
      <c r="N8" s="512">
        <v>1</v>
      </c>
      <c r="O8" s="482">
        <v>0</v>
      </c>
      <c r="P8" s="482">
        <v>0</v>
      </c>
      <c r="Q8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256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28</v>
      </c>
      <c r="B5" s="447" t="s">
        <v>454</v>
      </c>
      <c r="C5" s="450">
        <v>299.17</v>
      </c>
      <c r="D5" s="450">
        <v>3</v>
      </c>
      <c r="E5" s="450">
        <v>299.17</v>
      </c>
      <c r="F5" s="519">
        <v>1</v>
      </c>
      <c r="G5" s="450">
        <v>3</v>
      </c>
      <c r="H5" s="519">
        <v>1</v>
      </c>
      <c r="I5" s="450" t="s">
        <v>422</v>
      </c>
      <c r="J5" s="519">
        <v>0</v>
      </c>
      <c r="K5" s="450" t="s">
        <v>422</v>
      </c>
      <c r="L5" s="519">
        <v>0</v>
      </c>
      <c r="M5" s="450" t="s">
        <v>69</v>
      </c>
      <c r="N5" s="151"/>
    </row>
    <row r="6" spans="1:14" ht="14.4" customHeight="1" x14ac:dyDescent="0.3">
      <c r="A6" s="446">
        <v>28</v>
      </c>
      <c r="B6" s="447" t="s">
        <v>466</v>
      </c>
      <c r="C6" s="450">
        <v>299.17</v>
      </c>
      <c r="D6" s="450">
        <v>3</v>
      </c>
      <c r="E6" s="450">
        <v>299.17</v>
      </c>
      <c r="F6" s="519">
        <v>1</v>
      </c>
      <c r="G6" s="450">
        <v>3</v>
      </c>
      <c r="H6" s="519">
        <v>1</v>
      </c>
      <c r="I6" s="450" t="s">
        <v>422</v>
      </c>
      <c r="J6" s="519">
        <v>0</v>
      </c>
      <c r="K6" s="450" t="s">
        <v>422</v>
      </c>
      <c r="L6" s="519">
        <v>0</v>
      </c>
      <c r="M6" s="450" t="s">
        <v>1</v>
      </c>
      <c r="N6" s="151"/>
    </row>
    <row r="7" spans="1:14" ht="14.4" customHeight="1" x14ac:dyDescent="0.3">
      <c r="A7" s="446" t="s">
        <v>420</v>
      </c>
      <c r="B7" s="447" t="s">
        <v>3</v>
      </c>
      <c r="C7" s="450">
        <v>299.17</v>
      </c>
      <c r="D7" s="450">
        <v>3</v>
      </c>
      <c r="E7" s="450">
        <v>299.17</v>
      </c>
      <c r="F7" s="519">
        <v>1</v>
      </c>
      <c r="G7" s="450">
        <v>3</v>
      </c>
      <c r="H7" s="519">
        <v>1</v>
      </c>
      <c r="I7" s="450" t="s">
        <v>422</v>
      </c>
      <c r="J7" s="519">
        <v>0</v>
      </c>
      <c r="K7" s="450" t="s">
        <v>422</v>
      </c>
      <c r="L7" s="519">
        <v>0</v>
      </c>
      <c r="M7" s="450" t="s">
        <v>424</v>
      </c>
      <c r="N7" s="151"/>
    </row>
    <row r="9" spans="1:14" ht="14.4" customHeight="1" x14ac:dyDescent="0.3">
      <c r="A9" s="446">
        <v>28</v>
      </c>
      <c r="B9" s="447" t="s">
        <v>454</v>
      </c>
      <c r="C9" s="450" t="s">
        <v>422</v>
      </c>
      <c r="D9" s="450" t="s">
        <v>422</v>
      </c>
      <c r="E9" s="450" t="s">
        <v>422</v>
      </c>
      <c r="F9" s="519" t="s">
        <v>422</v>
      </c>
      <c r="G9" s="450" t="s">
        <v>422</v>
      </c>
      <c r="H9" s="519" t="s">
        <v>422</v>
      </c>
      <c r="I9" s="450" t="s">
        <v>422</v>
      </c>
      <c r="J9" s="519" t="s">
        <v>422</v>
      </c>
      <c r="K9" s="450" t="s">
        <v>422</v>
      </c>
      <c r="L9" s="519" t="s">
        <v>422</v>
      </c>
      <c r="M9" s="450" t="s">
        <v>69</v>
      </c>
      <c r="N9" s="151"/>
    </row>
    <row r="10" spans="1:14" ht="14.4" customHeight="1" x14ac:dyDescent="0.3">
      <c r="A10" s="446" t="s">
        <v>467</v>
      </c>
      <c r="B10" s="447" t="s">
        <v>466</v>
      </c>
      <c r="C10" s="450">
        <v>299.17</v>
      </c>
      <c r="D10" s="450">
        <v>3</v>
      </c>
      <c r="E10" s="450">
        <v>299.17</v>
      </c>
      <c r="F10" s="519">
        <v>1</v>
      </c>
      <c r="G10" s="450">
        <v>3</v>
      </c>
      <c r="H10" s="519">
        <v>1</v>
      </c>
      <c r="I10" s="450" t="s">
        <v>422</v>
      </c>
      <c r="J10" s="519">
        <v>0</v>
      </c>
      <c r="K10" s="450" t="s">
        <v>422</v>
      </c>
      <c r="L10" s="519">
        <v>0</v>
      </c>
      <c r="M10" s="450" t="s">
        <v>1</v>
      </c>
      <c r="N10" s="151"/>
    </row>
    <row r="11" spans="1:14" ht="14.4" customHeight="1" x14ac:dyDescent="0.3">
      <c r="A11" s="446" t="s">
        <v>467</v>
      </c>
      <c r="B11" s="447" t="s">
        <v>468</v>
      </c>
      <c r="C11" s="450">
        <v>299.17</v>
      </c>
      <c r="D11" s="450">
        <v>3</v>
      </c>
      <c r="E11" s="450">
        <v>299.17</v>
      </c>
      <c r="F11" s="519">
        <v>1</v>
      </c>
      <c r="G11" s="450">
        <v>3</v>
      </c>
      <c r="H11" s="519">
        <v>1</v>
      </c>
      <c r="I11" s="450" t="s">
        <v>422</v>
      </c>
      <c r="J11" s="519">
        <v>0</v>
      </c>
      <c r="K11" s="450" t="s">
        <v>422</v>
      </c>
      <c r="L11" s="519">
        <v>0</v>
      </c>
      <c r="M11" s="450" t="s">
        <v>428</v>
      </c>
      <c r="N11" s="151"/>
    </row>
    <row r="12" spans="1:14" ht="14.4" customHeight="1" x14ac:dyDescent="0.3">
      <c r="A12" s="446" t="s">
        <v>422</v>
      </c>
      <c r="B12" s="447" t="s">
        <v>422</v>
      </c>
      <c r="C12" s="450" t="s">
        <v>422</v>
      </c>
      <c r="D12" s="450" t="s">
        <v>422</v>
      </c>
      <c r="E12" s="450" t="s">
        <v>422</v>
      </c>
      <c r="F12" s="519" t="s">
        <v>422</v>
      </c>
      <c r="G12" s="450" t="s">
        <v>422</v>
      </c>
      <c r="H12" s="519" t="s">
        <v>422</v>
      </c>
      <c r="I12" s="450" t="s">
        <v>422</v>
      </c>
      <c r="J12" s="519" t="s">
        <v>422</v>
      </c>
      <c r="K12" s="450" t="s">
        <v>422</v>
      </c>
      <c r="L12" s="519" t="s">
        <v>422</v>
      </c>
      <c r="M12" s="450" t="s">
        <v>429</v>
      </c>
      <c r="N12" s="151"/>
    </row>
    <row r="13" spans="1:14" ht="14.4" customHeight="1" x14ac:dyDescent="0.3">
      <c r="A13" s="446" t="s">
        <v>420</v>
      </c>
      <c r="B13" s="447" t="s">
        <v>469</v>
      </c>
      <c r="C13" s="450">
        <v>299.17</v>
      </c>
      <c r="D13" s="450">
        <v>3</v>
      </c>
      <c r="E13" s="450">
        <v>299.17</v>
      </c>
      <c r="F13" s="519">
        <v>1</v>
      </c>
      <c r="G13" s="450">
        <v>3</v>
      </c>
      <c r="H13" s="519">
        <v>1</v>
      </c>
      <c r="I13" s="450" t="s">
        <v>422</v>
      </c>
      <c r="J13" s="519">
        <v>0</v>
      </c>
      <c r="K13" s="450" t="s">
        <v>422</v>
      </c>
      <c r="L13" s="519">
        <v>0</v>
      </c>
      <c r="M13" s="450" t="s">
        <v>424</v>
      </c>
      <c r="N13" s="151"/>
    </row>
    <row r="14" spans="1:14" ht="14.4" customHeight="1" x14ac:dyDescent="0.3">
      <c r="A14" s="520" t="s">
        <v>470</v>
      </c>
    </row>
    <row r="15" spans="1:14" ht="14.4" customHeight="1" x14ac:dyDescent="0.3">
      <c r="A15" s="521" t="s">
        <v>471</v>
      </c>
    </row>
    <row r="16" spans="1:14" ht="14.4" customHeight="1" x14ac:dyDescent="0.3">
      <c r="A16" s="520" t="s">
        <v>472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256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7" t="s">
        <v>136</v>
      </c>
      <c r="B4" s="498" t="s">
        <v>19</v>
      </c>
      <c r="C4" s="524"/>
      <c r="D4" s="498" t="s">
        <v>20</v>
      </c>
      <c r="E4" s="524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" customHeight="1" x14ac:dyDescent="0.3">
      <c r="A5" s="522" t="s">
        <v>473</v>
      </c>
      <c r="B5" s="513">
        <v>255.8</v>
      </c>
      <c r="C5" s="459">
        <v>1</v>
      </c>
      <c r="D5" s="525">
        <v>1</v>
      </c>
      <c r="E5" s="495" t="s">
        <v>473</v>
      </c>
      <c r="F5" s="513">
        <v>255.8</v>
      </c>
      <c r="G5" s="481">
        <v>1</v>
      </c>
      <c r="H5" s="462">
        <v>1</v>
      </c>
      <c r="I5" s="503">
        <v>1</v>
      </c>
      <c r="J5" s="528"/>
      <c r="K5" s="481">
        <v>0</v>
      </c>
      <c r="L5" s="462"/>
      <c r="M5" s="503">
        <v>0</v>
      </c>
    </row>
    <row r="6" spans="1:13" ht="14.4" customHeight="1" thickBot="1" x14ac:dyDescent="0.35">
      <c r="A6" s="523" t="s">
        <v>474</v>
      </c>
      <c r="B6" s="515">
        <v>43.37</v>
      </c>
      <c r="C6" s="471">
        <v>1</v>
      </c>
      <c r="D6" s="526">
        <v>2</v>
      </c>
      <c r="E6" s="527" t="s">
        <v>474</v>
      </c>
      <c r="F6" s="515">
        <v>43.37</v>
      </c>
      <c r="G6" s="482">
        <v>1</v>
      </c>
      <c r="H6" s="474">
        <v>2</v>
      </c>
      <c r="I6" s="506">
        <v>1</v>
      </c>
      <c r="J6" s="529"/>
      <c r="K6" s="482">
        <v>0</v>
      </c>
      <c r="L6" s="474"/>
      <c r="M6" s="506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492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256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299.17</v>
      </c>
      <c r="N3" s="66">
        <f>SUBTOTAL(9,N7:N1048576)</f>
        <v>4</v>
      </c>
      <c r="O3" s="66">
        <f>SUBTOTAL(9,O7:O1048576)</f>
        <v>3</v>
      </c>
      <c r="P3" s="66">
        <f>SUBTOTAL(9,P7:P1048576)</f>
        <v>299.17</v>
      </c>
      <c r="Q3" s="67">
        <f>IF(M3=0,0,P3/M3)</f>
        <v>1</v>
      </c>
      <c r="R3" s="66">
        <f>SUBTOTAL(9,R7:R1048576)</f>
        <v>4</v>
      </c>
      <c r="S3" s="67">
        <f>IF(N3=0,0,R3/N3)</f>
        <v>1</v>
      </c>
      <c r="T3" s="66">
        <f>SUBTOTAL(9,T7:T1048576)</f>
        <v>3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0" t="s">
        <v>23</v>
      </c>
      <c r="B6" s="531" t="s">
        <v>5</v>
      </c>
      <c r="C6" s="530" t="s">
        <v>24</v>
      </c>
      <c r="D6" s="531" t="s">
        <v>6</v>
      </c>
      <c r="E6" s="531" t="s">
        <v>152</v>
      </c>
      <c r="F6" s="531" t="s">
        <v>25</v>
      </c>
      <c r="G6" s="531" t="s">
        <v>26</v>
      </c>
      <c r="H6" s="531" t="s">
        <v>8</v>
      </c>
      <c r="I6" s="531" t="s">
        <v>10</v>
      </c>
      <c r="J6" s="531" t="s">
        <v>11</v>
      </c>
      <c r="K6" s="531" t="s">
        <v>12</v>
      </c>
      <c r="L6" s="531" t="s">
        <v>27</v>
      </c>
      <c r="M6" s="532" t="s">
        <v>14</v>
      </c>
      <c r="N6" s="533" t="s">
        <v>28</v>
      </c>
      <c r="O6" s="533" t="s">
        <v>28</v>
      </c>
      <c r="P6" s="533" t="s">
        <v>14</v>
      </c>
      <c r="Q6" s="533" t="s">
        <v>2</v>
      </c>
      <c r="R6" s="533" t="s">
        <v>28</v>
      </c>
      <c r="S6" s="533" t="s">
        <v>2</v>
      </c>
      <c r="T6" s="533" t="s">
        <v>28</v>
      </c>
      <c r="U6" s="534" t="s">
        <v>2</v>
      </c>
    </row>
    <row r="7" spans="1:21" ht="14.4" customHeight="1" x14ac:dyDescent="0.3">
      <c r="A7" s="536">
        <v>28</v>
      </c>
      <c r="B7" s="537" t="s">
        <v>454</v>
      </c>
      <c r="C7" s="537" t="s">
        <v>467</v>
      </c>
      <c r="D7" s="538" t="s">
        <v>491</v>
      </c>
      <c r="E7" s="539" t="s">
        <v>473</v>
      </c>
      <c r="F7" s="537" t="s">
        <v>466</v>
      </c>
      <c r="G7" s="537" t="s">
        <v>475</v>
      </c>
      <c r="H7" s="537" t="s">
        <v>450</v>
      </c>
      <c r="I7" s="537" t="s">
        <v>476</v>
      </c>
      <c r="J7" s="537" t="s">
        <v>477</v>
      </c>
      <c r="K7" s="537" t="s">
        <v>478</v>
      </c>
      <c r="L7" s="540">
        <v>70.540000000000006</v>
      </c>
      <c r="M7" s="540">
        <v>70.540000000000006</v>
      </c>
      <c r="N7" s="537">
        <v>1</v>
      </c>
      <c r="O7" s="541">
        <v>0.5</v>
      </c>
      <c r="P7" s="540">
        <v>70.540000000000006</v>
      </c>
      <c r="Q7" s="542">
        <v>1</v>
      </c>
      <c r="R7" s="537">
        <v>1</v>
      </c>
      <c r="S7" s="542">
        <v>1</v>
      </c>
      <c r="T7" s="541">
        <v>0.5</v>
      </c>
      <c r="U7" s="122">
        <v>1</v>
      </c>
    </row>
    <row r="8" spans="1:21" ht="14.4" customHeight="1" x14ac:dyDescent="0.3">
      <c r="A8" s="551">
        <v>28</v>
      </c>
      <c r="B8" s="552" t="s">
        <v>454</v>
      </c>
      <c r="C8" s="552" t="s">
        <v>467</v>
      </c>
      <c r="D8" s="553" t="s">
        <v>491</v>
      </c>
      <c r="E8" s="554" t="s">
        <v>473</v>
      </c>
      <c r="F8" s="552" t="s">
        <v>466</v>
      </c>
      <c r="G8" s="552" t="s">
        <v>479</v>
      </c>
      <c r="H8" s="552" t="s">
        <v>422</v>
      </c>
      <c r="I8" s="552" t="s">
        <v>480</v>
      </c>
      <c r="J8" s="552" t="s">
        <v>481</v>
      </c>
      <c r="K8" s="552" t="s">
        <v>482</v>
      </c>
      <c r="L8" s="555">
        <v>185.26</v>
      </c>
      <c r="M8" s="555">
        <v>185.26</v>
      </c>
      <c r="N8" s="552">
        <v>1</v>
      </c>
      <c r="O8" s="556">
        <v>0.5</v>
      </c>
      <c r="P8" s="555">
        <v>185.26</v>
      </c>
      <c r="Q8" s="557">
        <v>1</v>
      </c>
      <c r="R8" s="552">
        <v>1</v>
      </c>
      <c r="S8" s="557">
        <v>1</v>
      </c>
      <c r="T8" s="556">
        <v>0.5</v>
      </c>
      <c r="U8" s="558">
        <v>1</v>
      </c>
    </row>
    <row r="9" spans="1:21" ht="14.4" customHeight="1" x14ac:dyDescent="0.3">
      <c r="A9" s="551">
        <v>28</v>
      </c>
      <c r="B9" s="552" t="s">
        <v>454</v>
      </c>
      <c r="C9" s="552" t="s">
        <v>467</v>
      </c>
      <c r="D9" s="553" t="s">
        <v>491</v>
      </c>
      <c r="E9" s="554" t="s">
        <v>474</v>
      </c>
      <c r="F9" s="552" t="s">
        <v>466</v>
      </c>
      <c r="G9" s="552" t="s">
        <v>483</v>
      </c>
      <c r="H9" s="552" t="s">
        <v>422</v>
      </c>
      <c r="I9" s="552" t="s">
        <v>484</v>
      </c>
      <c r="J9" s="552" t="s">
        <v>485</v>
      </c>
      <c r="K9" s="552" t="s">
        <v>486</v>
      </c>
      <c r="L9" s="555">
        <v>0</v>
      </c>
      <c r="M9" s="555">
        <v>0</v>
      </c>
      <c r="N9" s="552">
        <v>1</v>
      </c>
      <c r="O9" s="556">
        <v>1</v>
      </c>
      <c r="P9" s="555">
        <v>0</v>
      </c>
      <c r="Q9" s="557"/>
      <c r="R9" s="552">
        <v>1</v>
      </c>
      <c r="S9" s="557">
        <v>1</v>
      </c>
      <c r="T9" s="556">
        <v>1</v>
      </c>
      <c r="U9" s="558">
        <v>1</v>
      </c>
    </row>
    <row r="10" spans="1:21" ht="14.4" customHeight="1" thickBot="1" x14ac:dyDescent="0.35">
      <c r="A10" s="543">
        <v>28</v>
      </c>
      <c r="B10" s="544" t="s">
        <v>454</v>
      </c>
      <c r="C10" s="544" t="s">
        <v>467</v>
      </c>
      <c r="D10" s="545" t="s">
        <v>491</v>
      </c>
      <c r="E10" s="546" t="s">
        <v>474</v>
      </c>
      <c r="F10" s="544" t="s">
        <v>466</v>
      </c>
      <c r="G10" s="544" t="s">
        <v>487</v>
      </c>
      <c r="H10" s="544" t="s">
        <v>422</v>
      </c>
      <c r="I10" s="544" t="s">
        <v>488</v>
      </c>
      <c r="J10" s="544" t="s">
        <v>489</v>
      </c>
      <c r="K10" s="544" t="s">
        <v>490</v>
      </c>
      <c r="L10" s="547">
        <v>43.37</v>
      </c>
      <c r="M10" s="547">
        <v>43.37</v>
      </c>
      <c r="N10" s="544">
        <v>1</v>
      </c>
      <c r="O10" s="548">
        <v>1</v>
      </c>
      <c r="P10" s="547">
        <v>43.37</v>
      </c>
      <c r="Q10" s="549">
        <v>1</v>
      </c>
      <c r="R10" s="544">
        <v>1</v>
      </c>
      <c r="S10" s="549">
        <v>1</v>
      </c>
      <c r="T10" s="548">
        <v>1</v>
      </c>
      <c r="U10" s="55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493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59" t="s">
        <v>166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thickBot="1" x14ac:dyDescent="0.35">
      <c r="A5" s="565" t="s">
        <v>473</v>
      </c>
      <c r="B5" s="560"/>
      <c r="C5" s="535">
        <v>0</v>
      </c>
      <c r="D5" s="560">
        <v>70.540000000000006</v>
      </c>
      <c r="E5" s="535">
        <v>1</v>
      </c>
      <c r="F5" s="561">
        <v>70.540000000000006</v>
      </c>
    </row>
    <row r="6" spans="1:6" ht="14.4" customHeight="1" thickBot="1" x14ac:dyDescent="0.35">
      <c r="A6" s="486" t="s">
        <v>3</v>
      </c>
      <c r="B6" s="487"/>
      <c r="C6" s="488">
        <v>0</v>
      </c>
      <c r="D6" s="487">
        <v>70.540000000000006</v>
      </c>
      <c r="E6" s="488">
        <v>1</v>
      </c>
      <c r="F6" s="489">
        <v>70.540000000000006</v>
      </c>
    </row>
    <row r="7" spans="1:6" ht="14.4" customHeight="1" thickBot="1" x14ac:dyDescent="0.35"/>
    <row r="8" spans="1:6" ht="14.4" customHeight="1" thickBot="1" x14ac:dyDescent="0.35">
      <c r="A8" s="565" t="s">
        <v>494</v>
      </c>
      <c r="B8" s="560"/>
      <c r="C8" s="535">
        <v>0</v>
      </c>
      <c r="D8" s="560">
        <v>70.540000000000006</v>
      </c>
      <c r="E8" s="535">
        <v>1</v>
      </c>
      <c r="F8" s="561">
        <v>70.540000000000006</v>
      </c>
    </row>
    <row r="9" spans="1:6" ht="14.4" customHeight="1" thickBot="1" x14ac:dyDescent="0.35">
      <c r="A9" s="486" t="s">
        <v>3</v>
      </c>
      <c r="B9" s="487"/>
      <c r="C9" s="488">
        <v>0</v>
      </c>
      <c r="D9" s="487">
        <v>70.540000000000006</v>
      </c>
      <c r="E9" s="488">
        <v>1</v>
      </c>
      <c r="F9" s="489">
        <v>70.540000000000006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{FBB62DC4-0AFD-4CB1-89C7-29654CECC316}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{2D00F35E-5609-4943-82BB-81D1C6883CAE}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B62DC4-0AFD-4CB1-89C7-29654CECC3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2D00F35E-5609-4943-82BB-81D1C6883C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496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70.540000000000006</v>
      </c>
      <c r="K3" s="44">
        <f>IF(M3=0,0,J3/M3)</f>
        <v>1</v>
      </c>
      <c r="L3" s="43">
        <f>SUBTOTAL(9,L6:L1048576)</f>
        <v>1</v>
      </c>
      <c r="M3" s="45">
        <f>SUBTOTAL(9,M6:M1048576)</f>
        <v>70.540000000000006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59" t="s">
        <v>136</v>
      </c>
      <c r="B5" s="566" t="s">
        <v>132</v>
      </c>
      <c r="C5" s="566" t="s">
        <v>71</v>
      </c>
      <c r="D5" s="566" t="s">
        <v>133</v>
      </c>
      <c r="E5" s="566" t="s">
        <v>134</v>
      </c>
      <c r="F5" s="493" t="s">
        <v>28</v>
      </c>
      <c r="G5" s="493" t="s">
        <v>14</v>
      </c>
      <c r="H5" s="478" t="s">
        <v>135</v>
      </c>
      <c r="I5" s="477" t="s">
        <v>28</v>
      </c>
      <c r="J5" s="493" t="s">
        <v>14</v>
      </c>
      <c r="K5" s="478" t="s">
        <v>135</v>
      </c>
      <c r="L5" s="477" t="s">
        <v>28</v>
      </c>
      <c r="M5" s="494" t="s">
        <v>14</v>
      </c>
    </row>
    <row r="6" spans="1:13" ht="14.4" customHeight="1" thickBot="1" x14ac:dyDescent="0.35">
      <c r="A6" s="483" t="s">
        <v>473</v>
      </c>
      <c r="B6" s="496" t="s">
        <v>495</v>
      </c>
      <c r="C6" s="496" t="s">
        <v>476</v>
      </c>
      <c r="D6" s="496" t="s">
        <v>477</v>
      </c>
      <c r="E6" s="496" t="s">
        <v>478</v>
      </c>
      <c r="F6" s="484"/>
      <c r="G6" s="484"/>
      <c r="H6" s="302">
        <v>0</v>
      </c>
      <c r="I6" s="484">
        <v>1</v>
      </c>
      <c r="J6" s="484">
        <v>70.540000000000006</v>
      </c>
      <c r="K6" s="302">
        <v>1</v>
      </c>
      <c r="L6" s="484">
        <v>1</v>
      </c>
      <c r="M6" s="485">
        <v>70.540000000000006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211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6" t="s">
        <v>420</v>
      </c>
      <c r="B5" s="447" t="s">
        <v>421</v>
      </c>
      <c r="C5" s="448" t="s">
        <v>422</v>
      </c>
      <c r="D5" s="448" t="s">
        <v>422</v>
      </c>
      <c r="E5" s="448"/>
      <c r="F5" s="448" t="s">
        <v>422</v>
      </c>
      <c r="G5" s="448" t="s">
        <v>422</v>
      </c>
      <c r="H5" s="448" t="s">
        <v>422</v>
      </c>
      <c r="I5" s="449" t="s">
        <v>422</v>
      </c>
      <c r="J5" s="450" t="s">
        <v>69</v>
      </c>
    </row>
    <row r="6" spans="1:10" ht="14.4" customHeight="1" x14ac:dyDescent="0.3">
      <c r="A6" s="446" t="s">
        <v>420</v>
      </c>
      <c r="B6" s="447" t="s">
        <v>270</v>
      </c>
      <c r="C6" s="448">
        <v>272.00166000000104</v>
      </c>
      <c r="D6" s="448">
        <v>121.70499</v>
      </c>
      <c r="E6" s="448"/>
      <c r="F6" s="448">
        <v>752.81284000000005</v>
      </c>
      <c r="G6" s="448">
        <v>703.00019378593663</v>
      </c>
      <c r="H6" s="448">
        <v>49.81264621406342</v>
      </c>
      <c r="I6" s="449">
        <v>1.0708572297054464</v>
      </c>
      <c r="J6" s="450" t="s">
        <v>1</v>
      </c>
    </row>
    <row r="7" spans="1:10" ht="14.4" customHeight="1" x14ac:dyDescent="0.3">
      <c r="A7" s="446" t="s">
        <v>420</v>
      </c>
      <c r="B7" s="447" t="s">
        <v>271</v>
      </c>
      <c r="C7" s="448">
        <v>18.3294</v>
      </c>
      <c r="D7" s="448">
        <v>91.123450000000005</v>
      </c>
      <c r="E7" s="448"/>
      <c r="F7" s="448">
        <v>16.86955</v>
      </c>
      <c r="G7" s="448">
        <v>41.666678152319662</v>
      </c>
      <c r="H7" s="448">
        <v>-24.797128152319662</v>
      </c>
      <c r="I7" s="449">
        <v>0.40486908839553942</v>
      </c>
      <c r="J7" s="450" t="s">
        <v>1</v>
      </c>
    </row>
    <row r="8" spans="1:10" ht="14.4" customHeight="1" x14ac:dyDescent="0.3">
      <c r="A8" s="446" t="s">
        <v>420</v>
      </c>
      <c r="B8" s="447" t="s">
        <v>272</v>
      </c>
      <c r="C8" s="448">
        <v>2.4544800000000002</v>
      </c>
      <c r="D8" s="448">
        <v>0.77888999999999997</v>
      </c>
      <c r="E8" s="448"/>
      <c r="F8" s="448">
        <v>1.4678300000000002</v>
      </c>
      <c r="G8" s="448">
        <v>3.3333342521853337</v>
      </c>
      <c r="H8" s="448">
        <v>-1.8655042521853336</v>
      </c>
      <c r="I8" s="449">
        <v>0.44034887861536565</v>
      </c>
      <c r="J8" s="450" t="s">
        <v>1</v>
      </c>
    </row>
    <row r="9" spans="1:10" ht="14.4" customHeight="1" x14ac:dyDescent="0.3">
      <c r="A9" s="446" t="s">
        <v>420</v>
      </c>
      <c r="B9" s="447" t="s">
        <v>273</v>
      </c>
      <c r="C9" s="448">
        <v>14.59342</v>
      </c>
      <c r="D9" s="448">
        <v>17.627359999999999</v>
      </c>
      <c r="E9" s="448"/>
      <c r="F9" s="448">
        <v>29.210709999999999</v>
      </c>
      <c r="G9" s="448">
        <v>45.000012404505171</v>
      </c>
      <c r="H9" s="448">
        <v>-15.789302404505172</v>
      </c>
      <c r="I9" s="449">
        <v>0.64912670995343047</v>
      </c>
      <c r="J9" s="450" t="s">
        <v>1</v>
      </c>
    </row>
    <row r="10" spans="1:10" ht="14.4" customHeight="1" x14ac:dyDescent="0.3">
      <c r="A10" s="446" t="s">
        <v>420</v>
      </c>
      <c r="B10" s="447" t="s">
        <v>274</v>
      </c>
      <c r="C10" s="448">
        <v>0</v>
      </c>
      <c r="D10" s="448">
        <v>0</v>
      </c>
      <c r="E10" s="448"/>
      <c r="F10" s="448">
        <v>0</v>
      </c>
      <c r="G10" s="448">
        <v>1.3600003748833333E-2</v>
      </c>
      <c r="H10" s="448">
        <v>-1.3600003748833333E-2</v>
      </c>
      <c r="I10" s="449">
        <v>0</v>
      </c>
      <c r="J10" s="450" t="s">
        <v>1</v>
      </c>
    </row>
    <row r="11" spans="1:10" ht="14.4" customHeight="1" x14ac:dyDescent="0.3">
      <c r="A11" s="446" t="s">
        <v>420</v>
      </c>
      <c r="B11" s="447" t="s">
        <v>275</v>
      </c>
      <c r="C11" s="448">
        <v>1.3414999999999999</v>
      </c>
      <c r="D11" s="448">
        <v>0.77200000000000002</v>
      </c>
      <c r="E11" s="448"/>
      <c r="F11" s="448">
        <v>0.45199999999999996</v>
      </c>
      <c r="G11" s="448">
        <v>1.1666669882648333</v>
      </c>
      <c r="H11" s="448">
        <v>-0.71466698826483332</v>
      </c>
      <c r="I11" s="449">
        <v>0.38742846463175662</v>
      </c>
      <c r="J11" s="450" t="s">
        <v>1</v>
      </c>
    </row>
    <row r="12" spans="1:10" ht="14.4" customHeight="1" x14ac:dyDescent="0.3">
      <c r="A12" s="446" t="s">
        <v>420</v>
      </c>
      <c r="B12" s="447" t="s">
        <v>276</v>
      </c>
      <c r="C12" s="448">
        <v>0.96823999999999999</v>
      </c>
      <c r="D12" s="448">
        <v>2.3254000000000001</v>
      </c>
      <c r="E12" s="448"/>
      <c r="F12" s="448">
        <v>1.452</v>
      </c>
      <c r="G12" s="448">
        <v>2.6666674017483336</v>
      </c>
      <c r="H12" s="448">
        <v>-1.2146674017483337</v>
      </c>
      <c r="I12" s="449">
        <v>0.54449984990555345</v>
      </c>
      <c r="J12" s="450" t="s">
        <v>1</v>
      </c>
    </row>
    <row r="13" spans="1:10" ht="14.4" customHeight="1" x14ac:dyDescent="0.3">
      <c r="A13" s="446" t="s">
        <v>420</v>
      </c>
      <c r="B13" s="447" t="s">
        <v>423</v>
      </c>
      <c r="C13" s="448">
        <v>309.68870000000101</v>
      </c>
      <c r="D13" s="448">
        <v>234.33208999999999</v>
      </c>
      <c r="E13" s="448"/>
      <c r="F13" s="448">
        <v>802.26493000000005</v>
      </c>
      <c r="G13" s="448">
        <v>796.84715298870867</v>
      </c>
      <c r="H13" s="448">
        <v>5.4177770112913777</v>
      </c>
      <c r="I13" s="449">
        <v>1.0067990165880258</v>
      </c>
      <c r="J13" s="450" t="s">
        <v>424</v>
      </c>
    </row>
    <row r="15" spans="1:10" ht="14.4" customHeight="1" x14ac:dyDescent="0.3">
      <c r="A15" s="446" t="s">
        <v>420</v>
      </c>
      <c r="B15" s="447" t="s">
        <v>421</v>
      </c>
      <c r="C15" s="448" t="s">
        <v>422</v>
      </c>
      <c r="D15" s="448" t="s">
        <v>422</v>
      </c>
      <c r="E15" s="448"/>
      <c r="F15" s="448" t="s">
        <v>422</v>
      </c>
      <c r="G15" s="448" t="s">
        <v>422</v>
      </c>
      <c r="H15" s="448" t="s">
        <v>422</v>
      </c>
      <c r="I15" s="449" t="s">
        <v>422</v>
      </c>
      <c r="J15" s="450" t="s">
        <v>69</v>
      </c>
    </row>
    <row r="16" spans="1:10" ht="14.4" customHeight="1" x14ac:dyDescent="0.3">
      <c r="A16" s="446" t="s">
        <v>425</v>
      </c>
      <c r="B16" s="447" t="s">
        <v>426</v>
      </c>
      <c r="C16" s="448" t="s">
        <v>422</v>
      </c>
      <c r="D16" s="448" t="s">
        <v>422</v>
      </c>
      <c r="E16" s="448"/>
      <c r="F16" s="448" t="s">
        <v>422</v>
      </c>
      <c r="G16" s="448" t="s">
        <v>422</v>
      </c>
      <c r="H16" s="448" t="s">
        <v>422</v>
      </c>
      <c r="I16" s="449" t="s">
        <v>422</v>
      </c>
      <c r="J16" s="450" t="s">
        <v>0</v>
      </c>
    </row>
    <row r="17" spans="1:10" ht="14.4" customHeight="1" x14ac:dyDescent="0.3">
      <c r="A17" s="446" t="s">
        <v>425</v>
      </c>
      <c r="B17" s="447" t="s">
        <v>270</v>
      </c>
      <c r="C17" s="448">
        <v>0</v>
      </c>
      <c r="D17" s="448" t="s">
        <v>422</v>
      </c>
      <c r="E17" s="448"/>
      <c r="F17" s="448" t="s">
        <v>422</v>
      </c>
      <c r="G17" s="448" t="s">
        <v>422</v>
      </c>
      <c r="H17" s="448" t="s">
        <v>422</v>
      </c>
      <c r="I17" s="449" t="s">
        <v>422</v>
      </c>
      <c r="J17" s="450" t="s">
        <v>1</v>
      </c>
    </row>
    <row r="18" spans="1:10" ht="14.4" customHeight="1" x14ac:dyDescent="0.3">
      <c r="A18" s="446" t="s">
        <v>425</v>
      </c>
      <c r="B18" s="447" t="s">
        <v>271</v>
      </c>
      <c r="C18" s="448" t="s">
        <v>422</v>
      </c>
      <c r="D18" s="448">
        <v>7.8891999999999998</v>
      </c>
      <c r="E18" s="448"/>
      <c r="F18" s="448">
        <v>0</v>
      </c>
      <c r="G18" s="448">
        <v>1.2862500240813333</v>
      </c>
      <c r="H18" s="448">
        <v>-1.2862500240813333</v>
      </c>
      <c r="I18" s="449">
        <v>0</v>
      </c>
      <c r="J18" s="450" t="s">
        <v>1</v>
      </c>
    </row>
    <row r="19" spans="1:10" ht="14.4" customHeight="1" x14ac:dyDescent="0.3">
      <c r="A19" s="446" t="s">
        <v>425</v>
      </c>
      <c r="B19" s="447" t="s">
        <v>272</v>
      </c>
      <c r="C19" s="448">
        <v>1.6492800000000001</v>
      </c>
      <c r="D19" s="448">
        <v>2.794E-2</v>
      </c>
      <c r="E19" s="448"/>
      <c r="F19" s="448">
        <v>0.63607000000000002</v>
      </c>
      <c r="G19" s="448">
        <v>1.5752766749846667</v>
      </c>
      <c r="H19" s="448">
        <v>-0.9392066749846667</v>
      </c>
      <c r="I19" s="449">
        <v>0.40378303703772628</v>
      </c>
      <c r="J19" s="450" t="s">
        <v>1</v>
      </c>
    </row>
    <row r="20" spans="1:10" ht="14.4" customHeight="1" x14ac:dyDescent="0.3">
      <c r="A20" s="446" t="s">
        <v>425</v>
      </c>
      <c r="B20" s="447" t="s">
        <v>273</v>
      </c>
      <c r="C20" s="448">
        <v>3.45017</v>
      </c>
      <c r="D20" s="448">
        <v>0.91179999999999994</v>
      </c>
      <c r="E20" s="448"/>
      <c r="F20" s="448">
        <v>2.44814</v>
      </c>
      <c r="G20" s="448">
        <v>3.1294469381896666</v>
      </c>
      <c r="H20" s="448">
        <v>-0.68130693818966659</v>
      </c>
      <c r="I20" s="449">
        <v>0.78229158325854486</v>
      </c>
      <c r="J20" s="450" t="s">
        <v>1</v>
      </c>
    </row>
    <row r="21" spans="1:10" ht="14.4" customHeight="1" x14ac:dyDescent="0.3">
      <c r="A21" s="446" t="s">
        <v>425</v>
      </c>
      <c r="B21" s="447" t="s">
        <v>274</v>
      </c>
      <c r="C21" s="448">
        <v>0</v>
      </c>
      <c r="D21" s="448">
        <v>0</v>
      </c>
      <c r="E21" s="448"/>
      <c r="F21" s="448">
        <v>0</v>
      </c>
      <c r="G21" s="448">
        <v>1.3600003748833333E-2</v>
      </c>
      <c r="H21" s="448">
        <v>-1.3600003748833333E-2</v>
      </c>
      <c r="I21" s="449">
        <v>0</v>
      </c>
      <c r="J21" s="450" t="s">
        <v>1</v>
      </c>
    </row>
    <row r="22" spans="1:10" ht="14.4" customHeight="1" x14ac:dyDescent="0.3">
      <c r="A22" s="446" t="s">
        <v>425</v>
      </c>
      <c r="B22" s="447" t="s">
        <v>275</v>
      </c>
      <c r="C22" s="448">
        <v>1.2195</v>
      </c>
      <c r="D22" s="448">
        <v>0.71</v>
      </c>
      <c r="E22" s="448"/>
      <c r="F22" s="448">
        <v>0.36099999999999999</v>
      </c>
      <c r="G22" s="448">
        <v>1.0105560066001666</v>
      </c>
      <c r="H22" s="448">
        <v>-0.64955600660016666</v>
      </c>
      <c r="I22" s="449">
        <v>0.35722908739567971</v>
      </c>
      <c r="J22" s="450" t="s">
        <v>1</v>
      </c>
    </row>
    <row r="23" spans="1:10" ht="14.4" customHeight="1" x14ac:dyDescent="0.3">
      <c r="A23" s="446" t="s">
        <v>425</v>
      </c>
      <c r="B23" s="447" t="s">
        <v>276</v>
      </c>
      <c r="C23" s="448">
        <v>0.14599999999999999</v>
      </c>
      <c r="D23" s="448">
        <v>0.43599999999999994</v>
      </c>
      <c r="E23" s="448"/>
      <c r="F23" s="448">
        <v>0.85199999999999987</v>
      </c>
      <c r="G23" s="448">
        <v>0.98240008492749997</v>
      </c>
      <c r="H23" s="448">
        <v>-0.1304000849275001</v>
      </c>
      <c r="I23" s="449">
        <v>0.86726376867412069</v>
      </c>
      <c r="J23" s="450" t="s">
        <v>1</v>
      </c>
    </row>
    <row r="24" spans="1:10" ht="14.4" customHeight="1" x14ac:dyDescent="0.3">
      <c r="A24" s="446" t="s">
        <v>425</v>
      </c>
      <c r="B24" s="447" t="s">
        <v>427</v>
      </c>
      <c r="C24" s="448">
        <v>6.46495</v>
      </c>
      <c r="D24" s="448">
        <v>9.9749400000000001</v>
      </c>
      <c r="E24" s="448"/>
      <c r="F24" s="448">
        <v>4.2972099999999998</v>
      </c>
      <c r="G24" s="448">
        <v>7.9975297325321675</v>
      </c>
      <c r="H24" s="448">
        <v>-3.7003197325321677</v>
      </c>
      <c r="I24" s="449">
        <v>0.5373171646389644</v>
      </c>
      <c r="J24" s="450" t="s">
        <v>428</v>
      </c>
    </row>
    <row r="25" spans="1:10" ht="14.4" customHeight="1" x14ac:dyDescent="0.3">
      <c r="A25" s="446" t="s">
        <v>422</v>
      </c>
      <c r="B25" s="447" t="s">
        <v>422</v>
      </c>
      <c r="C25" s="448" t="s">
        <v>422</v>
      </c>
      <c r="D25" s="448" t="s">
        <v>422</v>
      </c>
      <c r="E25" s="448"/>
      <c r="F25" s="448" t="s">
        <v>422</v>
      </c>
      <c r="G25" s="448" t="s">
        <v>422</v>
      </c>
      <c r="H25" s="448" t="s">
        <v>422</v>
      </c>
      <c r="I25" s="449" t="s">
        <v>422</v>
      </c>
      <c r="J25" s="450" t="s">
        <v>429</v>
      </c>
    </row>
    <row r="26" spans="1:10" ht="14.4" customHeight="1" x14ac:dyDescent="0.3">
      <c r="A26" s="446" t="s">
        <v>430</v>
      </c>
      <c r="B26" s="447" t="s">
        <v>431</v>
      </c>
      <c r="C26" s="448" t="s">
        <v>422</v>
      </c>
      <c r="D26" s="448" t="s">
        <v>422</v>
      </c>
      <c r="E26" s="448"/>
      <c r="F26" s="448" t="s">
        <v>422</v>
      </c>
      <c r="G26" s="448" t="s">
        <v>422</v>
      </c>
      <c r="H26" s="448" t="s">
        <v>422</v>
      </c>
      <c r="I26" s="449" t="s">
        <v>422</v>
      </c>
      <c r="J26" s="450" t="s">
        <v>0</v>
      </c>
    </row>
    <row r="27" spans="1:10" ht="14.4" customHeight="1" x14ac:dyDescent="0.3">
      <c r="A27" s="446" t="s">
        <v>430</v>
      </c>
      <c r="B27" s="447" t="s">
        <v>270</v>
      </c>
      <c r="C27" s="448">
        <v>272.00166000000104</v>
      </c>
      <c r="D27" s="448">
        <v>121.70499</v>
      </c>
      <c r="E27" s="448"/>
      <c r="F27" s="448">
        <v>752.81284000000005</v>
      </c>
      <c r="G27" s="448">
        <v>703.00019378593663</v>
      </c>
      <c r="H27" s="448">
        <v>49.81264621406342</v>
      </c>
      <c r="I27" s="449">
        <v>1.0708572297054464</v>
      </c>
      <c r="J27" s="450" t="s">
        <v>1</v>
      </c>
    </row>
    <row r="28" spans="1:10" ht="14.4" customHeight="1" x14ac:dyDescent="0.3">
      <c r="A28" s="446" t="s">
        <v>430</v>
      </c>
      <c r="B28" s="447" t="s">
        <v>271</v>
      </c>
      <c r="C28" s="448">
        <v>18.3294</v>
      </c>
      <c r="D28" s="448">
        <v>83.234250000000003</v>
      </c>
      <c r="E28" s="448"/>
      <c r="F28" s="448">
        <v>16.86955</v>
      </c>
      <c r="G28" s="448">
        <v>40.380428128238329</v>
      </c>
      <c r="H28" s="448">
        <v>-23.510878128238328</v>
      </c>
      <c r="I28" s="449">
        <v>0.4177655062602717</v>
      </c>
      <c r="J28" s="450" t="s">
        <v>1</v>
      </c>
    </row>
    <row r="29" spans="1:10" ht="14.4" customHeight="1" x14ac:dyDescent="0.3">
      <c r="A29" s="446" t="s">
        <v>430</v>
      </c>
      <c r="B29" s="447" t="s">
        <v>272</v>
      </c>
      <c r="C29" s="448">
        <v>0.80520000000000003</v>
      </c>
      <c r="D29" s="448">
        <v>0.75095000000000001</v>
      </c>
      <c r="E29" s="448"/>
      <c r="F29" s="448">
        <v>0.83176000000000005</v>
      </c>
      <c r="G29" s="448">
        <v>1.7580575772006668</v>
      </c>
      <c r="H29" s="448">
        <v>-0.92629757720066674</v>
      </c>
      <c r="I29" s="449">
        <v>0.4731130599968183</v>
      </c>
      <c r="J29" s="450" t="s">
        <v>1</v>
      </c>
    </row>
    <row r="30" spans="1:10" ht="14.4" customHeight="1" x14ac:dyDescent="0.3">
      <c r="A30" s="446" t="s">
        <v>430</v>
      </c>
      <c r="B30" s="447" t="s">
        <v>273</v>
      </c>
      <c r="C30" s="448">
        <v>11.14325</v>
      </c>
      <c r="D30" s="448">
        <v>16.71556</v>
      </c>
      <c r="E30" s="448"/>
      <c r="F30" s="448">
        <v>26.76257</v>
      </c>
      <c r="G30" s="448">
        <v>41.870565466315504</v>
      </c>
      <c r="H30" s="448">
        <v>-15.107995466315504</v>
      </c>
      <c r="I30" s="449">
        <v>0.63917383732326827</v>
      </c>
      <c r="J30" s="450" t="s">
        <v>1</v>
      </c>
    </row>
    <row r="31" spans="1:10" ht="14.4" customHeight="1" x14ac:dyDescent="0.3">
      <c r="A31" s="446" t="s">
        <v>430</v>
      </c>
      <c r="B31" s="447" t="s">
        <v>275</v>
      </c>
      <c r="C31" s="448">
        <v>0.122</v>
      </c>
      <c r="D31" s="448">
        <v>6.2E-2</v>
      </c>
      <c r="E31" s="448"/>
      <c r="F31" s="448">
        <v>9.0999999999999998E-2</v>
      </c>
      <c r="G31" s="448">
        <v>0.15611098166466666</v>
      </c>
      <c r="H31" s="448">
        <v>-6.5110981664666667E-2</v>
      </c>
      <c r="I31" s="449">
        <v>0.58291863281900336</v>
      </c>
      <c r="J31" s="450" t="s">
        <v>1</v>
      </c>
    </row>
    <row r="32" spans="1:10" ht="14.4" customHeight="1" x14ac:dyDescent="0.3">
      <c r="A32" s="446" t="s">
        <v>430</v>
      </c>
      <c r="B32" s="447" t="s">
        <v>276</v>
      </c>
      <c r="C32" s="448">
        <v>0.82223999999999997</v>
      </c>
      <c r="D32" s="448">
        <v>1.8894000000000002</v>
      </c>
      <c r="E32" s="448"/>
      <c r="F32" s="448">
        <v>0.6</v>
      </c>
      <c r="G32" s="448">
        <v>1.6842673168208335</v>
      </c>
      <c r="H32" s="448">
        <v>-1.0842673168208337</v>
      </c>
      <c r="I32" s="449">
        <v>0.35623798788219668</v>
      </c>
      <c r="J32" s="450" t="s">
        <v>1</v>
      </c>
    </row>
    <row r="33" spans="1:10" ht="14.4" customHeight="1" x14ac:dyDescent="0.3">
      <c r="A33" s="446" t="s">
        <v>430</v>
      </c>
      <c r="B33" s="447" t="s">
        <v>432</v>
      </c>
      <c r="C33" s="448">
        <v>303.22375000000113</v>
      </c>
      <c r="D33" s="448">
        <v>224.35714999999999</v>
      </c>
      <c r="E33" s="448"/>
      <c r="F33" s="448">
        <v>797.9677200000001</v>
      </c>
      <c r="G33" s="448">
        <v>788.84962325617676</v>
      </c>
      <c r="H33" s="448">
        <v>9.1180967438233438</v>
      </c>
      <c r="I33" s="449">
        <v>1.0115587261184027</v>
      </c>
      <c r="J33" s="450" t="s">
        <v>428</v>
      </c>
    </row>
    <row r="34" spans="1:10" ht="14.4" customHeight="1" x14ac:dyDescent="0.3">
      <c r="A34" s="446" t="s">
        <v>422</v>
      </c>
      <c r="B34" s="447" t="s">
        <v>422</v>
      </c>
      <c r="C34" s="448" t="s">
        <v>422</v>
      </c>
      <c r="D34" s="448" t="s">
        <v>422</v>
      </c>
      <c r="E34" s="448"/>
      <c r="F34" s="448" t="s">
        <v>422</v>
      </c>
      <c r="G34" s="448" t="s">
        <v>422</v>
      </c>
      <c r="H34" s="448" t="s">
        <v>422</v>
      </c>
      <c r="I34" s="449" t="s">
        <v>422</v>
      </c>
      <c r="J34" s="450" t="s">
        <v>429</v>
      </c>
    </row>
    <row r="35" spans="1:10" ht="14.4" customHeight="1" x14ac:dyDescent="0.3">
      <c r="A35" s="446" t="s">
        <v>420</v>
      </c>
      <c r="B35" s="447" t="s">
        <v>423</v>
      </c>
      <c r="C35" s="448">
        <v>309.68870000000112</v>
      </c>
      <c r="D35" s="448">
        <v>234.33208999999999</v>
      </c>
      <c r="E35" s="448"/>
      <c r="F35" s="448">
        <v>802.26493000000005</v>
      </c>
      <c r="G35" s="448">
        <v>796.8471529887089</v>
      </c>
      <c r="H35" s="448">
        <v>5.4177770112911503</v>
      </c>
      <c r="I35" s="449">
        <v>1.0067990165880256</v>
      </c>
      <c r="J35" s="450" t="s">
        <v>424</v>
      </c>
    </row>
  </sheetData>
  <mergeCells count="3">
    <mergeCell ref="A1:I1"/>
    <mergeCell ref="F3:I3"/>
    <mergeCell ref="C4:D4"/>
  </mergeCells>
  <conditionalFormatting sqref="F14 F36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5">
    <cfRule type="expression" dxfId="15" priority="5">
      <formula>$H15&gt;0</formula>
    </cfRule>
  </conditionalFormatting>
  <conditionalFormatting sqref="A15:A35">
    <cfRule type="expression" dxfId="14" priority="2">
      <formula>AND($J15&lt;&gt;"mezeraKL",$J15&lt;&gt;"")</formula>
    </cfRule>
  </conditionalFormatting>
  <conditionalFormatting sqref="I15:I35">
    <cfRule type="expression" dxfId="13" priority="6">
      <formula>$I15&gt;1</formula>
    </cfRule>
  </conditionalFormatting>
  <conditionalFormatting sqref="B15:B35">
    <cfRule type="expression" dxfId="12" priority="1">
      <formula>OR($J15="NS",$J15="SumaNS",$J15="Účet")</formula>
    </cfRule>
  </conditionalFormatting>
  <conditionalFormatting sqref="A15:D35 F15:I35">
    <cfRule type="expression" dxfId="11" priority="8">
      <formula>AND($J15&lt;&gt;"",$J15&lt;&gt;"mezeraKL")</formula>
    </cfRule>
  </conditionalFormatting>
  <conditionalFormatting sqref="B15:D35 F15:I35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659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256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30.580995964141056</v>
      </c>
      <c r="J3" s="98">
        <f>SUBTOTAL(9,J5:J1048576)</f>
        <v>26400</v>
      </c>
      <c r="K3" s="99">
        <f>SUBTOTAL(9,K5:K1048576)</f>
        <v>807338.29345332389</v>
      </c>
    </row>
    <row r="4" spans="1:11" s="208" customFormat="1" ht="14.4" customHeight="1" thickBot="1" x14ac:dyDescent="0.35">
      <c r="A4" s="567" t="s">
        <v>4</v>
      </c>
      <c r="B4" s="568" t="s">
        <v>5</v>
      </c>
      <c r="C4" s="568" t="s">
        <v>0</v>
      </c>
      <c r="D4" s="568" t="s">
        <v>6</v>
      </c>
      <c r="E4" s="568" t="s">
        <v>7</v>
      </c>
      <c r="F4" s="568" t="s">
        <v>1</v>
      </c>
      <c r="G4" s="568" t="s">
        <v>71</v>
      </c>
      <c r="H4" s="453" t="s">
        <v>11</v>
      </c>
      <c r="I4" s="454" t="s">
        <v>143</v>
      </c>
      <c r="J4" s="454" t="s">
        <v>13</v>
      </c>
      <c r="K4" s="455" t="s">
        <v>160</v>
      </c>
    </row>
    <row r="5" spans="1:11" ht="14.4" customHeight="1" x14ac:dyDescent="0.3">
      <c r="A5" s="536" t="s">
        <v>420</v>
      </c>
      <c r="B5" s="537" t="s">
        <v>454</v>
      </c>
      <c r="C5" s="540" t="s">
        <v>425</v>
      </c>
      <c r="D5" s="569" t="s">
        <v>455</v>
      </c>
      <c r="E5" s="540" t="s">
        <v>647</v>
      </c>
      <c r="F5" s="569" t="s">
        <v>648</v>
      </c>
      <c r="G5" s="540" t="s">
        <v>497</v>
      </c>
      <c r="H5" s="540" t="s">
        <v>498</v>
      </c>
      <c r="I5" s="116">
        <v>28.734999999999999</v>
      </c>
      <c r="J5" s="116">
        <v>20</v>
      </c>
      <c r="K5" s="562">
        <v>574.70000000000005</v>
      </c>
    </row>
    <row r="6" spans="1:11" ht="14.4" customHeight="1" x14ac:dyDescent="0.3">
      <c r="A6" s="551" t="s">
        <v>420</v>
      </c>
      <c r="B6" s="552" t="s">
        <v>454</v>
      </c>
      <c r="C6" s="555" t="s">
        <v>425</v>
      </c>
      <c r="D6" s="570" t="s">
        <v>455</v>
      </c>
      <c r="E6" s="555" t="s">
        <v>647</v>
      </c>
      <c r="F6" s="570" t="s">
        <v>648</v>
      </c>
      <c r="G6" s="555" t="s">
        <v>499</v>
      </c>
      <c r="H6" s="555" t="s">
        <v>500</v>
      </c>
      <c r="I6" s="571">
        <v>0.67</v>
      </c>
      <c r="J6" s="571">
        <v>50</v>
      </c>
      <c r="K6" s="572">
        <v>33.5</v>
      </c>
    </row>
    <row r="7" spans="1:11" ht="14.4" customHeight="1" x14ac:dyDescent="0.3">
      <c r="A7" s="551" t="s">
        <v>420</v>
      </c>
      <c r="B7" s="552" t="s">
        <v>454</v>
      </c>
      <c r="C7" s="555" t="s">
        <v>425</v>
      </c>
      <c r="D7" s="570" t="s">
        <v>455</v>
      </c>
      <c r="E7" s="555" t="s">
        <v>647</v>
      </c>
      <c r="F7" s="570" t="s">
        <v>648</v>
      </c>
      <c r="G7" s="555" t="s">
        <v>501</v>
      </c>
      <c r="H7" s="555" t="s">
        <v>502</v>
      </c>
      <c r="I7" s="571">
        <v>27.87</v>
      </c>
      <c r="J7" s="571">
        <v>1</v>
      </c>
      <c r="K7" s="572">
        <v>27.87</v>
      </c>
    </row>
    <row r="8" spans="1:11" ht="14.4" customHeight="1" x14ac:dyDescent="0.3">
      <c r="A8" s="551" t="s">
        <v>420</v>
      </c>
      <c r="B8" s="552" t="s">
        <v>454</v>
      </c>
      <c r="C8" s="555" t="s">
        <v>425</v>
      </c>
      <c r="D8" s="570" t="s">
        <v>455</v>
      </c>
      <c r="E8" s="555" t="s">
        <v>649</v>
      </c>
      <c r="F8" s="570" t="s">
        <v>650</v>
      </c>
      <c r="G8" s="555" t="s">
        <v>503</v>
      </c>
      <c r="H8" s="555" t="s">
        <v>504</v>
      </c>
      <c r="I8" s="571">
        <v>15.29</v>
      </c>
      <c r="J8" s="571">
        <v>5</v>
      </c>
      <c r="K8" s="572">
        <v>76.45</v>
      </c>
    </row>
    <row r="9" spans="1:11" ht="14.4" customHeight="1" x14ac:dyDescent="0.3">
      <c r="A9" s="551" t="s">
        <v>420</v>
      </c>
      <c r="B9" s="552" t="s">
        <v>454</v>
      </c>
      <c r="C9" s="555" t="s">
        <v>425</v>
      </c>
      <c r="D9" s="570" t="s">
        <v>455</v>
      </c>
      <c r="E9" s="555" t="s">
        <v>649</v>
      </c>
      <c r="F9" s="570" t="s">
        <v>650</v>
      </c>
      <c r="G9" s="555" t="s">
        <v>505</v>
      </c>
      <c r="H9" s="555" t="s">
        <v>506</v>
      </c>
      <c r="I9" s="571">
        <v>2.0299999999999998</v>
      </c>
      <c r="J9" s="571">
        <v>350</v>
      </c>
      <c r="K9" s="572">
        <v>710.5</v>
      </c>
    </row>
    <row r="10" spans="1:11" ht="14.4" customHeight="1" x14ac:dyDescent="0.3">
      <c r="A10" s="551" t="s">
        <v>420</v>
      </c>
      <c r="B10" s="552" t="s">
        <v>454</v>
      </c>
      <c r="C10" s="555" t="s">
        <v>425</v>
      </c>
      <c r="D10" s="570" t="s">
        <v>455</v>
      </c>
      <c r="E10" s="555" t="s">
        <v>649</v>
      </c>
      <c r="F10" s="570" t="s">
        <v>650</v>
      </c>
      <c r="G10" s="555" t="s">
        <v>507</v>
      </c>
      <c r="H10" s="555" t="s">
        <v>508</v>
      </c>
      <c r="I10" s="571">
        <v>1.92</v>
      </c>
      <c r="J10" s="571">
        <v>20</v>
      </c>
      <c r="K10" s="572">
        <v>38.4</v>
      </c>
    </row>
    <row r="11" spans="1:11" ht="14.4" customHeight="1" x14ac:dyDescent="0.3">
      <c r="A11" s="551" t="s">
        <v>420</v>
      </c>
      <c r="B11" s="552" t="s">
        <v>454</v>
      </c>
      <c r="C11" s="555" t="s">
        <v>425</v>
      </c>
      <c r="D11" s="570" t="s">
        <v>455</v>
      </c>
      <c r="E11" s="555" t="s">
        <v>649</v>
      </c>
      <c r="F11" s="570" t="s">
        <v>650</v>
      </c>
      <c r="G11" s="555" t="s">
        <v>509</v>
      </c>
      <c r="H11" s="555" t="s">
        <v>510</v>
      </c>
      <c r="I11" s="571">
        <v>2.5299999999999998</v>
      </c>
      <c r="J11" s="571">
        <v>100</v>
      </c>
      <c r="K11" s="572">
        <v>253</v>
      </c>
    </row>
    <row r="12" spans="1:11" ht="14.4" customHeight="1" x14ac:dyDescent="0.3">
      <c r="A12" s="551" t="s">
        <v>420</v>
      </c>
      <c r="B12" s="552" t="s">
        <v>454</v>
      </c>
      <c r="C12" s="555" t="s">
        <v>425</v>
      </c>
      <c r="D12" s="570" t="s">
        <v>455</v>
      </c>
      <c r="E12" s="555" t="s">
        <v>649</v>
      </c>
      <c r="F12" s="570" t="s">
        <v>650</v>
      </c>
      <c r="G12" s="555" t="s">
        <v>511</v>
      </c>
      <c r="H12" s="555" t="s">
        <v>512</v>
      </c>
      <c r="I12" s="571">
        <v>1.4999999999999999E-2</v>
      </c>
      <c r="J12" s="571">
        <v>200</v>
      </c>
      <c r="K12" s="572">
        <v>3</v>
      </c>
    </row>
    <row r="13" spans="1:11" ht="14.4" customHeight="1" x14ac:dyDescent="0.3">
      <c r="A13" s="551" t="s">
        <v>420</v>
      </c>
      <c r="B13" s="552" t="s">
        <v>454</v>
      </c>
      <c r="C13" s="555" t="s">
        <v>425</v>
      </c>
      <c r="D13" s="570" t="s">
        <v>455</v>
      </c>
      <c r="E13" s="555" t="s">
        <v>649</v>
      </c>
      <c r="F13" s="570" t="s">
        <v>650</v>
      </c>
      <c r="G13" s="555" t="s">
        <v>513</v>
      </c>
      <c r="H13" s="555" t="s">
        <v>514</v>
      </c>
      <c r="I13" s="571">
        <v>1.99</v>
      </c>
      <c r="J13" s="571">
        <v>5</v>
      </c>
      <c r="K13" s="572">
        <v>9.9499999999999993</v>
      </c>
    </row>
    <row r="14" spans="1:11" ht="14.4" customHeight="1" x14ac:dyDescent="0.3">
      <c r="A14" s="551" t="s">
        <v>420</v>
      </c>
      <c r="B14" s="552" t="s">
        <v>454</v>
      </c>
      <c r="C14" s="555" t="s">
        <v>425</v>
      </c>
      <c r="D14" s="570" t="s">
        <v>455</v>
      </c>
      <c r="E14" s="555" t="s">
        <v>649</v>
      </c>
      <c r="F14" s="570" t="s">
        <v>650</v>
      </c>
      <c r="G14" s="555" t="s">
        <v>515</v>
      </c>
      <c r="H14" s="555" t="s">
        <v>516</v>
      </c>
      <c r="I14" s="571">
        <v>15.01</v>
      </c>
      <c r="J14" s="571">
        <v>10</v>
      </c>
      <c r="K14" s="572">
        <v>150.1</v>
      </c>
    </row>
    <row r="15" spans="1:11" ht="14.4" customHeight="1" x14ac:dyDescent="0.3">
      <c r="A15" s="551" t="s">
        <v>420</v>
      </c>
      <c r="B15" s="552" t="s">
        <v>454</v>
      </c>
      <c r="C15" s="555" t="s">
        <v>425</v>
      </c>
      <c r="D15" s="570" t="s">
        <v>455</v>
      </c>
      <c r="E15" s="555" t="s">
        <v>649</v>
      </c>
      <c r="F15" s="570" t="s">
        <v>650</v>
      </c>
      <c r="G15" s="555" t="s">
        <v>517</v>
      </c>
      <c r="H15" s="555" t="s">
        <v>518</v>
      </c>
      <c r="I15" s="571">
        <v>12.11</v>
      </c>
      <c r="J15" s="571">
        <v>10</v>
      </c>
      <c r="K15" s="572">
        <v>121.1</v>
      </c>
    </row>
    <row r="16" spans="1:11" ht="14.4" customHeight="1" x14ac:dyDescent="0.3">
      <c r="A16" s="551" t="s">
        <v>420</v>
      </c>
      <c r="B16" s="552" t="s">
        <v>454</v>
      </c>
      <c r="C16" s="555" t="s">
        <v>425</v>
      </c>
      <c r="D16" s="570" t="s">
        <v>455</v>
      </c>
      <c r="E16" s="555" t="s">
        <v>649</v>
      </c>
      <c r="F16" s="570" t="s">
        <v>650</v>
      </c>
      <c r="G16" s="555" t="s">
        <v>519</v>
      </c>
      <c r="H16" s="555" t="s">
        <v>520</v>
      </c>
      <c r="I16" s="571">
        <v>25.53</v>
      </c>
      <c r="J16" s="571">
        <v>20</v>
      </c>
      <c r="K16" s="572">
        <v>510.6</v>
      </c>
    </row>
    <row r="17" spans="1:11" ht="14.4" customHeight="1" x14ac:dyDescent="0.3">
      <c r="A17" s="551" t="s">
        <v>420</v>
      </c>
      <c r="B17" s="552" t="s">
        <v>454</v>
      </c>
      <c r="C17" s="555" t="s">
        <v>425</v>
      </c>
      <c r="D17" s="570" t="s">
        <v>455</v>
      </c>
      <c r="E17" s="555" t="s">
        <v>649</v>
      </c>
      <c r="F17" s="570" t="s">
        <v>650</v>
      </c>
      <c r="G17" s="555" t="s">
        <v>521</v>
      </c>
      <c r="H17" s="555" t="s">
        <v>522</v>
      </c>
      <c r="I17" s="571">
        <v>90.75</v>
      </c>
      <c r="J17" s="571">
        <v>3</v>
      </c>
      <c r="K17" s="572">
        <v>272.25</v>
      </c>
    </row>
    <row r="18" spans="1:11" ht="14.4" customHeight="1" x14ac:dyDescent="0.3">
      <c r="A18" s="551" t="s">
        <v>420</v>
      </c>
      <c r="B18" s="552" t="s">
        <v>454</v>
      </c>
      <c r="C18" s="555" t="s">
        <v>425</v>
      </c>
      <c r="D18" s="570" t="s">
        <v>455</v>
      </c>
      <c r="E18" s="555" t="s">
        <v>649</v>
      </c>
      <c r="F18" s="570" t="s">
        <v>650</v>
      </c>
      <c r="G18" s="555" t="s">
        <v>523</v>
      </c>
      <c r="H18" s="555" t="s">
        <v>524</v>
      </c>
      <c r="I18" s="571">
        <v>1.05</v>
      </c>
      <c r="J18" s="571">
        <v>100</v>
      </c>
      <c r="K18" s="572">
        <v>105</v>
      </c>
    </row>
    <row r="19" spans="1:11" ht="14.4" customHeight="1" x14ac:dyDescent="0.3">
      <c r="A19" s="551" t="s">
        <v>420</v>
      </c>
      <c r="B19" s="552" t="s">
        <v>454</v>
      </c>
      <c r="C19" s="555" t="s">
        <v>425</v>
      </c>
      <c r="D19" s="570" t="s">
        <v>455</v>
      </c>
      <c r="E19" s="555" t="s">
        <v>649</v>
      </c>
      <c r="F19" s="570" t="s">
        <v>650</v>
      </c>
      <c r="G19" s="555" t="s">
        <v>525</v>
      </c>
      <c r="H19" s="555" t="s">
        <v>526</v>
      </c>
      <c r="I19" s="571">
        <v>65.930000000000007</v>
      </c>
      <c r="J19" s="571">
        <v>3</v>
      </c>
      <c r="K19" s="572">
        <v>197.79</v>
      </c>
    </row>
    <row r="20" spans="1:11" ht="14.4" customHeight="1" x14ac:dyDescent="0.3">
      <c r="A20" s="551" t="s">
        <v>420</v>
      </c>
      <c r="B20" s="552" t="s">
        <v>454</v>
      </c>
      <c r="C20" s="555" t="s">
        <v>425</v>
      </c>
      <c r="D20" s="570" t="s">
        <v>455</v>
      </c>
      <c r="E20" s="555" t="s">
        <v>651</v>
      </c>
      <c r="F20" s="570" t="s">
        <v>652</v>
      </c>
      <c r="G20" s="555" t="s">
        <v>527</v>
      </c>
      <c r="H20" s="555" t="s">
        <v>528</v>
      </c>
      <c r="I20" s="571">
        <v>1.8050000000000002</v>
      </c>
      <c r="J20" s="571">
        <v>200</v>
      </c>
      <c r="K20" s="572">
        <v>361</v>
      </c>
    </row>
    <row r="21" spans="1:11" ht="14.4" customHeight="1" x14ac:dyDescent="0.3">
      <c r="A21" s="551" t="s">
        <v>420</v>
      </c>
      <c r="B21" s="552" t="s">
        <v>454</v>
      </c>
      <c r="C21" s="555" t="s">
        <v>425</v>
      </c>
      <c r="D21" s="570" t="s">
        <v>455</v>
      </c>
      <c r="E21" s="555" t="s">
        <v>653</v>
      </c>
      <c r="F21" s="570" t="s">
        <v>654</v>
      </c>
      <c r="G21" s="555" t="s">
        <v>529</v>
      </c>
      <c r="H21" s="555" t="s">
        <v>530</v>
      </c>
      <c r="I21" s="571">
        <v>0.71</v>
      </c>
      <c r="J21" s="571">
        <v>1000</v>
      </c>
      <c r="K21" s="572">
        <v>710</v>
      </c>
    </row>
    <row r="22" spans="1:11" ht="14.4" customHeight="1" x14ac:dyDescent="0.3">
      <c r="A22" s="551" t="s">
        <v>420</v>
      </c>
      <c r="B22" s="552" t="s">
        <v>454</v>
      </c>
      <c r="C22" s="555" t="s">
        <v>425</v>
      </c>
      <c r="D22" s="570" t="s">
        <v>455</v>
      </c>
      <c r="E22" s="555" t="s">
        <v>653</v>
      </c>
      <c r="F22" s="570" t="s">
        <v>654</v>
      </c>
      <c r="G22" s="555" t="s">
        <v>531</v>
      </c>
      <c r="H22" s="555" t="s">
        <v>532</v>
      </c>
      <c r="I22" s="571">
        <v>0.71</v>
      </c>
      <c r="J22" s="571">
        <v>200</v>
      </c>
      <c r="K22" s="572">
        <v>142</v>
      </c>
    </row>
    <row r="23" spans="1:11" ht="14.4" customHeight="1" x14ac:dyDescent="0.3">
      <c r="A23" s="551" t="s">
        <v>420</v>
      </c>
      <c r="B23" s="552" t="s">
        <v>454</v>
      </c>
      <c r="C23" s="555" t="s">
        <v>430</v>
      </c>
      <c r="D23" s="570" t="s">
        <v>456</v>
      </c>
      <c r="E23" s="555" t="s">
        <v>647</v>
      </c>
      <c r="F23" s="570" t="s">
        <v>648</v>
      </c>
      <c r="G23" s="555" t="s">
        <v>533</v>
      </c>
      <c r="H23" s="555" t="s">
        <v>534</v>
      </c>
      <c r="I23" s="571">
        <v>0.63500000000000001</v>
      </c>
      <c r="J23" s="571">
        <v>1000</v>
      </c>
      <c r="K23" s="572">
        <v>635</v>
      </c>
    </row>
    <row r="24" spans="1:11" ht="14.4" customHeight="1" x14ac:dyDescent="0.3">
      <c r="A24" s="551" t="s">
        <v>420</v>
      </c>
      <c r="B24" s="552" t="s">
        <v>454</v>
      </c>
      <c r="C24" s="555" t="s">
        <v>430</v>
      </c>
      <c r="D24" s="570" t="s">
        <v>456</v>
      </c>
      <c r="E24" s="555" t="s">
        <v>647</v>
      </c>
      <c r="F24" s="570" t="s">
        <v>648</v>
      </c>
      <c r="G24" s="555" t="s">
        <v>535</v>
      </c>
      <c r="H24" s="555" t="s">
        <v>536</v>
      </c>
      <c r="I24" s="571">
        <v>98.38</v>
      </c>
      <c r="J24" s="571">
        <v>2</v>
      </c>
      <c r="K24" s="572">
        <v>196.76</v>
      </c>
    </row>
    <row r="25" spans="1:11" ht="14.4" customHeight="1" x14ac:dyDescent="0.3">
      <c r="A25" s="551" t="s">
        <v>420</v>
      </c>
      <c r="B25" s="552" t="s">
        <v>454</v>
      </c>
      <c r="C25" s="555" t="s">
        <v>430</v>
      </c>
      <c r="D25" s="570" t="s">
        <v>456</v>
      </c>
      <c r="E25" s="555" t="s">
        <v>649</v>
      </c>
      <c r="F25" s="570" t="s">
        <v>650</v>
      </c>
      <c r="G25" s="555" t="s">
        <v>537</v>
      </c>
      <c r="H25" s="555" t="s">
        <v>538</v>
      </c>
      <c r="I25" s="571">
        <v>0.48</v>
      </c>
      <c r="J25" s="571">
        <v>200</v>
      </c>
      <c r="K25" s="572">
        <v>96</v>
      </c>
    </row>
    <row r="26" spans="1:11" ht="14.4" customHeight="1" x14ac:dyDescent="0.3">
      <c r="A26" s="551" t="s">
        <v>420</v>
      </c>
      <c r="B26" s="552" t="s">
        <v>454</v>
      </c>
      <c r="C26" s="555" t="s">
        <v>430</v>
      </c>
      <c r="D26" s="570" t="s">
        <v>456</v>
      </c>
      <c r="E26" s="555" t="s">
        <v>649</v>
      </c>
      <c r="F26" s="570" t="s">
        <v>650</v>
      </c>
      <c r="G26" s="555" t="s">
        <v>539</v>
      </c>
      <c r="H26" s="555" t="s">
        <v>540</v>
      </c>
      <c r="I26" s="571">
        <v>1.96</v>
      </c>
      <c r="J26" s="571">
        <v>1400</v>
      </c>
      <c r="K26" s="572">
        <v>2744</v>
      </c>
    </row>
    <row r="27" spans="1:11" ht="14.4" customHeight="1" x14ac:dyDescent="0.3">
      <c r="A27" s="551" t="s">
        <v>420</v>
      </c>
      <c r="B27" s="552" t="s">
        <v>454</v>
      </c>
      <c r="C27" s="555" t="s">
        <v>430</v>
      </c>
      <c r="D27" s="570" t="s">
        <v>456</v>
      </c>
      <c r="E27" s="555" t="s">
        <v>649</v>
      </c>
      <c r="F27" s="570" t="s">
        <v>650</v>
      </c>
      <c r="G27" s="555" t="s">
        <v>515</v>
      </c>
      <c r="H27" s="555" t="s">
        <v>516</v>
      </c>
      <c r="I27" s="571">
        <v>15</v>
      </c>
      <c r="J27" s="571">
        <v>17</v>
      </c>
      <c r="K27" s="572">
        <v>255</v>
      </c>
    </row>
    <row r="28" spans="1:11" ht="14.4" customHeight="1" x14ac:dyDescent="0.3">
      <c r="A28" s="551" t="s">
        <v>420</v>
      </c>
      <c r="B28" s="552" t="s">
        <v>454</v>
      </c>
      <c r="C28" s="555" t="s">
        <v>430</v>
      </c>
      <c r="D28" s="570" t="s">
        <v>456</v>
      </c>
      <c r="E28" s="555" t="s">
        <v>649</v>
      </c>
      <c r="F28" s="570" t="s">
        <v>650</v>
      </c>
      <c r="G28" s="555" t="s">
        <v>519</v>
      </c>
      <c r="H28" s="555" t="s">
        <v>520</v>
      </c>
      <c r="I28" s="571">
        <v>25.53</v>
      </c>
      <c r="J28" s="571">
        <v>32</v>
      </c>
      <c r="K28" s="572">
        <v>816.96</v>
      </c>
    </row>
    <row r="29" spans="1:11" ht="14.4" customHeight="1" x14ac:dyDescent="0.3">
      <c r="A29" s="551" t="s">
        <v>420</v>
      </c>
      <c r="B29" s="552" t="s">
        <v>454</v>
      </c>
      <c r="C29" s="555" t="s">
        <v>430</v>
      </c>
      <c r="D29" s="570" t="s">
        <v>456</v>
      </c>
      <c r="E29" s="555" t="s">
        <v>649</v>
      </c>
      <c r="F29" s="570" t="s">
        <v>650</v>
      </c>
      <c r="G29" s="555" t="s">
        <v>541</v>
      </c>
      <c r="H29" s="555" t="s">
        <v>542</v>
      </c>
      <c r="I29" s="571">
        <v>1.25</v>
      </c>
      <c r="J29" s="571">
        <v>400</v>
      </c>
      <c r="K29" s="572">
        <v>501.91</v>
      </c>
    </row>
    <row r="30" spans="1:11" ht="14.4" customHeight="1" x14ac:dyDescent="0.3">
      <c r="A30" s="551" t="s">
        <v>420</v>
      </c>
      <c r="B30" s="552" t="s">
        <v>454</v>
      </c>
      <c r="C30" s="555" t="s">
        <v>430</v>
      </c>
      <c r="D30" s="570" t="s">
        <v>456</v>
      </c>
      <c r="E30" s="555" t="s">
        <v>649</v>
      </c>
      <c r="F30" s="570" t="s">
        <v>650</v>
      </c>
      <c r="G30" s="555" t="s">
        <v>543</v>
      </c>
      <c r="H30" s="555" t="s">
        <v>544</v>
      </c>
      <c r="I30" s="571">
        <v>22348.7</v>
      </c>
      <c r="J30" s="571">
        <v>1</v>
      </c>
      <c r="K30" s="572">
        <v>22348.7</v>
      </c>
    </row>
    <row r="31" spans="1:11" ht="14.4" customHeight="1" x14ac:dyDescent="0.3">
      <c r="A31" s="551" t="s">
        <v>420</v>
      </c>
      <c r="B31" s="552" t="s">
        <v>454</v>
      </c>
      <c r="C31" s="555" t="s">
        <v>430</v>
      </c>
      <c r="D31" s="570" t="s">
        <v>456</v>
      </c>
      <c r="E31" s="555" t="s">
        <v>655</v>
      </c>
      <c r="F31" s="570" t="s">
        <v>656</v>
      </c>
      <c r="G31" s="555" t="s">
        <v>545</v>
      </c>
      <c r="H31" s="555" t="s">
        <v>546</v>
      </c>
      <c r="I31" s="571">
        <v>1.51</v>
      </c>
      <c r="J31" s="571">
        <v>700</v>
      </c>
      <c r="K31" s="572">
        <v>1057.22</v>
      </c>
    </row>
    <row r="32" spans="1:11" ht="14.4" customHeight="1" x14ac:dyDescent="0.3">
      <c r="A32" s="551" t="s">
        <v>420</v>
      </c>
      <c r="B32" s="552" t="s">
        <v>454</v>
      </c>
      <c r="C32" s="555" t="s">
        <v>430</v>
      </c>
      <c r="D32" s="570" t="s">
        <v>456</v>
      </c>
      <c r="E32" s="555" t="s">
        <v>655</v>
      </c>
      <c r="F32" s="570" t="s">
        <v>656</v>
      </c>
      <c r="G32" s="555" t="s">
        <v>547</v>
      </c>
      <c r="H32" s="555" t="s">
        <v>548</v>
      </c>
      <c r="I32" s="571">
        <v>0.45500000000000002</v>
      </c>
      <c r="J32" s="571">
        <v>7000</v>
      </c>
      <c r="K32" s="572">
        <v>3182.3</v>
      </c>
    </row>
    <row r="33" spans="1:11" ht="14.4" customHeight="1" x14ac:dyDescent="0.3">
      <c r="A33" s="551" t="s">
        <v>420</v>
      </c>
      <c r="B33" s="552" t="s">
        <v>454</v>
      </c>
      <c r="C33" s="555" t="s">
        <v>430</v>
      </c>
      <c r="D33" s="570" t="s">
        <v>456</v>
      </c>
      <c r="E33" s="555" t="s">
        <v>655</v>
      </c>
      <c r="F33" s="570" t="s">
        <v>656</v>
      </c>
      <c r="G33" s="555" t="s">
        <v>549</v>
      </c>
      <c r="H33" s="555" t="s">
        <v>550</v>
      </c>
      <c r="I33" s="571">
        <v>0.12</v>
      </c>
      <c r="J33" s="571">
        <v>6000</v>
      </c>
      <c r="K33" s="572">
        <v>720</v>
      </c>
    </row>
    <row r="34" spans="1:11" ht="14.4" customHeight="1" x14ac:dyDescent="0.3">
      <c r="A34" s="551" t="s">
        <v>420</v>
      </c>
      <c r="B34" s="552" t="s">
        <v>454</v>
      </c>
      <c r="C34" s="555" t="s">
        <v>430</v>
      </c>
      <c r="D34" s="570" t="s">
        <v>456</v>
      </c>
      <c r="E34" s="555" t="s">
        <v>655</v>
      </c>
      <c r="F34" s="570" t="s">
        <v>656</v>
      </c>
      <c r="G34" s="555" t="s">
        <v>551</v>
      </c>
      <c r="H34" s="555" t="s">
        <v>552</v>
      </c>
      <c r="I34" s="571">
        <v>1.36</v>
      </c>
      <c r="J34" s="571">
        <v>3000</v>
      </c>
      <c r="K34" s="572">
        <v>4065.6000000000004</v>
      </c>
    </row>
    <row r="35" spans="1:11" ht="14.4" customHeight="1" x14ac:dyDescent="0.3">
      <c r="A35" s="551" t="s">
        <v>420</v>
      </c>
      <c r="B35" s="552" t="s">
        <v>454</v>
      </c>
      <c r="C35" s="555" t="s">
        <v>430</v>
      </c>
      <c r="D35" s="570" t="s">
        <v>456</v>
      </c>
      <c r="E35" s="555" t="s">
        <v>655</v>
      </c>
      <c r="F35" s="570" t="s">
        <v>656</v>
      </c>
      <c r="G35" s="555" t="s">
        <v>553</v>
      </c>
      <c r="H35" s="555" t="s">
        <v>554</v>
      </c>
      <c r="I35" s="571">
        <v>0.28000000000000003</v>
      </c>
      <c r="J35" s="571">
        <v>1000</v>
      </c>
      <c r="K35" s="572">
        <v>278.3</v>
      </c>
    </row>
    <row r="36" spans="1:11" ht="14.4" customHeight="1" x14ac:dyDescent="0.3">
      <c r="A36" s="551" t="s">
        <v>420</v>
      </c>
      <c r="B36" s="552" t="s">
        <v>454</v>
      </c>
      <c r="C36" s="555" t="s">
        <v>430</v>
      </c>
      <c r="D36" s="570" t="s">
        <v>456</v>
      </c>
      <c r="E36" s="555" t="s">
        <v>655</v>
      </c>
      <c r="F36" s="570" t="s">
        <v>656</v>
      </c>
      <c r="G36" s="555" t="s">
        <v>555</v>
      </c>
      <c r="H36" s="555" t="s">
        <v>556</v>
      </c>
      <c r="I36" s="571">
        <v>2.78</v>
      </c>
      <c r="J36" s="571">
        <v>960</v>
      </c>
      <c r="K36" s="572">
        <v>2667.65</v>
      </c>
    </row>
    <row r="37" spans="1:11" ht="14.4" customHeight="1" x14ac:dyDescent="0.3">
      <c r="A37" s="551" t="s">
        <v>420</v>
      </c>
      <c r="B37" s="552" t="s">
        <v>454</v>
      </c>
      <c r="C37" s="555" t="s">
        <v>430</v>
      </c>
      <c r="D37" s="570" t="s">
        <v>456</v>
      </c>
      <c r="E37" s="555" t="s">
        <v>655</v>
      </c>
      <c r="F37" s="570" t="s">
        <v>656</v>
      </c>
      <c r="G37" s="555" t="s">
        <v>557</v>
      </c>
      <c r="H37" s="555" t="s">
        <v>558</v>
      </c>
      <c r="I37" s="571">
        <v>37.51</v>
      </c>
      <c r="J37" s="571">
        <v>10</v>
      </c>
      <c r="K37" s="572">
        <v>375.1</v>
      </c>
    </row>
    <row r="38" spans="1:11" ht="14.4" customHeight="1" x14ac:dyDescent="0.3">
      <c r="A38" s="551" t="s">
        <v>420</v>
      </c>
      <c r="B38" s="552" t="s">
        <v>454</v>
      </c>
      <c r="C38" s="555" t="s">
        <v>430</v>
      </c>
      <c r="D38" s="570" t="s">
        <v>456</v>
      </c>
      <c r="E38" s="555" t="s">
        <v>655</v>
      </c>
      <c r="F38" s="570" t="s">
        <v>656</v>
      </c>
      <c r="G38" s="555" t="s">
        <v>559</v>
      </c>
      <c r="H38" s="555" t="s">
        <v>560</v>
      </c>
      <c r="I38" s="571">
        <v>45.98</v>
      </c>
      <c r="J38" s="571">
        <v>1</v>
      </c>
      <c r="K38" s="572">
        <v>45.98</v>
      </c>
    </row>
    <row r="39" spans="1:11" ht="14.4" customHeight="1" x14ac:dyDescent="0.3">
      <c r="A39" s="551" t="s">
        <v>420</v>
      </c>
      <c r="B39" s="552" t="s">
        <v>454</v>
      </c>
      <c r="C39" s="555" t="s">
        <v>430</v>
      </c>
      <c r="D39" s="570" t="s">
        <v>456</v>
      </c>
      <c r="E39" s="555" t="s">
        <v>655</v>
      </c>
      <c r="F39" s="570" t="s">
        <v>656</v>
      </c>
      <c r="G39" s="555" t="s">
        <v>561</v>
      </c>
      <c r="H39" s="555" t="s">
        <v>562</v>
      </c>
      <c r="I39" s="571">
        <v>2.35</v>
      </c>
      <c r="J39" s="571">
        <v>960</v>
      </c>
      <c r="K39" s="572">
        <v>2257.2399999999998</v>
      </c>
    </row>
    <row r="40" spans="1:11" ht="14.4" customHeight="1" x14ac:dyDescent="0.3">
      <c r="A40" s="551" t="s">
        <v>420</v>
      </c>
      <c r="B40" s="552" t="s">
        <v>454</v>
      </c>
      <c r="C40" s="555" t="s">
        <v>430</v>
      </c>
      <c r="D40" s="570" t="s">
        <v>456</v>
      </c>
      <c r="E40" s="555" t="s">
        <v>655</v>
      </c>
      <c r="F40" s="570" t="s">
        <v>656</v>
      </c>
      <c r="G40" s="555" t="s">
        <v>563</v>
      </c>
      <c r="H40" s="555" t="s">
        <v>564</v>
      </c>
      <c r="I40" s="571">
        <v>2.31</v>
      </c>
      <c r="J40" s="571">
        <v>960</v>
      </c>
      <c r="K40" s="572">
        <v>2220.16</v>
      </c>
    </row>
    <row r="41" spans="1:11" ht="14.4" customHeight="1" x14ac:dyDescent="0.3">
      <c r="A41" s="551" t="s">
        <v>420</v>
      </c>
      <c r="B41" s="552" t="s">
        <v>454</v>
      </c>
      <c r="C41" s="555" t="s">
        <v>430</v>
      </c>
      <c r="D41" s="570" t="s">
        <v>456</v>
      </c>
      <c r="E41" s="555" t="s">
        <v>651</v>
      </c>
      <c r="F41" s="570" t="s">
        <v>652</v>
      </c>
      <c r="G41" s="555" t="s">
        <v>565</v>
      </c>
      <c r="H41" s="555" t="s">
        <v>566</v>
      </c>
      <c r="I41" s="571">
        <v>0.30499999999999999</v>
      </c>
      <c r="J41" s="571">
        <v>300</v>
      </c>
      <c r="K41" s="572">
        <v>91</v>
      </c>
    </row>
    <row r="42" spans="1:11" ht="14.4" customHeight="1" x14ac:dyDescent="0.3">
      <c r="A42" s="551" t="s">
        <v>420</v>
      </c>
      <c r="B42" s="552" t="s">
        <v>454</v>
      </c>
      <c r="C42" s="555" t="s">
        <v>430</v>
      </c>
      <c r="D42" s="570" t="s">
        <v>456</v>
      </c>
      <c r="E42" s="555" t="s">
        <v>653</v>
      </c>
      <c r="F42" s="570" t="s">
        <v>654</v>
      </c>
      <c r="G42" s="555" t="s">
        <v>567</v>
      </c>
      <c r="H42" s="555" t="s">
        <v>568</v>
      </c>
      <c r="I42" s="571">
        <v>7.5</v>
      </c>
      <c r="J42" s="571">
        <v>80</v>
      </c>
      <c r="K42" s="572">
        <v>600</v>
      </c>
    </row>
    <row r="43" spans="1:11" ht="14.4" customHeight="1" x14ac:dyDescent="0.3">
      <c r="A43" s="551" t="s">
        <v>420</v>
      </c>
      <c r="B43" s="552" t="s">
        <v>454</v>
      </c>
      <c r="C43" s="555" t="s">
        <v>430</v>
      </c>
      <c r="D43" s="570" t="s">
        <v>456</v>
      </c>
      <c r="E43" s="555" t="s">
        <v>657</v>
      </c>
      <c r="F43" s="570" t="s">
        <v>658</v>
      </c>
      <c r="G43" s="555" t="s">
        <v>569</v>
      </c>
      <c r="H43" s="555" t="s">
        <v>570</v>
      </c>
      <c r="I43" s="571">
        <v>256.74784914618698</v>
      </c>
      <c r="J43" s="571">
        <v>1</v>
      </c>
      <c r="K43" s="572">
        <v>256.74784914618698</v>
      </c>
    </row>
    <row r="44" spans="1:11" ht="14.4" customHeight="1" x14ac:dyDescent="0.3">
      <c r="A44" s="551" t="s">
        <v>420</v>
      </c>
      <c r="B44" s="552" t="s">
        <v>454</v>
      </c>
      <c r="C44" s="555" t="s">
        <v>430</v>
      </c>
      <c r="D44" s="570" t="s">
        <v>456</v>
      </c>
      <c r="E44" s="555" t="s">
        <v>657</v>
      </c>
      <c r="F44" s="570" t="s">
        <v>658</v>
      </c>
      <c r="G44" s="555" t="s">
        <v>571</v>
      </c>
      <c r="H44" s="555" t="s">
        <v>572</v>
      </c>
      <c r="I44" s="571">
        <v>828.46531100217874</v>
      </c>
      <c r="J44" s="571">
        <v>1</v>
      </c>
      <c r="K44" s="572">
        <v>828.46531100217874</v>
      </c>
    </row>
    <row r="45" spans="1:11" ht="14.4" customHeight="1" x14ac:dyDescent="0.3">
      <c r="A45" s="551" t="s">
        <v>420</v>
      </c>
      <c r="B45" s="552" t="s">
        <v>454</v>
      </c>
      <c r="C45" s="555" t="s">
        <v>430</v>
      </c>
      <c r="D45" s="570" t="s">
        <v>456</v>
      </c>
      <c r="E45" s="555" t="s">
        <v>657</v>
      </c>
      <c r="F45" s="570" t="s">
        <v>658</v>
      </c>
      <c r="G45" s="555" t="s">
        <v>573</v>
      </c>
      <c r="H45" s="555" t="s">
        <v>574</v>
      </c>
      <c r="I45" s="571">
        <v>207.99065977647018</v>
      </c>
      <c r="J45" s="571">
        <v>13</v>
      </c>
      <c r="K45" s="572">
        <v>2679.8744657121911</v>
      </c>
    </row>
    <row r="46" spans="1:11" ht="14.4" customHeight="1" x14ac:dyDescent="0.3">
      <c r="A46" s="551" t="s">
        <v>420</v>
      </c>
      <c r="B46" s="552" t="s">
        <v>454</v>
      </c>
      <c r="C46" s="555" t="s">
        <v>430</v>
      </c>
      <c r="D46" s="570" t="s">
        <v>456</v>
      </c>
      <c r="E46" s="555" t="s">
        <v>657</v>
      </c>
      <c r="F46" s="570" t="s">
        <v>658</v>
      </c>
      <c r="G46" s="555" t="s">
        <v>575</v>
      </c>
      <c r="H46" s="555" t="s">
        <v>576</v>
      </c>
      <c r="I46" s="571">
        <v>187.96977601214715</v>
      </c>
      <c r="J46" s="571">
        <v>1</v>
      </c>
      <c r="K46" s="572">
        <v>187.96977601214715</v>
      </c>
    </row>
    <row r="47" spans="1:11" ht="14.4" customHeight="1" x14ac:dyDescent="0.3">
      <c r="A47" s="551" t="s">
        <v>420</v>
      </c>
      <c r="B47" s="552" t="s">
        <v>454</v>
      </c>
      <c r="C47" s="555" t="s">
        <v>430</v>
      </c>
      <c r="D47" s="570" t="s">
        <v>456</v>
      </c>
      <c r="E47" s="555" t="s">
        <v>657</v>
      </c>
      <c r="F47" s="570" t="s">
        <v>658</v>
      </c>
      <c r="G47" s="555" t="s">
        <v>577</v>
      </c>
      <c r="H47" s="555" t="s">
        <v>578</v>
      </c>
      <c r="I47" s="571">
        <v>289.68490033012966</v>
      </c>
      <c r="J47" s="571">
        <v>5</v>
      </c>
      <c r="K47" s="572">
        <v>1448.4245016506484</v>
      </c>
    </row>
    <row r="48" spans="1:11" ht="14.4" customHeight="1" x14ac:dyDescent="0.3">
      <c r="A48" s="551" t="s">
        <v>420</v>
      </c>
      <c r="B48" s="552" t="s">
        <v>454</v>
      </c>
      <c r="C48" s="555" t="s">
        <v>430</v>
      </c>
      <c r="D48" s="570" t="s">
        <v>456</v>
      </c>
      <c r="E48" s="555" t="s">
        <v>657</v>
      </c>
      <c r="F48" s="570" t="s">
        <v>658</v>
      </c>
      <c r="G48" s="555" t="s">
        <v>579</v>
      </c>
      <c r="H48" s="555" t="s">
        <v>580</v>
      </c>
      <c r="I48" s="571">
        <v>304.21766209716225</v>
      </c>
      <c r="J48" s="571">
        <v>3</v>
      </c>
      <c r="K48" s="572">
        <v>912.65298629148674</v>
      </c>
    </row>
    <row r="49" spans="1:11" ht="14.4" customHeight="1" x14ac:dyDescent="0.3">
      <c r="A49" s="551" t="s">
        <v>420</v>
      </c>
      <c r="B49" s="552" t="s">
        <v>454</v>
      </c>
      <c r="C49" s="555" t="s">
        <v>430</v>
      </c>
      <c r="D49" s="570" t="s">
        <v>456</v>
      </c>
      <c r="E49" s="555" t="s">
        <v>657</v>
      </c>
      <c r="F49" s="570" t="s">
        <v>658</v>
      </c>
      <c r="G49" s="555" t="s">
        <v>581</v>
      </c>
      <c r="H49" s="555" t="s">
        <v>582</v>
      </c>
      <c r="I49" s="571">
        <v>253.0024349708263</v>
      </c>
      <c r="J49" s="571">
        <v>2</v>
      </c>
      <c r="K49" s="572">
        <v>506.0048699416526</v>
      </c>
    </row>
    <row r="50" spans="1:11" ht="14.4" customHeight="1" x14ac:dyDescent="0.3">
      <c r="A50" s="551" t="s">
        <v>420</v>
      </c>
      <c r="B50" s="552" t="s">
        <v>454</v>
      </c>
      <c r="C50" s="555" t="s">
        <v>430</v>
      </c>
      <c r="D50" s="570" t="s">
        <v>456</v>
      </c>
      <c r="E50" s="555" t="s">
        <v>657</v>
      </c>
      <c r="F50" s="570" t="s">
        <v>658</v>
      </c>
      <c r="G50" s="555" t="s">
        <v>583</v>
      </c>
      <c r="H50" s="555" t="s">
        <v>584</v>
      </c>
      <c r="I50" s="571">
        <v>646.12</v>
      </c>
      <c r="J50" s="571">
        <v>1</v>
      </c>
      <c r="K50" s="572">
        <v>646.12</v>
      </c>
    </row>
    <row r="51" spans="1:11" ht="14.4" customHeight="1" x14ac:dyDescent="0.3">
      <c r="A51" s="551" t="s">
        <v>420</v>
      </c>
      <c r="B51" s="552" t="s">
        <v>454</v>
      </c>
      <c r="C51" s="555" t="s">
        <v>430</v>
      </c>
      <c r="D51" s="570" t="s">
        <v>456</v>
      </c>
      <c r="E51" s="555" t="s">
        <v>657</v>
      </c>
      <c r="F51" s="570" t="s">
        <v>658</v>
      </c>
      <c r="G51" s="555" t="s">
        <v>585</v>
      </c>
      <c r="H51" s="555" t="s">
        <v>586</v>
      </c>
      <c r="I51" s="571">
        <v>369.01666666666671</v>
      </c>
      <c r="J51" s="571">
        <v>6</v>
      </c>
      <c r="K51" s="572">
        <v>2214.1000000000004</v>
      </c>
    </row>
    <row r="52" spans="1:11" ht="14.4" customHeight="1" x14ac:dyDescent="0.3">
      <c r="A52" s="551" t="s">
        <v>420</v>
      </c>
      <c r="B52" s="552" t="s">
        <v>454</v>
      </c>
      <c r="C52" s="555" t="s">
        <v>430</v>
      </c>
      <c r="D52" s="570" t="s">
        <v>456</v>
      </c>
      <c r="E52" s="555" t="s">
        <v>657</v>
      </c>
      <c r="F52" s="570" t="s">
        <v>658</v>
      </c>
      <c r="G52" s="555" t="s">
        <v>587</v>
      </c>
      <c r="H52" s="555" t="s">
        <v>588</v>
      </c>
      <c r="I52" s="571">
        <v>74.540000000000006</v>
      </c>
      <c r="J52" s="571">
        <v>1</v>
      </c>
      <c r="K52" s="572">
        <v>74.540000000000006</v>
      </c>
    </row>
    <row r="53" spans="1:11" ht="14.4" customHeight="1" x14ac:dyDescent="0.3">
      <c r="A53" s="551" t="s">
        <v>420</v>
      </c>
      <c r="B53" s="552" t="s">
        <v>454</v>
      </c>
      <c r="C53" s="555" t="s">
        <v>430</v>
      </c>
      <c r="D53" s="570" t="s">
        <v>456</v>
      </c>
      <c r="E53" s="555" t="s">
        <v>657</v>
      </c>
      <c r="F53" s="570" t="s">
        <v>658</v>
      </c>
      <c r="G53" s="555" t="s">
        <v>589</v>
      </c>
      <c r="H53" s="555" t="s">
        <v>590</v>
      </c>
      <c r="I53" s="571">
        <v>82.4</v>
      </c>
      <c r="J53" s="571">
        <v>3</v>
      </c>
      <c r="K53" s="572">
        <v>247.2</v>
      </c>
    </row>
    <row r="54" spans="1:11" ht="14.4" customHeight="1" x14ac:dyDescent="0.3">
      <c r="A54" s="551" t="s">
        <v>420</v>
      </c>
      <c r="B54" s="552" t="s">
        <v>454</v>
      </c>
      <c r="C54" s="555" t="s">
        <v>430</v>
      </c>
      <c r="D54" s="570" t="s">
        <v>456</v>
      </c>
      <c r="E54" s="555" t="s">
        <v>657</v>
      </c>
      <c r="F54" s="570" t="s">
        <v>658</v>
      </c>
      <c r="G54" s="555" t="s">
        <v>591</v>
      </c>
      <c r="H54" s="555" t="s">
        <v>592</v>
      </c>
      <c r="I54" s="571">
        <v>19012</v>
      </c>
      <c r="J54" s="571">
        <v>1</v>
      </c>
      <c r="K54" s="572">
        <v>19012</v>
      </c>
    </row>
    <row r="55" spans="1:11" ht="14.4" customHeight="1" x14ac:dyDescent="0.3">
      <c r="A55" s="551" t="s">
        <v>420</v>
      </c>
      <c r="B55" s="552" t="s">
        <v>454</v>
      </c>
      <c r="C55" s="555" t="s">
        <v>430</v>
      </c>
      <c r="D55" s="570" t="s">
        <v>456</v>
      </c>
      <c r="E55" s="555" t="s">
        <v>657</v>
      </c>
      <c r="F55" s="570" t="s">
        <v>658</v>
      </c>
      <c r="G55" s="555" t="s">
        <v>593</v>
      </c>
      <c r="H55" s="555" t="s">
        <v>594</v>
      </c>
      <c r="I55" s="571">
        <v>1270.5</v>
      </c>
      <c r="J55" s="571">
        <v>10</v>
      </c>
      <c r="K55" s="572">
        <v>12705</v>
      </c>
    </row>
    <row r="56" spans="1:11" ht="14.4" customHeight="1" x14ac:dyDescent="0.3">
      <c r="A56" s="551" t="s">
        <v>420</v>
      </c>
      <c r="B56" s="552" t="s">
        <v>454</v>
      </c>
      <c r="C56" s="555" t="s">
        <v>430</v>
      </c>
      <c r="D56" s="570" t="s">
        <v>456</v>
      </c>
      <c r="E56" s="555" t="s">
        <v>657</v>
      </c>
      <c r="F56" s="570" t="s">
        <v>658</v>
      </c>
      <c r="G56" s="555" t="s">
        <v>595</v>
      </c>
      <c r="H56" s="555" t="s">
        <v>596</v>
      </c>
      <c r="I56" s="571">
        <v>3509</v>
      </c>
      <c r="J56" s="571">
        <v>1</v>
      </c>
      <c r="K56" s="572">
        <v>3509</v>
      </c>
    </row>
    <row r="57" spans="1:11" ht="14.4" customHeight="1" x14ac:dyDescent="0.3">
      <c r="A57" s="551" t="s">
        <v>420</v>
      </c>
      <c r="B57" s="552" t="s">
        <v>454</v>
      </c>
      <c r="C57" s="555" t="s">
        <v>430</v>
      </c>
      <c r="D57" s="570" t="s">
        <v>456</v>
      </c>
      <c r="E57" s="555" t="s">
        <v>657</v>
      </c>
      <c r="F57" s="570" t="s">
        <v>658</v>
      </c>
      <c r="G57" s="555" t="s">
        <v>597</v>
      </c>
      <c r="H57" s="555" t="s">
        <v>598</v>
      </c>
      <c r="I57" s="571">
        <v>14822.5</v>
      </c>
      <c r="J57" s="571">
        <v>1</v>
      </c>
      <c r="K57" s="572">
        <v>14822.5</v>
      </c>
    </row>
    <row r="58" spans="1:11" ht="14.4" customHeight="1" x14ac:dyDescent="0.3">
      <c r="A58" s="551" t="s">
        <v>420</v>
      </c>
      <c r="B58" s="552" t="s">
        <v>454</v>
      </c>
      <c r="C58" s="555" t="s">
        <v>430</v>
      </c>
      <c r="D58" s="570" t="s">
        <v>456</v>
      </c>
      <c r="E58" s="555" t="s">
        <v>657</v>
      </c>
      <c r="F58" s="570" t="s">
        <v>658</v>
      </c>
      <c r="G58" s="555" t="s">
        <v>599</v>
      </c>
      <c r="H58" s="555" t="s">
        <v>600</v>
      </c>
      <c r="I58" s="571">
        <v>15511.39</v>
      </c>
      <c r="J58" s="571">
        <v>1</v>
      </c>
      <c r="K58" s="572">
        <v>15511.39</v>
      </c>
    </row>
    <row r="59" spans="1:11" ht="14.4" customHeight="1" x14ac:dyDescent="0.3">
      <c r="A59" s="551" t="s">
        <v>420</v>
      </c>
      <c r="B59" s="552" t="s">
        <v>454</v>
      </c>
      <c r="C59" s="555" t="s">
        <v>430</v>
      </c>
      <c r="D59" s="570" t="s">
        <v>456</v>
      </c>
      <c r="E59" s="555" t="s">
        <v>657</v>
      </c>
      <c r="F59" s="570" t="s">
        <v>658</v>
      </c>
      <c r="G59" s="555" t="s">
        <v>601</v>
      </c>
      <c r="H59" s="555" t="s">
        <v>602</v>
      </c>
      <c r="I59" s="571">
        <v>37038.1</v>
      </c>
      <c r="J59" s="571">
        <v>1</v>
      </c>
      <c r="K59" s="572">
        <v>37038.1</v>
      </c>
    </row>
    <row r="60" spans="1:11" ht="14.4" customHeight="1" x14ac:dyDescent="0.3">
      <c r="A60" s="551" t="s">
        <v>420</v>
      </c>
      <c r="B60" s="552" t="s">
        <v>454</v>
      </c>
      <c r="C60" s="555" t="s">
        <v>430</v>
      </c>
      <c r="D60" s="570" t="s">
        <v>456</v>
      </c>
      <c r="E60" s="555" t="s">
        <v>657</v>
      </c>
      <c r="F60" s="570" t="s">
        <v>658</v>
      </c>
      <c r="G60" s="555" t="s">
        <v>603</v>
      </c>
      <c r="H60" s="555" t="s">
        <v>604</v>
      </c>
      <c r="I60" s="571">
        <v>14742.23</v>
      </c>
      <c r="J60" s="571">
        <v>1</v>
      </c>
      <c r="K60" s="572">
        <v>14742.23</v>
      </c>
    </row>
    <row r="61" spans="1:11" ht="14.4" customHeight="1" x14ac:dyDescent="0.3">
      <c r="A61" s="551" t="s">
        <v>420</v>
      </c>
      <c r="B61" s="552" t="s">
        <v>454</v>
      </c>
      <c r="C61" s="555" t="s">
        <v>430</v>
      </c>
      <c r="D61" s="570" t="s">
        <v>456</v>
      </c>
      <c r="E61" s="555" t="s">
        <v>657</v>
      </c>
      <c r="F61" s="570" t="s">
        <v>658</v>
      </c>
      <c r="G61" s="555" t="s">
        <v>605</v>
      </c>
      <c r="H61" s="555" t="s">
        <v>606</v>
      </c>
      <c r="I61" s="571">
        <v>44300.639999999999</v>
      </c>
      <c r="J61" s="571">
        <v>1</v>
      </c>
      <c r="K61" s="572">
        <v>44300.639999999999</v>
      </c>
    </row>
    <row r="62" spans="1:11" ht="14.4" customHeight="1" x14ac:dyDescent="0.3">
      <c r="A62" s="551" t="s">
        <v>420</v>
      </c>
      <c r="B62" s="552" t="s">
        <v>454</v>
      </c>
      <c r="C62" s="555" t="s">
        <v>430</v>
      </c>
      <c r="D62" s="570" t="s">
        <v>456</v>
      </c>
      <c r="E62" s="555" t="s">
        <v>657</v>
      </c>
      <c r="F62" s="570" t="s">
        <v>658</v>
      </c>
      <c r="G62" s="555" t="s">
        <v>607</v>
      </c>
      <c r="H62" s="555" t="s">
        <v>608</v>
      </c>
      <c r="I62" s="571">
        <v>24865.5</v>
      </c>
      <c r="J62" s="571">
        <v>5</v>
      </c>
      <c r="K62" s="572">
        <v>124327.5</v>
      </c>
    </row>
    <row r="63" spans="1:11" ht="14.4" customHeight="1" x14ac:dyDescent="0.3">
      <c r="A63" s="551" t="s">
        <v>420</v>
      </c>
      <c r="B63" s="552" t="s">
        <v>454</v>
      </c>
      <c r="C63" s="555" t="s">
        <v>430</v>
      </c>
      <c r="D63" s="570" t="s">
        <v>456</v>
      </c>
      <c r="E63" s="555" t="s">
        <v>657</v>
      </c>
      <c r="F63" s="570" t="s">
        <v>658</v>
      </c>
      <c r="G63" s="555" t="s">
        <v>609</v>
      </c>
      <c r="H63" s="555" t="s">
        <v>610</v>
      </c>
      <c r="I63" s="571">
        <v>3739</v>
      </c>
      <c r="J63" s="571">
        <v>2</v>
      </c>
      <c r="K63" s="572">
        <v>7478</v>
      </c>
    </row>
    <row r="64" spans="1:11" ht="14.4" customHeight="1" x14ac:dyDescent="0.3">
      <c r="A64" s="551" t="s">
        <v>420</v>
      </c>
      <c r="B64" s="552" t="s">
        <v>454</v>
      </c>
      <c r="C64" s="555" t="s">
        <v>430</v>
      </c>
      <c r="D64" s="570" t="s">
        <v>456</v>
      </c>
      <c r="E64" s="555" t="s">
        <v>657</v>
      </c>
      <c r="F64" s="570" t="s">
        <v>658</v>
      </c>
      <c r="G64" s="555" t="s">
        <v>611</v>
      </c>
      <c r="H64" s="555" t="s">
        <v>612</v>
      </c>
      <c r="I64" s="571">
        <v>39216.1</v>
      </c>
      <c r="J64" s="571">
        <v>1</v>
      </c>
      <c r="K64" s="572">
        <v>39216.1</v>
      </c>
    </row>
    <row r="65" spans="1:11" ht="14.4" customHeight="1" x14ac:dyDescent="0.3">
      <c r="A65" s="551" t="s">
        <v>420</v>
      </c>
      <c r="B65" s="552" t="s">
        <v>454</v>
      </c>
      <c r="C65" s="555" t="s">
        <v>430</v>
      </c>
      <c r="D65" s="570" t="s">
        <v>456</v>
      </c>
      <c r="E65" s="555" t="s">
        <v>657</v>
      </c>
      <c r="F65" s="570" t="s">
        <v>658</v>
      </c>
      <c r="G65" s="555" t="s">
        <v>613</v>
      </c>
      <c r="H65" s="555" t="s">
        <v>614</v>
      </c>
      <c r="I65" s="571">
        <v>264.99</v>
      </c>
      <c r="J65" s="571">
        <v>1</v>
      </c>
      <c r="K65" s="572">
        <v>264.99</v>
      </c>
    </row>
    <row r="66" spans="1:11" ht="14.4" customHeight="1" x14ac:dyDescent="0.3">
      <c r="A66" s="551" t="s">
        <v>420</v>
      </c>
      <c r="B66" s="552" t="s">
        <v>454</v>
      </c>
      <c r="C66" s="555" t="s">
        <v>430</v>
      </c>
      <c r="D66" s="570" t="s">
        <v>456</v>
      </c>
      <c r="E66" s="555" t="s">
        <v>657</v>
      </c>
      <c r="F66" s="570" t="s">
        <v>658</v>
      </c>
      <c r="G66" s="555" t="s">
        <v>615</v>
      </c>
      <c r="H66" s="555" t="s">
        <v>616</v>
      </c>
      <c r="I66" s="571">
        <v>7748.52</v>
      </c>
      <c r="J66" s="571">
        <v>2</v>
      </c>
      <c r="K66" s="572">
        <v>15497.05</v>
      </c>
    </row>
    <row r="67" spans="1:11" ht="14.4" customHeight="1" x14ac:dyDescent="0.3">
      <c r="A67" s="551" t="s">
        <v>420</v>
      </c>
      <c r="B67" s="552" t="s">
        <v>454</v>
      </c>
      <c r="C67" s="555" t="s">
        <v>430</v>
      </c>
      <c r="D67" s="570" t="s">
        <v>456</v>
      </c>
      <c r="E67" s="555" t="s">
        <v>657</v>
      </c>
      <c r="F67" s="570" t="s">
        <v>658</v>
      </c>
      <c r="G67" s="555" t="s">
        <v>617</v>
      </c>
      <c r="H67" s="555" t="s">
        <v>618</v>
      </c>
      <c r="I67" s="571">
        <v>15497.05</v>
      </c>
      <c r="J67" s="571">
        <v>1</v>
      </c>
      <c r="K67" s="572">
        <v>15497.05</v>
      </c>
    </row>
    <row r="68" spans="1:11" ht="14.4" customHeight="1" x14ac:dyDescent="0.3">
      <c r="A68" s="551" t="s">
        <v>420</v>
      </c>
      <c r="B68" s="552" t="s">
        <v>454</v>
      </c>
      <c r="C68" s="555" t="s">
        <v>430</v>
      </c>
      <c r="D68" s="570" t="s">
        <v>456</v>
      </c>
      <c r="E68" s="555" t="s">
        <v>657</v>
      </c>
      <c r="F68" s="570" t="s">
        <v>658</v>
      </c>
      <c r="G68" s="555" t="s">
        <v>619</v>
      </c>
      <c r="H68" s="555" t="s">
        <v>620</v>
      </c>
      <c r="I68" s="571">
        <v>12486.47</v>
      </c>
      <c r="J68" s="571">
        <v>1</v>
      </c>
      <c r="K68" s="572">
        <v>12486.47</v>
      </c>
    </row>
    <row r="69" spans="1:11" ht="14.4" customHeight="1" x14ac:dyDescent="0.3">
      <c r="A69" s="551" t="s">
        <v>420</v>
      </c>
      <c r="B69" s="552" t="s">
        <v>454</v>
      </c>
      <c r="C69" s="555" t="s">
        <v>430</v>
      </c>
      <c r="D69" s="570" t="s">
        <v>456</v>
      </c>
      <c r="E69" s="555" t="s">
        <v>657</v>
      </c>
      <c r="F69" s="570" t="s">
        <v>658</v>
      </c>
      <c r="G69" s="555" t="s">
        <v>621</v>
      </c>
      <c r="H69" s="555" t="s">
        <v>622</v>
      </c>
      <c r="I69" s="571">
        <v>15333.12</v>
      </c>
      <c r="J69" s="571">
        <v>1</v>
      </c>
      <c r="K69" s="572">
        <v>15333.12</v>
      </c>
    </row>
    <row r="70" spans="1:11" ht="14.4" customHeight="1" x14ac:dyDescent="0.3">
      <c r="A70" s="551" t="s">
        <v>420</v>
      </c>
      <c r="B70" s="552" t="s">
        <v>454</v>
      </c>
      <c r="C70" s="555" t="s">
        <v>430</v>
      </c>
      <c r="D70" s="570" t="s">
        <v>456</v>
      </c>
      <c r="E70" s="555" t="s">
        <v>657</v>
      </c>
      <c r="F70" s="570" t="s">
        <v>658</v>
      </c>
      <c r="G70" s="555" t="s">
        <v>623</v>
      </c>
      <c r="H70" s="555" t="s">
        <v>624</v>
      </c>
      <c r="I70" s="571">
        <v>29500.81</v>
      </c>
      <c r="J70" s="571">
        <v>1</v>
      </c>
      <c r="K70" s="572">
        <v>29500.81</v>
      </c>
    </row>
    <row r="71" spans="1:11" ht="14.4" customHeight="1" x14ac:dyDescent="0.3">
      <c r="A71" s="551" t="s">
        <v>420</v>
      </c>
      <c r="B71" s="552" t="s">
        <v>454</v>
      </c>
      <c r="C71" s="555" t="s">
        <v>430</v>
      </c>
      <c r="D71" s="570" t="s">
        <v>456</v>
      </c>
      <c r="E71" s="555" t="s">
        <v>657</v>
      </c>
      <c r="F71" s="570" t="s">
        <v>658</v>
      </c>
      <c r="G71" s="555" t="s">
        <v>625</v>
      </c>
      <c r="H71" s="555" t="s">
        <v>626</v>
      </c>
      <c r="I71" s="571">
        <v>180653</v>
      </c>
      <c r="J71" s="571">
        <v>1</v>
      </c>
      <c r="K71" s="572">
        <v>180653</v>
      </c>
    </row>
    <row r="72" spans="1:11" ht="14.4" customHeight="1" x14ac:dyDescent="0.3">
      <c r="A72" s="551" t="s">
        <v>420</v>
      </c>
      <c r="B72" s="552" t="s">
        <v>454</v>
      </c>
      <c r="C72" s="555" t="s">
        <v>430</v>
      </c>
      <c r="D72" s="570" t="s">
        <v>456</v>
      </c>
      <c r="E72" s="555" t="s">
        <v>657</v>
      </c>
      <c r="F72" s="570" t="s">
        <v>658</v>
      </c>
      <c r="G72" s="555" t="s">
        <v>627</v>
      </c>
      <c r="H72" s="555" t="s">
        <v>628</v>
      </c>
      <c r="I72" s="571">
        <v>126.89369356764617</v>
      </c>
      <c r="J72" s="571">
        <v>1</v>
      </c>
      <c r="K72" s="572">
        <v>126.89369356764617</v>
      </c>
    </row>
    <row r="73" spans="1:11" ht="14.4" customHeight="1" x14ac:dyDescent="0.3">
      <c r="A73" s="551" t="s">
        <v>420</v>
      </c>
      <c r="B73" s="552" t="s">
        <v>454</v>
      </c>
      <c r="C73" s="555" t="s">
        <v>430</v>
      </c>
      <c r="D73" s="570" t="s">
        <v>456</v>
      </c>
      <c r="E73" s="555" t="s">
        <v>657</v>
      </c>
      <c r="F73" s="570" t="s">
        <v>658</v>
      </c>
      <c r="G73" s="555" t="s">
        <v>629</v>
      </c>
      <c r="H73" s="555" t="s">
        <v>630</v>
      </c>
      <c r="I73" s="571">
        <v>3994.72</v>
      </c>
      <c r="J73" s="571">
        <v>1</v>
      </c>
      <c r="K73" s="572">
        <v>3994.72</v>
      </c>
    </row>
    <row r="74" spans="1:11" ht="14.4" customHeight="1" x14ac:dyDescent="0.3">
      <c r="A74" s="551" t="s">
        <v>420</v>
      </c>
      <c r="B74" s="552" t="s">
        <v>454</v>
      </c>
      <c r="C74" s="555" t="s">
        <v>430</v>
      </c>
      <c r="D74" s="570" t="s">
        <v>456</v>
      </c>
      <c r="E74" s="555" t="s">
        <v>657</v>
      </c>
      <c r="F74" s="570" t="s">
        <v>658</v>
      </c>
      <c r="G74" s="555" t="s">
        <v>631</v>
      </c>
      <c r="H74" s="555" t="s">
        <v>632</v>
      </c>
      <c r="I74" s="571">
        <v>3994.72</v>
      </c>
      <c r="J74" s="571">
        <v>1</v>
      </c>
      <c r="K74" s="572">
        <v>3994.72</v>
      </c>
    </row>
    <row r="75" spans="1:11" ht="14.4" customHeight="1" x14ac:dyDescent="0.3">
      <c r="A75" s="551" t="s">
        <v>420</v>
      </c>
      <c r="B75" s="552" t="s">
        <v>454</v>
      </c>
      <c r="C75" s="555" t="s">
        <v>430</v>
      </c>
      <c r="D75" s="570" t="s">
        <v>456</v>
      </c>
      <c r="E75" s="555" t="s">
        <v>657</v>
      </c>
      <c r="F75" s="570" t="s">
        <v>658</v>
      </c>
      <c r="G75" s="555" t="s">
        <v>633</v>
      </c>
      <c r="H75" s="555" t="s">
        <v>634</v>
      </c>
      <c r="I75" s="571">
        <v>7748.53</v>
      </c>
      <c r="J75" s="571">
        <v>1</v>
      </c>
      <c r="K75" s="572">
        <v>7748.53</v>
      </c>
    </row>
    <row r="76" spans="1:11" ht="14.4" customHeight="1" x14ac:dyDescent="0.3">
      <c r="A76" s="551" t="s">
        <v>420</v>
      </c>
      <c r="B76" s="552" t="s">
        <v>454</v>
      </c>
      <c r="C76" s="555" t="s">
        <v>430</v>
      </c>
      <c r="D76" s="570" t="s">
        <v>456</v>
      </c>
      <c r="E76" s="555" t="s">
        <v>657</v>
      </c>
      <c r="F76" s="570" t="s">
        <v>658</v>
      </c>
      <c r="G76" s="555" t="s">
        <v>635</v>
      </c>
      <c r="H76" s="555" t="s">
        <v>636</v>
      </c>
      <c r="I76" s="571">
        <v>6536.15</v>
      </c>
      <c r="J76" s="571">
        <v>1</v>
      </c>
      <c r="K76" s="572">
        <v>6536.15</v>
      </c>
    </row>
    <row r="77" spans="1:11" ht="14.4" customHeight="1" x14ac:dyDescent="0.3">
      <c r="A77" s="551" t="s">
        <v>420</v>
      </c>
      <c r="B77" s="552" t="s">
        <v>454</v>
      </c>
      <c r="C77" s="555" t="s">
        <v>430</v>
      </c>
      <c r="D77" s="570" t="s">
        <v>456</v>
      </c>
      <c r="E77" s="555" t="s">
        <v>657</v>
      </c>
      <c r="F77" s="570" t="s">
        <v>658</v>
      </c>
      <c r="G77" s="555" t="s">
        <v>637</v>
      </c>
      <c r="H77" s="555" t="s">
        <v>638</v>
      </c>
      <c r="I77" s="571">
        <v>7754.26</v>
      </c>
      <c r="J77" s="571">
        <v>1</v>
      </c>
      <c r="K77" s="572">
        <v>7754.26</v>
      </c>
    </row>
    <row r="78" spans="1:11" ht="14.4" customHeight="1" x14ac:dyDescent="0.3">
      <c r="A78" s="551" t="s">
        <v>420</v>
      </c>
      <c r="B78" s="552" t="s">
        <v>454</v>
      </c>
      <c r="C78" s="555" t="s">
        <v>430</v>
      </c>
      <c r="D78" s="570" t="s">
        <v>456</v>
      </c>
      <c r="E78" s="555" t="s">
        <v>657</v>
      </c>
      <c r="F78" s="570" t="s">
        <v>658</v>
      </c>
      <c r="G78" s="555" t="s">
        <v>639</v>
      </c>
      <c r="H78" s="555" t="s">
        <v>640</v>
      </c>
      <c r="I78" s="571">
        <v>7754.26</v>
      </c>
      <c r="J78" s="571">
        <v>1</v>
      </c>
      <c r="K78" s="572">
        <v>7754.26</v>
      </c>
    </row>
    <row r="79" spans="1:11" ht="14.4" customHeight="1" x14ac:dyDescent="0.3">
      <c r="A79" s="551" t="s">
        <v>420</v>
      </c>
      <c r="B79" s="552" t="s">
        <v>454</v>
      </c>
      <c r="C79" s="555" t="s">
        <v>430</v>
      </c>
      <c r="D79" s="570" t="s">
        <v>456</v>
      </c>
      <c r="E79" s="555" t="s">
        <v>657</v>
      </c>
      <c r="F79" s="570" t="s">
        <v>658</v>
      </c>
      <c r="G79" s="555" t="s">
        <v>641</v>
      </c>
      <c r="H79" s="555" t="s">
        <v>642</v>
      </c>
      <c r="I79" s="571">
        <v>57499.199999999997</v>
      </c>
      <c r="J79" s="571">
        <v>1</v>
      </c>
      <c r="K79" s="572">
        <v>57499.199999999997</v>
      </c>
    </row>
    <row r="80" spans="1:11" ht="14.4" customHeight="1" x14ac:dyDescent="0.3">
      <c r="A80" s="551" t="s">
        <v>420</v>
      </c>
      <c r="B80" s="552" t="s">
        <v>454</v>
      </c>
      <c r="C80" s="555" t="s">
        <v>430</v>
      </c>
      <c r="D80" s="570" t="s">
        <v>456</v>
      </c>
      <c r="E80" s="555" t="s">
        <v>657</v>
      </c>
      <c r="F80" s="570" t="s">
        <v>658</v>
      </c>
      <c r="G80" s="555" t="s">
        <v>643</v>
      </c>
      <c r="H80" s="555" t="s">
        <v>644</v>
      </c>
      <c r="I80" s="571">
        <v>47819.199999999997</v>
      </c>
      <c r="J80" s="571">
        <v>1</v>
      </c>
      <c r="K80" s="572">
        <v>47819.199999999997</v>
      </c>
    </row>
    <row r="81" spans="1:11" ht="14.4" customHeight="1" thickBot="1" x14ac:dyDescent="0.35">
      <c r="A81" s="543" t="s">
        <v>420</v>
      </c>
      <c r="B81" s="544" t="s">
        <v>454</v>
      </c>
      <c r="C81" s="547" t="s">
        <v>430</v>
      </c>
      <c r="D81" s="573" t="s">
        <v>456</v>
      </c>
      <c r="E81" s="547" t="s">
        <v>657</v>
      </c>
      <c r="F81" s="573" t="s">
        <v>658</v>
      </c>
      <c r="G81" s="547" t="s">
        <v>645</v>
      </c>
      <c r="H81" s="547" t="s">
        <v>646</v>
      </c>
      <c r="I81" s="563">
        <v>2761.22</v>
      </c>
      <c r="J81" s="563">
        <v>1</v>
      </c>
      <c r="K81" s="564">
        <v>2761.22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2" width="13.109375" customWidth="1"/>
  </cols>
  <sheetData>
    <row r="1" spans="1:13" ht="18.600000000000001" thickBot="1" x14ac:dyDescent="0.4">
      <c r="A1" s="396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3" ht="15" thickBot="1" x14ac:dyDescent="0.35">
      <c r="A2" s="234" t="s">
        <v>256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3" x14ac:dyDescent="0.3">
      <c r="A3" s="253" t="s">
        <v>199</v>
      </c>
      <c r="B3" s="394" t="s">
        <v>181</v>
      </c>
      <c r="C3" s="236">
        <v>0</v>
      </c>
      <c r="D3" s="237">
        <v>99</v>
      </c>
      <c r="E3" s="256">
        <v>101</v>
      </c>
      <c r="F3" s="256">
        <v>302</v>
      </c>
      <c r="G3" s="256">
        <v>304</v>
      </c>
      <c r="H3" s="256">
        <v>305</v>
      </c>
      <c r="I3" s="256">
        <v>409</v>
      </c>
      <c r="J3" s="256">
        <v>526</v>
      </c>
      <c r="K3" s="237">
        <v>642</v>
      </c>
      <c r="L3" s="588">
        <v>930</v>
      </c>
      <c r="M3" s="603"/>
    </row>
    <row r="4" spans="1:13" ht="36.6" outlineLevel="1" thickBot="1" x14ac:dyDescent="0.35">
      <c r="A4" s="254">
        <v>2016</v>
      </c>
      <c r="B4" s="395"/>
      <c r="C4" s="238" t="s">
        <v>182</v>
      </c>
      <c r="D4" s="239" t="s">
        <v>183</v>
      </c>
      <c r="E4" s="257" t="s">
        <v>228</v>
      </c>
      <c r="F4" s="257" t="s">
        <v>229</v>
      </c>
      <c r="G4" s="257" t="s">
        <v>230</v>
      </c>
      <c r="H4" s="257" t="s">
        <v>231</v>
      </c>
      <c r="I4" s="257" t="s">
        <v>208</v>
      </c>
      <c r="J4" s="257" t="s">
        <v>209</v>
      </c>
      <c r="K4" s="239" t="s">
        <v>210</v>
      </c>
      <c r="L4" s="589" t="s">
        <v>201</v>
      </c>
      <c r="M4" s="603"/>
    </row>
    <row r="5" spans="1:13" x14ac:dyDescent="0.3">
      <c r="A5" s="240" t="s">
        <v>184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590"/>
      <c r="M5" s="603"/>
    </row>
    <row r="6" spans="1:13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26.1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Data'!I:I,'ON Data'!$D:$D,$A$4,'ON Data'!$E:$E,1),SUMIFS('ON Data'!I:I,'ON Data'!$E:$E,1)/'ON Data'!$D$3),1)</f>
        <v>2.4</v>
      </c>
      <c r="E6" s="281">
        <f xml:space="preserve">
TRUNC(IF($A$4&lt;=12,SUMIFS('ON Data'!K:K,'ON Data'!$D:$D,$A$4,'ON Data'!$E:$E,1),SUMIFS('ON Data'!K:K,'ON Data'!$E:$E,1)/'ON Data'!$D$3),1)</f>
        <v>2.8</v>
      </c>
      <c r="F6" s="281">
        <f xml:space="preserve">
TRUNC(IF($A$4&lt;=12,SUMIFS('ON Data'!O:O,'ON Data'!$D:$D,$A$4,'ON Data'!$E:$E,1),SUMIFS('ON Data'!O:O,'ON Data'!$E:$E,1)/'ON Data'!$D$3),1)</f>
        <v>0</v>
      </c>
      <c r="G6" s="281">
        <f xml:space="preserve">
TRUNC(IF($A$4&lt;=12,SUMIFS('ON Data'!Q:Q,'ON Data'!$D:$D,$A$4,'ON Data'!$E:$E,1),SUMIFS('ON Data'!Q:Q,'ON Data'!$E:$E,1)/'ON Data'!$D$3),1)</f>
        <v>1.5</v>
      </c>
      <c r="H6" s="281">
        <f xml:space="preserve">
TRUNC(IF($A$4&lt;=12,SUMIFS('ON Data'!R:R,'ON Data'!$D:$D,$A$4,'ON Data'!$E:$E,1),SUMIFS('ON Data'!R:R,'ON Data'!$E:$E,1)/'ON Data'!$D$3),1)</f>
        <v>1</v>
      </c>
      <c r="I6" s="281">
        <f xml:space="preserve">
TRUNC(IF($A$4&lt;=12,SUMIFS('ON Data'!V:V,'ON Data'!$D:$D,$A$4,'ON Data'!$E:$E,1),SUMIFS('ON Data'!V:V,'ON Data'!$E:$E,1)/'ON Data'!$D$3),1)</f>
        <v>5.3</v>
      </c>
      <c r="J6" s="281">
        <f xml:space="preserve">
TRUNC(IF($A$4&lt;=12,SUMIFS('ON Data'!AJ:AJ,'ON Data'!$D:$D,$A$4,'ON Data'!$E:$E,1),SUMIFS('ON Data'!AJ:AJ,'ON Data'!$E:$E,1)/'ON Data'!$D$3),1)</f>
        <v>10.3</v>
      </c>
      <c r="K6" s="281">
        <f xml:space="preserve">
TRUNC(IF($A$4&lt;=12,SUMIFS('ON Data'!AR:AR,'ON Data'!$D:$D,$A$4,'ON Data'!$E:$E,1),SUMIFS('ON Data'!AR:AR,'ON Data'!$E:$E,1)/'ON Data'!$D$3),1)</f>
        <v>1</v>
      </c>
      <c r="L6" s="591">
        <f xml:space="preserve">
TRUNC(IF($A$4&lt;=12,SUMIFS('ON Data'!AW:AW,'ON Data'!$D:$D,$A$4,'ON Data'!$E:$E,1),SUMIFS('ON Data'!AW:AW,'ON Data'!$E:$E,1)/'ON Data'!$D$3),1)</f>
        <v>1.8</v>
      </c>
      <c r="M6" s="603"/>
    </row>
    <row r="7" spans="1:13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591"/>
      <c r="M7" s="603"/>
    </row>
    <row r="8" spans="1:13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591"/>
      <c r="M8" s="603"/>
    </row>
    <row r="9" spans="1:13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592"/>
      <c r="M9" s="603"/>
    </row>
    <row r="10" spans="1:13" x14ac:dyDescent="0.3">
      <c r="A10" s="243" t="s">
        <v>185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593"/>
      <c r="M10" s="603"/>
    </row>
    <row r="11" spans="1:13" x14ac:dyDescent="0.3">
      <c r="A11" s="244" t="s">
        <v>186</v>
      </c>
      <c r="B11" s="261">
        <f xml:space="preserve">
IF($A$4&lt;=12,SUMIFS('ON Data'!F:F,'ON Data'!$D:$D,$A$4,'ON Data'!$E:$E,2),SUMIFS('ON Data'!F:F,'ON Data'!$E:$E,2))</f>
        <v>7829.6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Data'!I:I,'ON Data'!$D:$D,$A$4,'ON Data'!$E:$E,2),SUMIFS('ON Data'!I:I,'ON Data'!$E:$E,2))</f>
        <v>723.2</v>
      </c>
      <c r="E11" s="263">
        <f xml:space="preserve">
IF($A$4&lt;=12,SUMIFS('ON Data'!K:K,'ON Data'!$D:$D,$A$4,'ON Data'!$E:$E,2),SUMIFS('ON Data'!K:K,'ON Data'!$E:$E,2))</f>
        <v>820</v>
      </c>
      <c r="F11" s="263">
        <f xml:space="preserve">
IF($A$4&lt;=12,SUMIFS('ON Data'!O:O,'ON Data'!$D:$D,$A$4,'ON Data'!$E:$E,2),SUMIFS('ON Data'!O:O,'ON Data'!$E:$E,2))</f>
        <v>0</v>
      </c>
      <c r="G11" s="263">
        <f xml:space="preserve">
IF($A$4&lt;=12,SUMIFS('ON Data'!Q:Q,'ON Data'!$D:$D,$A$4,'ON Data'!$E:$E,2),SUMIFS('ON Data'!Q:Q,'ON Data'!$E:$E,2))</f>
        <v>460</v>
      </c>
      <c r="H11" s="263">
        <f xml:space="preserve">
IF($A$4&lt;=12,SUMIFS('ON Data'!R:R,'ON Data'!$D:$D,$A$4,'ON Data'!$E:$E,2),SUMIFS('ON Data'!R:R,'ON Data'!$E:$E,2))</f>
        <v>336</v>
      </c>
      <c r="I11" s="263">
        <f xml:space="preserve">
IF($A$4&lt;=12,SUMIFS('ON Data'!V:V,'ON Data'!$D:$D,$A$4,'ON Data'!$E:$E,2),SUMIFS('ON Data'!V:V,'ON Data'!$E:$E,2))</f>
        <v>1398.4</v>
      </c>
      <c r="J11" s="263">
        <f xml:space="preserve">
IF($A$4&lt;=12,SUMIFS('ON Data'!AJ:AJ,'ON Data'!$D:$D,$A$4,'ON Data'!$E:$E,2),SUMIFS('ON Data'!AJ:AJ,'ON Data'!$E:$E,2))</f>
        <v>3199.2</v>
      </c>
      <c r="K11" s="263">
        <f xml:space="preserve">
IF($A$4&lt;=12,SUMIFS('ON Data'!AR:AR,'ON Data'!$D:$D,$A$4,'ON Data'!$E:$E,2),SUMIFS('ON Data'!AR:AR,'ON Data'!$E:$E,2))</f>
        <v>304</v>
      </c>
      <c r="L11" s="594">
        <f xml:space="preserve">
IF($A$4&lt;=12,SUMIFS('ON Data'!AW:AW,'ON Data'!$D:$D,$A$4,'ON Data'!$E:$E,2),SUMIFS('ON Data'!AW:AW,'ON Data'!$E:$E,2))</f>
        <v>588.79999999999995</v>
      </c>
      <c r="M11" s="603"/>
    </row>
    <row r="12" spans="1:13" x14ac:dyDescent="0.3">
      <c r="A12" s="244" t="s">
        <v>187</v>
      </c>
      <c r="B12" s="261">
        <f xml:space="preserve">
IF($A$4&lt;=12,SUMIFS('ON Data'!F:F,'ON Data'!$D:$D,$A$4,'ON Data'!$E:$E,3),SUMIFS('ON Data'!F:F,'ON Data'!$E:$E,3))</f>
        <v>124.7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Data'!I:I,'ON Data'!$D:$D,$A$4,'ON Data'!$E:$E,3),SUMIFS('ON Data'!I:I,'ON Data'!$E:$E,3))</f>
        <v>8.6999999999999993</v>
      </c>
      <c r="E12" s="263">
        <f xml:space="preserve">
IF($A$4&lt;=12,SUMIFS('ON Data'!K:K,'ON Data'!$D:$D,$A$4,'ON Data'!$E:$E,3),SUMIFS('ON Data'!K:K,'ON Data'!$E:$E,3))</f>
        <v>52</v>
      </c>
      <c r="F12" s="263">
        <f xml:space="preserve">
IF($A$4&lt;=12,SUMIFS('ON Data'!O:O,'ON Data'!$D:$D,$A$4,'ON Data'!$E:$E,3),SUMIFS('ON Data'!O:O,'ON Data'!$E:$E,3))</f>
        <v>0</v>
      </c>
      <c r="G12" s="263">
        <f xml:space="preserve">
IF($A$4&lt;=12,SUMIFS('ON Data'!Q:Q,'ON Data'!$D:$D,$A$4,'ON Data'!$E:$E,3),SUMIFS('ON Data'!Q:Q,'ON Data'!$E:$E,3))</f>
        <v>64</v>
      </c>
      <c r="H12" s="263">
        <f xml:space="preserve">
IF($A$4&lt;=12,SUMIFS('ON Data'!R:R,'ON Data'!$D:$D,$A$4,'ON Data'!$E:$E,3),SUMIFS('ON Data'!R:R,'ON Data'!$E:$E,3))</f>
        <v>0</v>
      </c>
      <c r="I12" s="263">
        <f xml:space="preserve">
IF($A$4&lt;=12,SUMIFS('ON Data'!V:V,'ON Data'!$D:$D,$A$4,'ON Data'!$E:$E,3),SUMIFS('ON Data'!V:V,'ON Data'!$E:$E,3))</f>
        <v>0</v>
      </c>
      <c r="J12" s="263">
        <f xml:space="preserve">
IF($A$4&lt;=12,SUMIFS('ON Data'!AJ:AJ,'ON Data'!$D:$D,$A$4,'ON Data'!$E:$E,3),SUMIFS('ON Data'!AJ:AJ,'ON Data'!$E:$E,3))</f>
        <v>0</v>
      </c>
      <c r="K12" s="263">
        <f xml:space="preserve">
IF($A$4&lt;=12,SUMIFS('ON Data'!AR:AR,'ON Data'!$D:$D,$A$4,'ON Data'!$E:$E,3),SUMIFS('ON Data'!AR:AR,'ON Data'!$E:$E,3))</f>
        <v>0</v>
      </c>
      <c r="L12" s="594">
        <f xml:space="preserve">
IF($A$4&lt;=12,SUMIFS('ON Data'!AW:AW,'ON Data'!$D:$D,$A$4,'ON Data'!$E:$E,3),SUMIFS('ON Data'!AW:AW,'ON Data'!$E:$E,3))</f>
        <v>0</v>
      </c>
      <c r="M12" s="603"/>
    </row>
    <row r="13" spans="1:13" x14ac:dyDescent="0.3">
      <c r="A13" s="244" t="s">
        <v>194</v>
      </c>
      <c r="B13" s="261">
        <f xml:space="preserve">
IF($A$4&lt;=12,SUMIFS('ON Data'!F:F,'ON Data'!$D:$D,$A$4,'ON Data'!$E:$E,4),SUMIFS('ON Data'!F:F,'ON Data'!$E:$E,4))</f>
        <v>0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Data'!I:I,'ON Data'!$D:$D,$A$4,'ON Data'!$E:$E,4),SUMIFS('ON Data'!I:I,'ON Data'!$E:$E,4))</f>
        <v>0</v>
      </c>
      <c r="E13" s="263">
        <f xml:space="preserve">
IF($A$4&lt;=12,SUMIFS('ON Data'!K:K,'ON Data'!$D:$D,$A$4,'ON Data'!$E:$E,4),SUMIFS('ON Data'!K:K,'ON Data'!$E:$E,4))</f>
        <v>0</v>
      </c>
      <c r="F13" s="263">
        <f xml:space="preserve">
IF($A$4&lt;=12,SUMIFS('ON Data'!O:O,'ON Data'!$D:$D,$A$4,'ON Data'!$E:$E,4),SUMIFS('ON Data'!O:O,'ON Data'!$E:$E,4))</f>
        <v>0</v>
      </c>
      <c r="G13" s="263">
        <f xml:space="preserve">
IF($A$4&lt;=12,SUMIFS('ON Data'!Q:Q,'ON Data'!$D:$D,$A$4,'ON Data'!$E:$E,4),SUMIFS('ON Data'!Q:Q,'ON Data'!$E:$E,4))</f>
        <v>0</v>
      </c>
      <c r="H13" s="263">
        <f xml:space="preserve">
IF($A$4&lt;=12,SUMIFS('ON Data'!R:R,'ON Data'!$D:$D,$A$4,'ON Data'!$E:$E,4),SUMIFS('ON Data'!R:R,'ON Data'!$E:$E,4))</f>
        <v>0</v>
      </c>
      <c r="I13" s="263">
        <f xml:space="preserve">
IF($A$4&lt;=12,SUMIFS('ON Data'!V:V,'ON Data'!$D:$D,$A$4,'ON Data'!$E:$E,4),SUMIFS('ON Data'!V:V,'ON Data'!$E:$E,4))</f>
        <v>0</v>
      </c>
      <c r="J13" s="263">
        <f xml:space="preserve">
IF($A$4&lt;=12,SUMIFS('ON Data'!AJ:AJ,'ON Data'!$D:$D,$A$4,'ON Data'!$E:$E,4),SUMIFS('ON Data'!AJ:AJ,'ON Data'!$E:$E,4))</f>
        <v>0</v>
      </c>
      <c r="K13" s="263">
        <f xml:space="preserve">
IF($A$4&lt;=12,SUMIFS('ON Data'!AR:AR,'ON Data'!$D:$D,$A$4,'ON Data'!$E:$E,4),SUMIFS('ON Data'!AR:AR,'ON Data'!$E:$E,4))</f>
        <v>0</v>
      </c>
      <c r="L13" s="594">
        <f xml:space="preserve">
IF($A$4&lt;=12,SUMIFS('ON Data'!AW:AW,'ON Data'!$D:$D,$A$4,'ON Data'!$E:$E,4),SUMIFS('ON Data'!AW:AW,'ON Data'!$E:$E,4))</f>
        <v>0</v>
      </c>
      <c r="M13" s="603"/>
    </row>
    <row r="14" spans="1:13" ht="15" thickBot="1" x14ac:dyDescent="0.35">
      <c r="A14" s="245" t="s">
        <v>188</v>
      </c>
      <c r="B14" s="264">
        <f xml:space="preserve">
IF($A$4&lt;=12,SUMIFS('ON Data'!F:F,'ON Data'!$D:$D,$A$4,'ON Data'!$E:$E,5),SUMIFS('ON Data'!F:F,'ON Data'!$E:$E,5))</f>
        <v>64</v>
      </c>
      <c r="C14" s="265">
        <f xml:space="preserve">
IF($A$4&lt;=12,SUMIFS('ON Data'!G:G,'ON Data'!$D:$D,$A$4,'ON Data'!$E:$E,5),SUMIFS('ON Data'!G:G,'ON Data'!$E:$E,5))</f>
        <v>64</v>
      </c>
      <c r="D14" s="266">
        <f xml:space="preserve">
IF($A$4&lt;=12,SUMIFS('ON Data'!I:I,'ON Data'!$D:$D,$A$4,'ON Data'!$E:$E,5),SUMIFS('ON Data'!I:I,'ON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Data'!O:O,'ON Data'!$D:$D,$A$4,'ON Data'!$E:$E,5),SUMIFS('ON Data'!O:O,'ON Data'!$E:$E,5))</f>
        <v>0</v>
      </c>
      <c r="G14" s="266">
        <f xml:space="preserve">
IF($A$4&lt;=12,SUMIFS('ON Data'!Q:Q,'ON Data'!$D:$D,$A$4,'ON Data'!$E:$E,5),SUMIFS('ON Data'!Q:Q,'ON Data'!$E:$E,5))</f>
        <v>0</v>
      </c>
      <c r="H14" s="266">
        <f xml:space="preserve">
IF($A$4&lt;=12,SUMIFS('ON Data'!R:R,'ON Data'!$D:$D,$A$4,'ON Data'!$E:$E,5),SUMIFS('ON Data'!R:R,'ON Data'!$E:$E,5))</f>
        <v>0</v>
      </c>
      <c r="I14" s="266">
        <f xml:space="preserve">
IF($A$4&lt;=12,SUMIFS('ON Data'!V:V,'ON Data'!$D:$D,$A$4,'ON Data'!$E:$E,5),SUMIFS('ON Data'!V:V,'ON Data'!$E:$E,5))</f>
        <v>0</v>
      </c>
      <c r="J14" s="266">
        <f xml:space="preserve">
IF($A$4&lt;=12,SUMIFS('ON Data'!AJ:AJ,'ON Data'!$D:$D,$A$4,'ON Data'!$E:$E,5),SUMIFS('ON Data'!AJ:AJ,'ON Data'!$E:$E,5))</f>
        <v>0</v>
      </c>
      <c r="K14" s="266">
        <f xml:space="preserve">
IF($A$4&lt;=12,SUMIFS('ON Data'!AR:AR,'ON Data'!$D:$D,$A$4,'ON Data'!$E:$E,5),SUMIFS('ON Data'!AR:AR,'ON Data'!$E:$E,5))</f>
        <v>0</v>
      </c>
      <c r="L14" s="595">
        <f xml:space="preserve">
IF($A$4&lt;=12,SUMIFS('ON Data'!AW:AW,'ON Data'!$D:$D,$A$4,'ON Data'!$E:$E,5),SUMIFS('ON Data'!AW:AW,'ON Data'!$E:$E,5))</f>
        <v>0</v>
      </c>
      <c r="M14" s="603"/>
    </row>
    <row r="15" spans="1:13" x14ac:dyDescent="0.3">
      <c r="A15" s="163" t="s">
        <v>198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596"/>
      <c r="M15" s="603"/>
    </row>
    <row r="16" spans="1:13" x14ac:dyDescent="0.3">
      <c r="A16" s="246" t="s">
        <v>189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Data'!I:I,'ON Data'!$D:$D,$A$4,'ON Data'!$E:$E,7),SUMIFS('ON Data'!I:I,'ON Data'!$E:$E,7))</f>
        <v>0</v>
      </c>
      <c r="E16" s="263">
        <f xml:space="preserve">
IF($A$4&lt;=12,SUMIFS('ON Data'!K:K,'ON Data'!$D:$D,$A$4,'ON Data'!$E:$E,7),SUMIFS('ON Data'!K:K,'ON Data'!$E:$E,7))</f>
        <v>0</v>
      </c>
      <c r="F16" s="263">
        <f xml:space="preserve">
IF($A$4&lt;=12,SUMIFS('ON Data'!O:O,'ON Data'!$D:$D,$A$4,'ON Data'!$E:$E,7),SUMIFS('ON Data'!O:O,'ON Data'!$E:$E,7))</f>
        <v>0</v>
      </c>
      <c r="G16" s="263">
        <f xml:space="preserve">
IF($A$4&lt;=12,SUMIFS('ON Data'!Q:Q,'ON Data'!$D:$D,$A$4,'ON Data'!$E:$E,7),SUMIFS('ON Data'!Q:Q,'ON Data'!$E:$E,7))</f>
        <v>0</v>
      </c>
      <c r="H16" s="263">
        <f xml:space="preserve">
IF($A$4&lt;=12,SUMIFS('ON Data'!R:R,'ON Data'!$D:$D,$A$4,'ON Data'!$E:$E,7),SUMIFS('ON Data'!R:R,'ON Data'!$E:$E,7))</f>
        <v>0</v>
      </c>
      <c r="I16" s="263">
        <f xml:space="preserve">
IF($A$4&lt;=12,SUMIFS('ON Data'!V:V,'ON Data'!$D:$D,$A$4,'ON Data'!$E:$E,7),SUMIFS('ON Data'!V:V,'ON Data'!$E:$E,7))</f>
        <v>0</v>
      </c>
      <c r="J16" s="263">
        <f xml:space="preserve">
IF($A$4&lt;=12,SUMIFS('ON Data'!AJ:AJ,'ON Data'!$D:$D,$A$4,'ON Data'!$E:$E,7),SUMIFS('ON Data'!AJ:AJ,'ON Data'!$E:$E,7))</f>
        <v>0</v>
      </c>
      <c r="K16" s="263">
        <f xml:space="preserve">
IF($A$4&lt;=12,SUMIFS('ON Data'!AR:AR,'ON Data'!$D:$D,$A$4,'ON Data'!$E:$E,7),SUMIFS('ON Data'!AR:AR,'ON Data'!$E:$E,7))</f>
        <v>0</v>
      </c>
      <c r="L16" s="594">
        <f xml:space="preserve">
IF($A$4&lt;=12,SUMIFS('ON Data'!AW:AW,'ON Data'!$D:$D,$A$4,'ON Data'!$E:$E,7),SUMIFS('ON Data'!AW:AW,'ON Data'!$E:$E,7))</f>
        <v>0</v>
      </c>
      <c r="M16" s="603"/>
    </row>
    <row r="17" spans="1:13" x14ac:dyDescent="0.3">
      <c r="A17" s="246" t="s">
        <v>190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Data'!I:I,'ON Data'!$D:$D,$A$4,'ON Data'!$E:$E,8),SUMIFS('ON Data'!I:I,'ON Data'!$E:$E,8))</f>
        <v>0</v>
      </c>
      <c r="E17" s="263">
        <f xml:space="preserve">
IF($A$4&lt;=12,SUMIFS('ON Data'!K:K,'ON Data'!$D:$D,$A$4,'ON Data'!$E:$E,8),SUMIFS('ON Data'!K:K,'ON Data'!$E:$E,8))</f>
        <v>0</v>
      </c>
      <c r="F17" s="263">
        <f xml:space="preserve">
IF($A$4&lt;=12,SUMIFS('ON Data'!O:O,'ON Data'!$D:$D,$A$4,'ON Data'!$E:$E,8),SUMIFS('ON Data'!O:O,'ON Data'!$E:$E,8))</f>
        <v>0</v>
      </c>
      <c r="G17" s="263">
        <f xml:space="preserve">
IF($A$4&lt;=12,SUMIFS('ON Data'!Q:Q,'ON Data'!$D:$D,$A$4,'ON Data'!$E:$E,8),SUMIFS('ON Data'!Q:Q,'ON Data'!$E:$E,8))</f>
        <v>0</v>
      </c>
      <c r="H17" s="263">
        <f xml:space="preserve">
IF($A$4&lt;=12,SUMIFS('ON Data'!R:R,'ON Data'!$D:$D,$A$4,'ON Data'!$E:$E,8),SUMIFS('ON Data'!R:R,'ON Data'!$E:$E,8))</f>
        <v>0</v>
      </c>
      <c r="I17" s="263">
        <f xml:space="preserve">
IF($A$4&lt;=12,SUMIFS('ON Data'!V:V,'ON Data'!$D:$D,$A$4,'ON Data'!$E:$E,8),SUMIFS('ON Data'!V:V,'ON Data'!$E:$E,8))</f>
        <v>0</v>
      </c>
      <c r="J17" s="263">
        <f xml:space="preserve">
IF($A$4&lt;=12,SUMIFS('ON Data'!AJ:AJ,'ON Data'!$D:$D,$A$4,'ON Data'!$E:$E,8),SUMIFS('ON Data'!AJ:AJ,'ON Data'!$E:$E,8))</f>
        <v>0</v>
      </c>
      <c r="K17" s="263">
        <f xml:space="preserve">
IF($A$4&lt;=12,SUMIFS('ON Data'!AR:AR,'ON Data'!$D:$D,$A$4,'ON Data'!$E:$E,8),SUMIFS('ON Data'!AR:AR,'ON Data'!$E:$E,8))</f>
        <v>0</v>
      </c>
      <c r="L17" s="594">
        <f xml:space="preserve">
IF($A$4&lt;=12,SUMIFS('ON Data'!AW:AW,'ON Data'!$D:$D,$A$4,'ON Data'!$E:$E,8),SUMIFS('ON Data'!AW:AW,'ON Data'!$E:$E,8))</f>
        <v>0</v>
      </c>
      <c r="M17" s="603"/>
    </row>
    <row r="18" spans="1:13" x14ac:dyDescent="0.3">
      <c r="A18" s="246" t="s">
        <v>191</v>
      </c>
      <c r="B18" s="261">
        <f xml:space="preserve">
B19-B16-B17</f>
        <v>0</v>
      </c>
      <c r="C18" s="262">
        <f t="shared" ref="C18:E18" si="0" xml:space="preserve">
C19-C16-C17</f>
        <v>0</v>
      </c>
      <c r="D18" s="263">
        <f t="shared" si="0"/>
        <v>0</v>
      </c>
      <c r="E18" s="263">
        <f t="shared" si="0"/>
        <v>0</v>
      </c>
      <c r="F18" s="263">
        <f t="shared" ref="F18:J18" si="1" xml:space="preserve">
F19-F16-F17</f>
        <v>0</v>
      </c>
      <c r="G18" s="263">
        <f t="shared" si="1"/>
        <v>0</v>
      </c>
      <c r="H18" s="263">
        <f t="shared" si="1"/>
        <v>0</v>
      </c>
      <c r="I18" s="263">
        <f t="shared" si="1"/>
        <v>0</v>
      </c>
      <c r="J18" s="263">
        <f t="shared" si="1"/>
        <v>0</v>
      </c>
      <c r="K18" s="263">
        <f t="shared" ref="K18:L18" si="2" xml:space="preserve">
K19-K16-K17</f>
        <v>0</v>
      </c>
      <c r="L18" s="594">
        <f t="shared" si="2"/>
        <v>0</v>
      </c>
      <c r="M18" s="603"/>
    </row>
    <row r="19" spans="1:13" ht="15" thickBot="1" x14ac:dyDescent="0.35">
      <c r="A19" s="247" t="s">
        <v>192</v>
      </c>
      <c r="B19" s="270">
        <f xml:space="preserve">
IF($A$4&lt;=12,SUMIFS('ON Data'!F:F,'ON Data'!$D:$D,$A$4,'ON Data'!$E:$E,9),SUMIFS('ON Data'!F:F,'ON Data'!$E:$E,9))</f>
        <v>0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Data'!I:I,'ON Data'!$D:$D,$A$4,'ON Data'!$E:$E,9),SUMIFS('ON Data'!I:I,'ON Data'!$E:$E,9))</f>
        <v>0</v>
      </c>
      <c r="E19" s="272">
        <f xml:space="preserve">
IF($A$4&lt;=12,SUMIFS('ON Data'!K:K,'ON Data'!$D:$D,$A$4,'ON Data'!$E:$E,9),SUMIFS('ON Data'!K:K,'ON Data'!$E:$E,9))</f>
        <v>0</v>
      </c>
      <c r="F19" s="272">
        <f xml:space="preserve">
IF($A$4&lt;=12,SUMIFS('ON Data'!O:O,'ON Data'!$D:$D,$A$4,'ON Data'!$E:$E,9),SUMIFS('ON Data'!O:O,'ON Data'!$E:$E,9))</f>
        <v>0</v>
      </c>
      <c r="G19" s="272">
        <f xml:space="preserve">
IF($A$4&lt;=12,SUMIFS('ON Data'!Q:Q,'ON Data'!$D:$D,$A$4,'ON Data'!$E:$E,9),SUMIFS('ON Data'!Q:Q,'ON Data'!$E:$E,9))</f>
        <v>0</v>
      </c>
      <c r="H19" s="272">
        <f xml:space="preserve">
IF($A$4&lt;=12,SUMIFS('ON Data'!R:R,'ON Data'!$D:$D,$A$4,'ON Data'!$E:$E,9),SUMIFS('ON Data'!R:R,'ON Data'!$E:$E,9))</f>
        <v>0</v>
      </c>
      <c r="I19" s="272">
        <f xml:space="preserve">
IF($A$4&lt;=12,SUMIFS('ON Data'!V:V,'ON Data'!$D:$D,$A$4,'ON Data'!$E:$E,9),SUMIFS('ON Data'!V:V,'ON Data'!$E:$E,9))</f>
        <v>0</v>
      </c>
      <c r="J19" s="272">
        <f xml:space="preserve">
IF($A$4&lt;=12,SUMIFS('ON Data'!AJ:AJ,'ON Data'!$D:$D,$A$4,'ON Data'!$E:$E,9),SUMIFS('ON Data'!AJ:AJ,'ON Data'!$E:$E,9))</f>
        <v>0</v>
      </c>
      <c r="K19" s="272">
        <f xml:space="preserve">
IF($A$4&lt;=12,SUMIFS('ON Data'!AR:AR,'ON Data'!$D:$D,$A$4,'ON Data'!$E:$E,9),SUMIFS('ON Data'!AR:AR,'ON Data'!$E:$E,9))</f>
        <v>0</v>
      </c>
      <c r="L19" s="597">
        <f xml:space="preserve">
IF($A$4&lt;=12,SUMIFS('ON Data'!AW:AW,'ON Data'!$D:$D,$A$4,'ON Data'!$E:$E,9),SUMIFS('ON Data'!AW:AW,'ON Data'!$E:$E,9))</f>
        <v>0</v>
      </c>
      <c r="M19" s="603"/>
    </row>
    <row r="20" spans="1:13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1900232</v>
      </c>
      <c r="C20" s="274">
        <f xml:space="preserve">
IF($A$4&lt;=12,SUMIFS('ON Data'!G:G,'ON Data'!$D:$D,$A$4,'ON Data'!$E:$E,6),SUMIFS('ON Data'!G:G,'ON Data'!$E:$E,6))</f>
        <v>25600</v>
      </c>
      <c r="D20" s="275">
        <f xml:space="preserve">
IF($A$4&lt;=12,SUMIFS('ON Data'!I:I,'ON Data'!$D:$D,$A$4,'ON Data'!$E:$E,6),SUMIFS('ON Data'!I:I,'ON Data'!$E:$E,6))</f>
        <v>136287</v>
      </c>
      <c r="E20" s="275">
        <f xml:space="preserve">
IF($A$4&lt;=12,SUMIFS('ON Data'!K:K,'ON Data'!$D:$D,$A$4,'ON Data'!$E:$E,6),SUMIFS('ON Data'!K:K,'ON Data'!$E:$E,6))</f>
        <v>418421</v>
      </c>
      <c r="F20" s="275">
        <f xml:space="preserve">
IF($A$4&lt;=12,SUMIFS('ON Data'!O:O,'ON Data'!$D:$D,$A$4,'ON Data'!$E:$E,6),SUMIFS('ON Data'!O:O,'ON Data'!$E:$E,6))</f>
        <v>0</v>
      </c>
      <c r="G20" s="275">
        <f xml:space="preserve">
IF($A$4&lt;=12,SUMIFS('ON Data'!Q:Q,'ON Data'!$D:$D,$A$4,'ON Data'!$E:$E,6),SUMIFS('ON Data'!Q:Q,'ON Data'!$E:$E,6))</f>
        <v>103133</v>
      </c>
      <c r="H20" s="275">
        <f xml:space="preserve">
IF($A$4&lt;=12,SUMIFS('ON Data'!R:R,'ON Data'!$D:$D,$A$4,'ON Data'!$E:$E,6),SUMIFS('ON Data'!R:R,'ON Data'!$E:$E,6))</f>
        <v>77640</v>
      </c>
      <c r="I20" s="275">
        <f xml:space="preserve">
IF($A$4&lt;=12,SUMIFS('ON Data'!V:V,'ON Data'!$D:$D,$A$4,'ON Data'!$E:$E,6),SUMIFS('ON Data'!V:V,'ON Data'!$E:$E,6))</f>
        <v>258248</v>
      </c>
      <c r="J20" s="275">
        <f xml:space="preserve">
IF($A$4&lt;=12,SUMIFS('ON Data'!AJ:AJ,'ON Data'!$D:$D,$A$4,'ON Data'!$E:$E,6),SUMIFS('ON Data'!AJ:AJ,'ON Data'!$E:$E,6))</f>
        <v>767910</v>
      </c>
      <c r="K20" s="275">
        <f xml:space="preserve">
IF($A$4&lt;=12,SUMIFS('ON Data'!AR:AR,'ON Data'!$D:$D,$A$4,'ON Data'!$E:$E,6),SUMIFS('ON Data'!AR:AR,'ON Data'!$E:$E,6))</f>
        <v>32187</v>
      </c>
      <c r="L20" s="598">
        <f xml:space="preserve">
IF($A$4&lt;=12,SUMIFS('ON Data'!AW:AW,'ON Data'!$D:$D,$A$4,'ON Data'!$E:$E,6),SUMIFS('ON Data'!AW:AW,'ON Data'!$E:$E,6))</f>
        <v>80806</v>
      </c>
      <c r="M20" s="603"/>
    </row>
    <row r="21" spans="1:13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Data'!I:I,'ON Data'!$D:$D,$A$4,'ON Data'!$E:$E,12),SUMIFS('ON Data'!I:I,'ON Data'!$E:$E,12))</f>
        <v>0</v>
      </c>
      <c r="E21" s="263">
        <f xml:space="preserve">
IF($A$4&lt;=12,SUMIFS('ON Data'!K:K,'ON Data'!$D:$D,$A$4,'ON Data'!$E:$E,12),SUMIFS('ON Data'!K:K,'ON Data'!$E:$E,12))</f>
        <v>0</v>
      </c>
      <c r="F21" s="263">
        <f xml:space="preserve">
IF($A$4&lt;=12,SUMIFS('ON Data'!O:O,'ON Data'!$D:$D,$A$4,'ON Data'!$E:$E,12),SUMIFS('ON Data'!O:O,'ON Data'!$E:$E,12))</f>
        <v>0</v>
      </c>
      <c r="G21" s="263">
        <f xml:space="preserve">
IF($A$4&lt;=12,SUMIFS('ON Data'!Q:Q,'ON Data'!$D:$D,$A$4,'ON Data'!$E:$E,12),SUMIFS('ON Data'!Q:Q,'ON Data'!$E:$E,12))</f>
        <v>0</v>
      </c>
      <c r="H21" s="263">
        <f xml:space="preserve">
IF($A$4&lt;=12,SUMIFS('ON Data'!R:R,'ON Data'!$D:$D,$A$4,'ON Data'!$E:$E,12),SUMIFS('ON Data'!R:R,'ON Data'!$E:$E,12))</f>
        <v>0</v>
      </c>
      <c r="I21" s="263">
        <f xml:space="preserve">
IF($A$4&lt;=12,SUMIFS('ON Data'!V:V,'ON Data'!$D:$D,$A$4,'ON Data'!$E:$E,12),SUMIFS('ON Data'!V:V,'ON Data'!$E:$E,12))</f>
        <v>0</v>
      </c>
      <c r="J21" s="263">
        <f xml:space="preserve">
IF($A$4&lt;=12,SUMIFS('ON Data'!AJ:AJ,'ON Data'!$D:$D,$A$4,'ON Data'!$E:$E,12),SUMIFS('ON Data'!AJ:AJ,'ON Data'!$E:$E,12))</f>
        <v>0</v>
      </c>
      <c r="M21" s="603"/>
    </row>
    <row r="22" spans="1:13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E22" si="3" xml:space="preserve">
IF(OR(C21="",C21=0),"",C20/C21)</f>
        <v/>
      </c>
      <c r="D22" s="319" t="str">
        <f t="shared" si="3"/>
        <v/>
      </c>
      <c r="E22" s="319" t="str">
        <f t="shared" si="3"/>
        <v/>
      </c>
      <c r="F22" s="319" t="str">
        <f t="shared" ref="F22:J22" si="4" xml:space="preserve">
IF(OR(F21="",F21=0),"",F20/F21)</f>
        <v/>
      </c>
      <c r="G22" s="319" t="str">
        <f t="shared" si="4"/>
        <v/>
      </c>
      <c r="H22" s="319" t="str">
        <f t="shared" si="4"/>
        <v/>
      </c>
      <c r="I22" s="319" t="str">
        <f t="shared" si="4"/>
        <v/>
      </c>
      <c r="J22" s="319" t="str">
        <f t="shared" si="4"/>
        <v/>
      </c>
      <c r="M22" s="603"/>
    </row>
    <row r="23" spans="1:13" ht="15" hidden="1" outlineLevel="1" thickBot="1" x14ac:dyDescent="0.35">
      <c r="A23" s="249" t="s">
        <v>68</v>
      </c>
      <c r="B23" s="264">
        <f xml:space="preserve">
IF(B21="","",B20-B21)</f>
        <v>1900232</v>
      </c>
      <c r="C23" s="265">
        <f t="shared" ref="C23:E23" si="5" xml:space="preserve">
IF(C21="","",C20-C21)</f>
        <v>25600</v>
      </c>
      <c r="D23" s="266">
        <f t="shared" si="5"/>
        <v>136287</v>
      </c>
      <c r="E23" s="266">
        <f t="shared" si="5"/>
        <v>418421</v>
      </c>
      <c r="F23" s="266">
        <f t="shared" ref="F23:J23" si="6" xml:space="preserve">
IF(F21="","",F20-F21)</f>
        <v>0</v>
      </c>
      <c r="G23" s="266">
        <f t="shared" si="6"/>
        <v>103133</v>
      </c>
      <c r="H23" s="266">
        <f t="shared" si="6"/>
        <v>77640</v>
      </c>
      <c r="I23" s="266">
        <f t="shared" si="6"/>
        <v>258248</v>
      </c>
      <c r="J23" s="266">
        <f t="shared" si="6"/>
        <v>767910</v>
      </c>
      <c r="M23" s="603"/>
    </row>
    <row r="24" spans="1:13" x14ac:dyDescent="0.3">
      <c r="A24" s="243" t="s">
        <v>193</v>
      </c>
      <c r="B24" s="290" t="s">
        <v>3</v>
      </c>
      <c r="C24" s="604" t="s">
        <v>204</v>
      </c>
      <c r="D24" s="574"/>
      <c r="E24" s="575"/>
      <c r="F24" s="576" t="s">
        <v>205</v>
      </c>
      <c r="G24" s="577"/>
      <c r="H24" s="577"/>
      <c r="I24" s="577"/>
      <c r="J24" s="577"/>
      <c r="K24" s="577"/>
      <c r="L24" s="599" t="s">
        <v>206</v>
      </c>
      <c r="M24" s="603"/>
    </row>
    <row r="25" spans="1:13" x14ac:dyDescent="0.3">
      <c r="A25" s="244" t="s">
        <v>73</v>
      </c>
      <c r="B25" s="261">
        <f xml:space="preserve">
SUM(C25:L25)</f>
        <v>18347.63</v>
      </c>
      <c r="C25" s="605">
        <f xml:space="preserve">
IF($A$4&lt;=12,SUMIFS('ON Data'!J:J,'ON Data'!$D:$D,$A$4,'ON Data'!$E:$E,10),SUMIFS('ON Data'!J:J,'ON Data'!$E:$E,10))</f>
        <v>9616.630000000001</v>
      </c>
      <c r="D25" s="578"/>
      <c r="E25" s="579"/>
      <c r="F25" s="580">
        <f xml:space="preserve">
IF($A$4&lt;=12,SUMIFS('ON Data'!O:O,'ON Data'!$D:$D,$A$4,'ON Data'!$E:$E,10),SUMIFS('ON Data'!O:O,'ON Data'!$E:$E,10))</f>
        <v>8731</v>
      </c>
      <c r="G25" s="579"/>
      <c r="H25" s="579"/>
      <c r="I25" s="579"/>
      <c r="J25" s="579"/>
      <c r="K25" s="579"/>
      <c r="L25" s="600">
        <f xml:space="preserve">
IF($A$4&lt;=12,SUMIFS('ON Data'!AW:AW,'ON Data'!$D:$D,$A$4,'ON Data'!$E:$E,10),SUMIFS('ON Data'!AW:AW,'ON Data'!$E:$E,10))</f>
        <v>0</v>
      </c>
      <c r="M25" s="603"/>
    </row>
    <row r="26" spans="1:13" x14ac:dyDescent="0.3">
      <c r="A26" s="250" t="s">
        <v>203</v>
      </c>
      <c r="B26" s="270">
        <f xml:space="preserve">
SUM(C26:L26)</f>
        <v>11438.10287735752</v>
      </c>
      <c r="C26" s="605">
        <f xml:space="preserve">
IF($A$4&lt;=12,SUMIFS('ON Data'!J:J,'ON Data'!$D:$D,$A$4,'ON Data'!$E:$E,11),SUMIFS('ON Data'!J:J,'ON Data'!$E:$E,11))</f>
        <v>2771.4362106908538</v>
      </c>
      <c r="D26" s="578"/>
      <c r="E26" s="579"/>
      <c r="F26" s="581">
        <f xml:space="preserve">
IF($A$4&lt;=12,SUMIFS('ON Data'!O:O,'ON Data'!$D:$D,$A$4,'ON Data'!$E:$E,11),SUMIFS('ON Data'!O:O,'ON Data'!$E:$E,11))</f>
        <v>8666.6666666666661</v>
      </c>
      <c r="G26" s="582"/>
      <c r="H26" s="582"/>
      <c r="I26" s="582"/>
      <c r="J26" s="582"/>
      <c r="K26" s="582"/>
      <c r="L26" s="600">
        <f xml:space="preserve">
IF($A$4&lt;=12,SUMIFS('ON Data'!AW:AW,'ON Data'!$D:$D,$A$4,'ON Data'!$E:$E,11),SUMIFS('ON Data'!AW:AW,'ON Data'!$E:$E,11))</f>
        <v>0</v>
      </c>
      <c r="M26" s="603"/>
    </row>
    <row r="27" spans="1:13" x14ac:dyDescent="0.3">
      <c r="A27" s="250" t="s">
        <v>75</v>
      </c>
      <c r="B27" s="291">
        <f xml:space="preserve">
IF(B26=0,0,B25/B26)</f>
        <v>1.6040798195931902</v>
      </c>
      <c r="C27" s="606">
        <f xml:space="preserve">
IF(C26=0,0,C25/C26)</f>
        <v>3.4699084766604824</v>
      </c>
      <c r="D27" s="583"/>
      <c r="E27" s="579"/>
      <c r="F27" s="584">
        <f xml:space="preserve">
IF(F26=0,0,F25/F26)</f>
        <v>1.007423076923077</v>
      </c>
      <c r="G27" s="579"/>
      <c r="H27" s="579"/>
      <c r="I27" s="579"/>
      <c r="J27" s="579"/>
      <c r="K27" s="579"/>
      <c r="L27" s="601">
        <f xml:space="preserve">
IF(L26=0,0,L25/L26)</f>
        <v>0</v>
      </c>
      <c r="M27" s="603"/>
    </row>
    <row r="28" spans="1:13" ht="15" thickBot="1" x14ac:dyDescent="0.35">
      <c r="A28" s="250" t="s">
        <v>202</v>
      </c>
      <c r="B28" s="270">
        <f xml:space="preserve">
SUM(C28:L28)</f>
        <v>-6909.5271226424811</v>
      </c>
      <c r="C28" s="607">
        <f xml:space="preserve">
C26-C25</f>
        <v>-6845.1937893091472</v>
      </c>
      <c r="D28" s="585"/>
      <c r="E28" s="586"/>
      <c r="F28" s="587">
        <f xml:space="preserve">
F26-F25</f>
        <v>-64.33333333333394</v>
      </c>
      <c r="G28" s="586"/>
      <c r="H28" s="586"/>
      <c r="I28" s="586"/>
      <c r="J28" s="586"/>
      <c r="K28" s="586"/>
      <c r="L28" s="602">
        <f xml:space="preserve">
L26-L25</f>
        <v>0</v>
      </c>
      <c r="M28" s="603"/>
    </row>
    <row r="29" spans="1:13" x14ac:dyDescent="0.3">
      <c r="A29" s="251"/>
      <c r="B29" s="251"/>
      <c r="C29" s="252"/>
      <c r="D29" s="251"/>
      <c r="E29" s="252"/>
      <c r="F29" s="252"/>
      <c r="G29" s="252"/>
      <c r="H29" s="252"/>
      <c r="I29" s="252"/>
      <c r="J29" s="252"/>
    </row>
    <row r="30" spans="1:13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3" x14ac:dyDescent="0.3">
      <c r="A31" s="114" t="s">
        <v>200</v>
      </c>
      <c r="B31" s="130"/>
      <c r="C31" s="130"/>
      <c r="D31" s="130"/>
      <c r="E31" s="130"/>
      <c r="F31" s="130"/>
      <c r="G31" s="130"/>
      <c r="H31" s="130"/>
      <c r="I31" s="130"/>
      <c r="J31" s="130"/>
    </row>
    <row r="32" spans="1:13" ht="14.4" customHeight="1" x14ac:dyDescent="0.3">
      <c r="A32" s="287" t="s">
        <v>197</v>
      </c>
      <c r="B32" s="288"/>
      <c r="C32" s="288"/>
      <c r="D32" s="288"/>
      <c r="E32" s="288"/>
      <c r="F32" s="288"/>
      <c r="G32" s="288"/>
      <c r="H32" s="288"/>
      <c r="I32" s="288"/>
      <c r="J32" s="288"/>
    </row>
    <row r="33" spans="1:1" x14ac:dyDescent="0.3">
      <c r="A33" s="289" t="s">
        <v>232</v>
      </c>
    </row>
    <row r="34" spans="1:1" x14ac:dyDescent="0.3">
      <c r="A34" s="289" t="s">
        <v>233</v>
      </c>
    </row>
    <row r="35" spans="1:1" x14ac:dyDescent="0.3">
      <c r="A35" s="289" t="s">
        <v>234</v>
      </c>
    </row>
    <row r="36" spans="1:1" x14ac:dyDescent="0.3">
      <c r="A36" s="289" t="s">
        <v>207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L27">
    <cfRule type="cellIs" dxfId="4" priority="4" operator="greaterThan">
      <formula>1</formula>
    </cfRule>
  </conditionalFormatting>
  <conditionalFormatting sqref="L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256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3871.1654385856168</v>
      </c>
      <c r="D4" s="161">
        <f ca="1">IF(ISERROR(VLOOKUP("Náklady celkem",INDIRECT("HI!$A:$G"),5,0)),0,VLOOKUP("Náklady celkem",INDIRECT("HI!$A:$G"),5,0))</f>
        <v>4212.4560500000007</v>
      </c>
      <c r="E4" s="162">
        <f ca="1">IF(C4=0,0,D4/C4)</f>
        <v>1.0881622386924077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10.166669469165832</v>
      </c>
      <c r="D7" s="169">
        <f>IF(ISERROR(HI!E5),"",HI!E5)</f>
        <v>4.7589100000000002</v>
      </c>
      <c r="E7" s="166">
        <f t="shared" ref="E7:E15" si="0">IF(C7=0,0,D7/C7)</f>
        <v>0.46808937916523663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222</v>
      </c>
      <c r="C9" s="310">
        <v>0.3</v>
      </c>
      <c r="D9" s="310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1</v>
      </c>
      <c r="E11" s="166">
        <f t="shared" si="0"/>
        <v>1.6666666666666667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796.84715298870913</v>
      </c>
      <c r="D15" s="169">
        <f>IF(ISERROR(HI!E6),"",HI!E6)</f>
        <v>802.26493000000005</v>
      </c>
      <c r="E15" s="166">
        <f t="shared" si="0"/>
        <v>1.0067990165880252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2483.5006845908815</v>
      </c>
      <c r="D16" s="165">
        <f ca="1">IF(ISERROR(VLOOKUP("Osobní náklady (Kč) *",INDIRECT("HI!$A:$G"),5,0)),0,VLOOKUP("Osobní náklady (Kč) *",INDIRECT("HI!$A:$G"),5,0))</f>
        <v>2574.4253200000003</v>
      </c>
      <c r="E16" s="166">
        <f ca="1">IF(C16=0,0,D16/C16)</f>
        <v>1.0366114799054695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7910.8379999999997</v>
      </c>
      <c r="D18" s="184">
        <f ca="1">IF(ISERROR(VLOOKUP("Výnosy celkem",INDIRECT("HI!$A:$G"),5,0)),0,VLOOKUP("Výnosy celkem",INDIRECT("HI!$A:$G"),5,0))</f>
        <v>19647.787829999997</v>
      </c>
      <c r="E18" s="185">
        <f t="shared" ref="E18:E21" ca="1" si="1">IF(C18=0,0,D18/C18)</f>
        <v>2.4836544282666386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7910.8379999999997</v>
      </c>
      <c r="D19" s="165">
        <f ca="1">IF(ISERROR(VLOOKUP("Ambulance *",INDIRECT("HI!$A:$G"),5,0)),0,VLOOKUP("Ambulance *",INDIRECT("HI!$A:$G"),5,0))</f>
        <v>19647.787829999997</v>
      </c>
      <c r="E19" s="166">
        <f t="shared" ca="1" si="1"/>
        <v>2.4836544282666386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2.4836544282666386</v>
      </c>
      <c r="E20" s="166">
        <f t="shared" si="1"/>
        <v>2.4836544282666386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0.78344149797280838</v>
      </c>
      <c r="E21" s="166">
        <f t="shared" si="1"/>
        <v>0.92169587996800983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8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660</v>
      </c>
    </row>
    <row r="2" spans="1:49" x14ac:dyDescent="0.3">
      <c r="A2" s="234" t="s">
        <v>256</v>
      </c>
    </row>
    <row r="3" spans="1:49" x14ac:dyDescent="0.3">
      <c r="A3" s="230" t="s">
        <v>168</v>
      </c>
      <c r="B3" s="255">
        <v>2016</v>
      </c>
      <c r="D3" s="231">
        <f>MAX(D5:D1048576)</f>
        <v>2</v>
      </c>
      <c r="F3" s="231">
        <f>SUMIF($E5:$E1048576,"&lt;10",F5:F1048576)</f>
        <v>1908302.6</v>
      </c>
      <c r="G3" s="231">
        <f t="shared" ref="G3:AW3" si="0">SUMIF($E5:$E1048576,"&lt;10",G5:G1048576)</f>
        <v>25664</v>
      </c>
      <c r="H3" s="231">
        <f t="shared" si="0"/>
        <v>0</v>
      </c>
      <c r="I3" s="231">
        <f t="shared" si="0"/>
        <v>137023.70000000001</v>
      </c>
      <c r="J3" s="231">
        <f t="shared" si="0"/>
        <v>0</v>
      </c>
      <c r="K3" s="231">
        <f t="shared" si="0"/>
        <v>419298.6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0</v>
      </c>
      <c r="Q3" s="231">
        <f t="shared" si="0"/>
        <v>103660</v>
      </c>
      <c r="R3" s="231">
        <f t="shared" si="0"/>
        <v>77978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259657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771129.89999999991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32493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81398.399999999994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28</v>
      </c>
      <c r="D5" s="230">
        <v>1</v>
      </c>
      <c r="E5" s="230">
        <v>1</v>
      </c>
      <c r="F5" s="230">
        <v>25.2</v>
      </c>
      <c r="G5" s="230">
        <v>0</v>
      </c>
      <c r="H5" s="230">
        <v>0</v>
      </c>
      <c r="I5" s="230">
        <v>2.4</v>
      </c>
      <c r="J5" s="230">
        <v>0</v>
      </c>
      <c r="K5" s="230">
        <v>2.8</v>
      </c>
      <c r="L5" s="230">
        <v>0</v>
      </c>
      <c r="M5" s="230">
        <v>0</v>
      </c>
      <c r="N5" s="230">
        <v>0</v>
      </c>
      <c r="O5" s="230">
        <v>0</v>
      </c>
      <c r="P5" s="230">
        <v>0</v>
      </c>
      <c r="Q5" s="230">
        <v>1.5</v>
      </c>
      <c r="R5" s="230">
        <v>1</v>
      </c>
      <c r="S5" s="230">
        <v>0</v>
      </c>
      <c r="T5" s="230">
        <v>0</v>
      </c>
      <c r="U5" s="230">
        <v>0</v>
      </c>
      <c r="V5" s="230">
        <v>4.8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9.9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1</v>
      </c>
      <c r="AS5" s="230">
        <v>0</v>
      </c>
      <c r="AT5" s="230">
        <v>0</v>
      </c>
      <c r="AU5" s="230">
        <v>0</v>
      </c>
      <c r="AV5" s="230">
        <v>0</v>
      </c>
      <c r="AW5" s="230">
        <v>1.8</v>
      </c>
    </row>
    <row r="6" spans="1:49" x14ac:dyDescent="0.3">
      <c r="A6" s="230" t="s">
        <v>171</v>
      </c>
      <c r="B6" s="255">
        <v>3</v>
      </c>
      <c r="C6" s="230">
        <v>28</v>
      </c>
      <c r="D6" s="230">
        <v>1</v>
      </c>
      <c r="E6" s="230">
        <v>2</v>
      </c>
      <c r="F6" s="230">
        <v>3946.4</v>
      </c>
      <c r="G6" s="230">
        <v>0</v>
      </c>
      <c r="H6" s="230">
        <v>0</v>
      </c>
      <c r="I6" s="230">
        <v>358.4</v>
      </c>
      <c r="J6" s="230">
        <v>0</v>
      </c>
      <c r="K6" s="230">
        <v>464</v>
      </c>
      <c r="L6" s="230">
        <v>0</v>
      </c>
      <c r="M6" s="230">
        <v>0</v>
      </c>
      <c r="N6" s="230">
        <v>0</v>
      </c>
      <c r="O6" s="230">
        <v>0</v>
      </c>
      <c r="P6" s="230">
        <v>0</v>
      </c>
      <c r="Q6" s="230">
        <v>252</v>
      </c>
      <c r="R6" s="230">
        <v>168</v>
      </c>
      <c r="S6" s="230">
        <v>0</v>
      </c>
      <c r="T6" s="230">
        <v>0</v>
      </c>
      <c r="U6" s="230">
        <v>0</v>
      </c>
      <c r="V6" s="230">
        <v>742.4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1515.2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152</v>
      </c>
      <c r="AS6" s="230">
        <v>0</v>
      </c>
      <c r="AT6" s="230">
        <v>0</v>
      </c>
      <c r="AU6" s="230">
        <v>0</v>
      </c>
      <c r="AV6" s="230">
        <v>0</v>
      </c>
      <c r="AW6" s="230">
        <v>294.39999999999998</v>
      </c>
    </row>
    <row r="7" spans="1:49" x14ac:dyDescent="0.3">
      <c r="A7" s="230" t="s">
        <v>172</v>
      </c>
      <c r="B7" s="255">
        <v>4</v>
      </c>
      <c r="C7" s="230">
        <v>28</v>
      </c>
      <c r="D7" s="230">
        <v>1</v>
      </c>
      <c r="E7" s="230">
        <v>3</v>
      </c>
      <c r="F7" s="230">
        <v>87.7</v>
      </c>
      <c r="G7" s="230">
        <v>0</v>
      </c>
      <c r="H7" s="230">
        <v>0</v>
      </c>
      <c r="I7" s="230">
        <v>8.6999999999999993</v>
      </c>
      <c r="J7" s="230">
        <v>0</v>
      </c>
      <c r="K7" s="230">
        <v>52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27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0</v>
      </c>
    </row>
    <row r="8" spans="1:49" x14ac:dyDescent="0.3">
      <c r="A8" s="230" t="s">
        <v>173</v>
      </c>
      <c r="B8" s="255">
        <v>5</v>
      </c>
      <c r="C8" s="230">
        <v>28</v>
      </c>
      <c r="D8" s="230">
        <v>1</v>
      </c>
      <c r="E8" s="230">
        <v>5</v>
      </c>
      <c r="F8" s="230">
        <v>29</v>
      </c>
      <c r="G8" s="230">
        <v>29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28</v>
      </c>
      <c r="D9" s="230">
        <v>1</v>
      </c>
      <c r="E9" s="230">
        <v>6</v>
      </c>
      <c r="F9" s="230">
        <v>942063</v>
      </c>
      <c r="G9" s="230">
        <v>11600</v>
      </c>
      <c r="H9" s="230">
        <v>0</v>
      </c>
      <c r="I9" s="230">
        <v>68921</v>
      </c>
      <c r="J9" s="230">
        <v>0</v>
      </c>
      <c r="K9" s="230">
        <v>209437</v>
      </c>
      <c r="L9" s="230">
        <v>0</v>
      </c>
      <c r="M9" s="230">
        <v>0</v>
      </c>
      <c r="N9" s="230">
        <v>0</v>
      </c>
      <c r="O9" s="230">
        <v>0</v>
      </c>
      <c r="P9" s="230">
        <v>0</v>
      </c>
      <c r="Q9" s="230">
        <v>50477</v>
      </c>
      <c r="R9" s="230">
        <v>38820</v>
      </c>
      <c r="S9" s="230">
        <v>0</v>
      </c>
      <c r="T9" s="230">
        <v>0</v>
      </c>
      <c r="U9" s="230">
        <v>0</v>
      </c>
      <c r="V9" s="230">
        <v>129882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376429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16094</v>
      </c>
      <c r="AS9" s="230">
        <v>0</v>
      </c>
      <c r="AT9" s="230">
        <v>0</v>
      </c>
      <c r="AU9" s="230">
        <v>0</v>
      </c>
      <c r="AV9" s="230">
        <v>0</v>
      </c>
      <c r="AW9" s="230">
        <v>40403</v>
      </c>
    </row>
    <row r="10" spans="1:49" x14ac:dyDescent="0.3">
      <c r="A10" s="230" t="s">
        <v>175</v>
      </c>
      <c r="B10" s="255">
        <v>7</v>
      </c>
      <c r="C10" s="230">
        <v>28</v>
      </c>
      <c r="D10" s="230">
        <v>1</v>
      </c>
      <c r="E10" s="230">
        <v>10</v>
      </c>
      <c r="F10" s="230">
        <v>12818.630000000001</v>
      </c>
      <c r="G10" s="230">
        <v>0</v>
      </c>
      <c r="H10" s="230">
        <v>0</v>
      </c>
      <c r="I10" s="230">
        <v>0</v>
      </c>
      <c r="J10" s="230">
        <v>4087.63</v>
      </c>
      <c r="K10" s="230">
        <v>0</v>
      </c>
      <c r="L10" s="230">
        <v>0</v>
      </c>
      <c r="M10" s="230">
        <v>0</v>
      </c>
      <c r="N10" s="230">
        <v>0</v>
      </c>
      <c r="O10" s="230">
        <v>8731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0</v>
      </c>
    </row>
    <row r="11" spans="1:49" x14ac:dyDescent="0.3">
      <c r="A11" s="230" t="s">
        <v>176</v>
      </c>
      <c r="B11" s="255">
        <v>8</v>
      </c>
      <c r="C11" s="230">
        <v>28</v>
      </c>
      <c r="D11" s="230">
        <v>1</v>
      </c>
      <c r="E11" s="230">
        <v>11</v>
      </c>
      <c r="F11" s="230">
        <v>5719.05143867876</v>
      </c>
      <c r="G11" s="230">
        <v>0</v>
      </c>
      <c r="H11" s="230">
        <v>0</v>
      </c>
      <c r="I11" s="230">
        <v>0</v>
      </c>
      <c r="J11" s="230">
        <v>1385.7181053454269</v>
      </c>
      <c r="K11" s="230">
        <v>0</v>
      </c>
      <c r="L11" s="230">
        <v>0</v>
      </c>
      <c r="M11" s="230">
        <v>0</v>
      </c>
      <c r="N11" s="230">
        <v>0</v>
      </c>
      <c r="O11" s="230">
        <v>4333.333333333333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28</v>
      </c>
      <c r="D12" s="230">
        <v>2</v>
      </c>
      <c r="E12" s="230">
        <v>1</v>
      </c>
      <c r="F12" s="230">
        <v>27.1</v>
      </c>
      <c r="G12" s="230">
        <v>0</v>
      </c>
      <c r="H12" s="230">
        <v>0</v>
      </c>
      <c r="I12" s="230">
        <v>2.4</v>
      </c>
      <c r="J12" s="230">
        <v>0</v>
      </c>
      <c r="K12" s="230">
        <v>2.8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1.5</v>
      </c>
      <c r="R12" s="230">
        <v>1</v>
      </c>
      <c r="S12" s="230">
        <v>0</v>
      </c>
      <c r="T12" s="230">
        <v>0</v>
      </c>
      <c r="U12" s="230">
        <v>0</v>
      </c>
      <c r="V12" s="230">
        <v>5.8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10.8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1</v>
      </c>
      <c r="AS12" s="230">
        <v>0</v>
      </c>
      <c r="AT12" s="230">
        <v>0</v>
      </c>
      <c r="AU12" s="230">
        <v>0</v>
      </c>
      <c r="AV12" s="230">
        <v>0</v>
      </c>
      <c r="AW12" s="230">
        <v>1.8</v>
      </c>
    </row>
    <row r="13" spans="1:49" x14ac:dyDescent="0.3">
      <c r="A13" s="230" t="s">
        <v>178</v>
      </c>
      <c r="B13" s="255">
        <v>10</v>
      </c>
      <c r="C13" s="230">
        <v>28</v>
      </c>
      <c r="D13" s="230">
        <v>2</v>
      </c>
      <c r="E13" s="230">
        <v>2</v>
      </c>
      <c r="F13" s="230">
        <v>3883.2</v>
      </c>
      <c r="G13" s="230">
        <v>0</v>
      </c>
      <c r="H13" s="230">
        <v>0</v>
      </c>
      <c r="I13" s="230">
        <v>364.8</v>
      </c>
      <c r="J13" s="230">
        <v>0</v>
      </c>
      <c r="K13" s="230">
        <v>356</v>
      </c>
      <c r="L13" s="230">
        <v>0</v>
      </c>
      <c r="M13" s="230">
        <v>0</v>
      </c>
      <c r="N13" s="230">
        <v>0</v>
      </c>
      <c r="O13" s="230">
        <v>0</v>
      </c>
      <c r="P13" s="230">
        <v>0</v>
      </c>
      <c r="Q13" s="230">
        <v>208</v>
      </c>
      <c r="R13" s="230">
        <v>168</v>
      </c>
      <c r="S13" s="230">
        <v>0</v>
      </c>
      <c r="T13" s="230">
        <v>0</v>
      </c>
      <c r="U13" s="230">
        <v>0</v>
      </c>
      <c r="V13" s="230">
        <v>656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1684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152</v>
      </c>
      <c r="AS13" s="230">
        <v>0</v>
      </c>
      <c r="AT13" s="230">
        <v>0</v>
      </c>
      <c r="AU13" s="230">
        <v>0</v>
      </c>
      <c r="AV13" s="230">
        <v>0</v>
      </c>
      <c r="AW13" s="230">
        <v>294.39999999999998</v>
      </c>
    </row>
    <row r="14" spans="1:49" x14ac:dyDescent="0.3">
      <c r="A14" s="230" t="s">
        <v>179</v>
      </c>
      <c r="B14" s="255">
        <v>11</v>
      </c>
      <c r="C14" s="230">
        <v>28</v>
      </c>
      <c r="D14" s="230">
        <v>2</v>
      </c>
      <c r="E14" s="230">
        <v>3</v>
      </c>
      <c r="F14" s="230">
        <v>37</v>
      </c>
      <c r="G14" s="230">
        <v>0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30">
        <v>0</v>
      </c>
      <c r="N14" s="230">
        <v>0</v>
      </c>
      <c r="O14" s="230">
        <v>0</v>
      </c>
      <c r="P14" s="230">
        <v>0</v>
      </c>
      <c r="Q14" s="230">
        <v>37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0</v>
      </c>
    </row>
    <row r="15" spans="1:49" x14ac:dyDescent="0.3">
      <c r="A15" s="230" t="s">
        <v>180</v>
      </c>
      <c r="B15" s="255">
        <v>12</v>
      </c>
      <c r="C15" s="230">
        <v>28</v>
      </c>
      <c r="D15" s="230">
        <v>2</v>
      </c>
      <c r="E15" s="230">
        <v>5</v>
      </c>
      <c r="F15" s="230">
        <v>35</v>
      </c>
      <c r="G15" s="230">
        <v>35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28</v>
      </c>
      <c r="D16" s="230">
        <v>2</v>
      </c>
      <c r="E16" s="230">
        <v>6</v>
      </c>
      <c r="F16" s="230">
        <v>958169</v>
      </c>
      <c r="G16" s="230">
        <v>14000</v>
      </c>
      <c r="H16" s="230">
        <v>0</v>
      </c>
      <c r="I16" s="230">
        <v>67366</v>
      </c>
      <c r="J16" s="230">
        <v>0</v>
      </c>
      <c r="K16" s="230">
        <v>208984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52656</v>
      </c>
      <c r="R16" s="230">
        <v>38820</v>
      </c>
      <c r="S16" s="230">
        <v>0</v>
      </c>
      <c r="T16" s="230">
        <v>0</v>
      </c>
      <c r="U16" s="230">
        <v>0</v>
      </c>
      <c r="V16" s="230">
        <v>128366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391481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16093</v>
      </c>
      <c r="AS16" s="230">
        <v>0</v>
      </c>
      <c r="AT16" s="230">
        <v>0</v>
      </c>
      <c r="AU16" s="230">
        <v>0</v>
      </c>
      <c r="AV16" s="230">
        <v>0</v>
      </c>
      <c r="AW16" s="230">
        <v>40403</v>
      </c>
    </row>
    <row r="17" spans="3:49" x14ac:dyDescent="0.3">
      <c r="C17" s="230">
        <v>28</v>
      </c>
      <c r="D17" s="230">
        <v>2</v>
      </c>
      <c r="E17" s="230">
        <v>10</v>
      </c>
      <c r="F17" s="230">
        <v>5529</v>
      </c>
      <c r="G17" s="230">
        <v>0</v>
      </c>
      <c r="H17" s="230">
        <v>0</v>
      </c>
      <c r="I17" s="230">
        <v>0</v>
      </c>
      <c r="J17" s="230">
        <v>5529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28</v>
      </c>
      <c r="D18" s="230">
        <v>2</v>
      </c>
      <c r="E18" s="230">
        <v>11</v>
      </c>
      <c r="F18" s="230">
        <v>5719.05143867876</v>
      </c>
      <c r="G18" s="230">
        <v>0</v>
      </c>
      <c r="H18" s="230">
        <v>0</v>
      </c>
      <c r="I18" s="230">
        <v>0</v>
      </c>
      <c r="J18" s="230">
        <v>1385.7181053454269</v>
      </c>
      <c r="K18" s="230">
        <v>0</v>
      </c>
      <c r="L18" s="230">
        <v>0</v>
      </c>
      <c r="M18" s="230">
        <v>0</v>
      </c>
      <c r="N18" s="230">
        <v>0</v>
      </c>
      <c r="O18" s="230">
        <v>4333.333333333333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666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7910838</v>
      </c>
      <c r="C3" s="222">
        <f t="shared" ref="C3:R3" si="0">SUBTOTAL(9,C6:C1048576)</f>
        <v>6</v>
      </c>
      <c r="D3" s="222">
        <f>SUBTOTAL(9,D6:D1048576)/2</f>
        <v>7177722</v>
      </c>
      <c r="E3" s="222">
        <f t="shared" si="0"/>
        <v>3.0365985788134724</v>
      </c>
      <c r="F3" s="222">
        <f>SUBTOTAL(9,F6:F1048576)/2</f>
        <v>19647787.829999998</v>
      </c>
      <c r="G3" s="223">
        <f>IF(B3&lt;&gt;0,F3/B3,"")</f>
        <v>2.4836544282666386</v>
      </c>
      <c r="H3" s="224">
        <f t="shared" si="0"/>
        <v>6880.25</v>
      </c>
      <c r="I3" s="222">
        <f t="shared" si="0"/>
        <v>2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>
        <f>IF(H3&lt;&gt;0,L3/H3,"")</f>
        <v>0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227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8"/>
      <c r="B5" s="609">
        <v>2014</v>
      </c>
      <c r="C5" s="610"/>
      <c r="D5" s="610">
        <v>2015</v>
      </c>
      <c r="E5" s="610"/>
      <c r="F5" s="610">
        <v>2016</v>
      </c>
      <c r="G5" s="611" t="s">
        <v>2</v>
      </c>
      <c r="H5" s="609">
        <v>2014</v>
      </c>
      <c r="I5" s="610"/>
      <c r="J5" s="610">
        <v>2015</v>
      </c>
      <c r="K5" s="610"/>
      <c r="L5" s="610">
        <v>2016</v>
      </c>
      <c r="M5" s="611" t="s">
        <v>2</v>
      </c>
      <c r="N5" s="609">
        <v>2014</v>
      </c>
      <c r="O5" s="610"/>
      <c r="P5" s="610">
        <v>2015</v>
      </c>
      <c r="Q5" s="610"/>
      <c r="R5" s="610">
        <v>2016</v>
      </c>
      <c r="S5" s="611" t="s">
        <v>2</v>
      </c>
    </row>
    <row r="6" spans="1:19" ht="14.4" customHeight="1" x14ac:dyDescent="0.3">
      <c r="A6" s="615" t="s">
        <v>661</v>
      </c>
      <c r="B6" s="612"/>
      <c r="C6" s="537"/>
      <c r="D6" s="612"/>
      <c r="E6" s="537"/>
      <c r="F6" s="612">
        <v>74</v>
      </c>
      <c r="G6" s="542"/>
      <c r="H6" s="612"/>
      <c r="I6" s="537"/>
      <c r="J6" s="612"/>
      <c r="K6" s="537"/>
      <c r="L6" s="612"/>
      <c r="M6" s="542"/>
      <c r="N6" s="612"/>
      <c r="O6" s="537"/>
      <c r="P6" s="612"/>
      <c r="Q6" s="537"/>
      <c r="R6" s="612"/>
      <c r="S6" s="122"/>
    </row>
    <row r="7" spans="1:19" ht="14.4" customHeight="1" x14ac:dyDescent="0.3">
      <c r="A7" s="616" t="s">
        <v>662</v>
      </c>
      <c r="B7" s="613">
        <v>1390175</v>
      </c>
      <c r="C7" s="552">
        <v>1</v>
      </c>
      <c r="D7" s="613">
        <v>544709</v>
      </c>
      <c r="E7" s="552">
        <v>0.39182764759832395</v>
      </c>
      <c r="F7" s="613">
        <v>1075456.8299999987</v>
      </c>
      <c r="G7" s="557">
        <v>0.7736125523764984</v>
      </c>
      <c r="H7" s="613">
        <v>4128.1499999999996</v>
      </c>
      <c r="I7" s="552">
        <v>1</v>
      </c>
      <c r="J7" s="613"/>
      <c r="K7" s="552"/>
      <c r="L7" s="613"/>
      <c r="M7" s="557"/>
      <c r="N7" s="613"/>
      <c r="O7" s="552"/>
      <c r="P7" s="613"/>
      <c r="Q7" s="552"/>
      <c r="R7" s="613"/>
      <c r="S7" s="558"/>
    </row>
    <row r="8" spans="1:19" ht="14.4" customHeight="1" x14ac:dyDescent="0.3">
      <c r="A8" s="616" t="s">
        <v>663</v>
      </c>
      <c r="B8" s="613">
        <v>981</v>
      </c>
      <c r="C8" s="552">
        <v>1</v>
      </c>
      <c r="D8" s="613"/>
      <c r="E8" s="552"/>
      <c r="F8" s="613"/>
      <c r="G8" s="557"/>
      <c r="H8" s="613"/>
      <c r="I8" s="552"/>
      <c r="J8" s="613"/>
      <c r="K8" s="552"/>
      <c r="L8" s="613"/>
      <c r="M8" s="557"/>
      <c r="N8" s="613"/>
      <c r="O8" s="552"/>
      <c r="P8" s="613"/>
      <c r="Q8" s="552"/>
      <c r="R8" s="613"/>
      <c r="S8" s="558"/>
    </row>
    <row r="9" spans="1:19" ht="14.4" customHeight="1" x14ac:dyDescent="0.3">
      <c r="A9" s="616" t="s">
        <v>664</v>
      </c>
      <c r="B9" s="613">
        <v>1039340</v>
      </c>
      <c r="C9" s="552">
        <v>1</v>
      </c>
      <c r="D9" s="613"/>
      <c r="E9" s="552"/>
      <c r="F9" s="613"/>
      <c r="G9" s="557"/>
      <c r="H9" s="613">
        <v>2752.1</v>
      </c>
      <c r="I9" s="552">
        <v>1</v>
      </c>
      <c r="J9" s="613"/>
      <c r="K9" s="552"/>
      <c r="L9" s="613"/>
      <c r="M9" s="557"/>
      <c r="N9" s="613"/>
      <c r="O9" s="552"/>
      <c r="P9" s="613"/>
      <c r="Q9" s="552"/>
      <c r="R9" s="613"/>
      <c r="S9" s="558"/>
    </row>
    <row r="10" spans="1:19" ht="14.4" customHeight="1" thickBot="1" x14ac:dyDescent="0.35">
      <c r="A10" s="617" t="s">
        <v>665</v>
      </c>
      <c r="B10" s="614">
        <v>5480342</v>
      </c>
      <c r="C10" s="544">
        <v>1</v>
      </c>
      <c r="D10" s="614">
        <v>6633013</v>
      </c>
      <c r="E10" s="544">
        <v>1.2103282970296378</v>
      </c>
      <c r="F10" s="614">
        <v>18572257</v>
      </c>
      <c r="G10" s="549">
        <v>3.388886496499671</v>
      </c>
      <c r="H10" s="614"/>
      <c r="I10" s="544"/>
      <c r="J10" s="614"/>
      <c r="K10" s="544"/>
      <c r="L10" s="614"/>
      <c r="M10" s="549"/>
      <c r="N10" s="614"/>
      <c r="O10" s="544"/>
      <c r="P10" s="614"/>
      <c r="Q10" s="544"/>
      <c r="R10" s="614"/>
      <c r="S10" s="550"/>
    </row>
    <row r="11" spans="1:19" ht="14.4" customHeight="1" thickBot="1" x14ac:dyDescent="0.35"/>
    <row r="12" spans="1:19" ht="14.4" customHeight="1" x14ac:dyDescent="0.3">
      <c r="A12" s="615" t="s">
        <v>425</v>
      </c>
      <c r="B12" s="612">
        <v>2430496</v>
      </c>
      <c r="C12" s="537">
        <v>1</v>
      </c>
      <c r="D12" s="612">
        <v>544709</v>
      </c>
      <c r="E12" s="537">
        <v>0.2241143371558727</v>
      </c>
      <c r="F12" s="612">
        <v>1075604.8299999987</v>
      </c>
      <c r="G12" s="542">
        <v>0.44254540225534156</v>
      </c>
      <c r="H12" s="612"/>
      <c r="I12" s="537"/>
      <c r="J12" s="612"/>
      <c r="K12" s="537"/>
      <c r="L12" s="612"/>
      <c r="M12" s="542"/>
      <c r="N12" s="612"/>
      <c r="O12" s="537"/>
      <c r="P12" s="612"/>
      <c r="Q12" s="537"/>
      <c r="R12" s="612"/>
      <c r="S12" s="122"/>
    </row>
    <row r="13" spans="1:19" ht="14.4" customHeight="1" thickBot="1" x14ac:dyDescent="0.35">
      <c r="A13" s="617" t="s">
        <v>430</v>
      </c>
      <c r="B13" s="614">
        <v>5480342</v>
      </c>
      <c r="C13" s="544">
        <v>1</v>
      </c>
      <c r="D13" s="614">
        <v>6633013</v>
      </c>
      <c r="E13" s="544">
        <v>1.2103282970296378</v>
      </c>
      <c r="F13" s="614">
        <v>18572183</v>
      </c>
      <c r="G13" s="549">
        <v>3.3888729936927295</v>
      </c>
      <c r="H13" s="614"/>
      <c r="I13" s="544"/>
      <c r="J13" s="614"/>
      <c r="K13" s="544"/>
      <c r="L13" s="614"/>
      <c r="M13" s="549"/>
      <c r="N13" s="614"/>
      <c r="O13" s="544"/>
      <c r="P13" s="614"/>
      <c r="Q13" s="544"/>
      <c r="R13" s="614"/>
      <c r="S13" s="550"/>
    </row>
    <row r="14" spans="1:19" ht="14.4" customHeight="1" x14ac:dyDescent="0.3">
      <c r="A14" s="520" t="s">
        <v>470</v>
      </c>
    </row>
    <row r="15" spans="1:19" ht="14.4" customHeight="1" x14ac:dyDescent="0.3">
      <c r="A15" s="521" t="s">
        <v>471</v>
      </c>
    </row>
    <row r="16" spans="1:19" ht="14.4" customHeight="1" x14ac:dyDescent="0.3">
      <c r="A16" s="520" t="s">
        <v>667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673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256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8510</v>
      </c>
      <c r="C3" s="315">
        <f t="shared" si="0"/>
        <v>4154</v>
      </c>
      <c r="D3" s="315">
        <f t="shared" si="0"/>
        <v>11668</v>
      </c>
      <c r="E3" s="224">
        <f t="shared" si="0"/>
        <v>7910838</v>
      </c>
      <c r="F3" s="222">
        <f t="shared" si="0"/>
        <v>7177722</v>
      </c>
      <c r="G3" s="316">
        <f t="shared" si="0"/>
        <v>19647787.829999998</v>
      </c>
    </row>
    <row r="4" spans="1:7" ht="14.4" customHeight="1" x14ac:dyDescent="0.3">
      <c r="A4" s="398" t="s">
        <v>136</v>
      </c>
      <c r="B4" s="399" t="s">
        <v>224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08"/>
      <c r="B5" s="609">
        <v>2014</v>
      </c>
      <c r="C5" s="610">
        <v>2015</v>
      </c>
      <c r="D5" s="610">
        <v>2016</v>
      </c>
      <c r="E5" s="609">
        <v>2014</v>
      </c>
      <c r="F5" s="610">
        <v>2015</v>
      </c>
      <c r="G5" s="610">
        <v>2016</v>
      </c>
    </row>
    <row r="6" spans="1:7" ht="14.4" customHeight="1" x14ac:dyDescent="0.3">
      <c r="A6" s="615" t="s">
        <v>668</v>
      </c>
      <c r="B6" s="116">
        <v>8372</v>
      </c>
      <c r="C6" s="116">
        <v>4078</v>
      </c>
      <c r="D6" s="116">
        <v>11666</v>
      </c>
      <c r="E6" s="612">
        <v>7866842</v>
      </c>
      <c r="F6" s="612">
        <v>7152870</v>
      </c>
      <c r="G6" s="618">
        <v>19647639.829999998</v>
      </c>
    </row>
    <row r="7" spans="1:7" ht="14.4" customHeight="1" x14ac:dyDescent="0.3">
      <c r="A7" s="616" t="s">
        <v>669</v>
      </c>
      <c r="B7" s="571">
        <v>136</v>
      </c>
      <c r="C7" s="571">
        <v>1</v>
      </c>
      <c r="D7" s="571"/>
      <c r="E7" s="613">
        <v>43928</v>
      </c>
      <c r="F7" s="613">
        <v>327</v>
      </c>
      <c r="G7" s="619"/>
    </row>
    <row r="8" spans="1:7" ht="14.4" customHeight="1" x14ac:dyDescent="0.3">
      <c r="A8" s="616" t="s">
        <v>670</v>
      </c>
      <c r="B8" s="571">
        <v>2</v>
      </c>
      <c r="C8" s="571"/>
      <c r="D8" s="571"/>
      <c r="E8" s="613">
        <v>68</v>
      </c>
      <c r="F8" s="613"/>
      <c r="G8" s="619"/>
    </row>
    <row r="9" spans="1:7" ht="14.4" customHeight="1" x14ac:dyDescent="0.3">
      <c r="A9" s="616" t="s">
        <v>671</v>
      </c>
      <c r="B9" s="571"/>
      <c r="C9" s="571"/>
      <c r="D9" s="571">
        <v>2</v>
      </c>
      <c r="E9" s="613"/>
      <c r="F9" s="613"/>
      <c r="G9" s="619">
        <v>148</v>
      </c>
    </row>
    <row r="10" spans="1:7" ht="14.4" customHeight="1" thickBot="1" x14ac:dyDescent="0.35">
      <c r="A10" s="617" t="s">
        <v>672</v>
      </c>
      <c r="B10" s="563"/>
      <c r="C10" s="563">
        <v>75</v>
      </c>
      <c r="D10" s="563"/>
      <c r="E10" s="614"/>
      <c r="F10" s="614">
        <v>24525</v>
      </c>
      <c r="G10" s="620"/>
    </row>
    <row r="11" spans="1:7" ht="14.4" customHeight="1" x14ac:dyDescent="0.3">
      <c r="A11" s="520" t="s">
        <v>470</v>
      </c>
    </row>
    <row r="12" spans="1:7" ht="14.4" customHeight="1" x14ac:dyDescent="0.3">
      <c r="A12" s="521" t="s">
        <v>471</v>
      </c>
    </row>
    <row r="13" spans="1:7" ht="14.4" customHeight="1" x14ac:dyDescent="0.3">
      <c r="A13" s="520" t="s">
        <v>667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761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256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8515</v>
      </c>
      <c r="G3" s="103">
        <f t="shared" si="0"/>
        <v>7917718.25</v>
      </c>
      <c r="H3" s="74"/>
      <c r="I3" s="74"/>
      <c r="J3" s="103">
        <f t="shared" si="0"/>
        <v>4154</v>
      </c>
      <c r="K3" s="103">
        <f t="shared" si="0"/>
        <v>7177722</v>
      </c>
      <c r="L3" s="74"/>
      <c r="M3" s="74"/>
      <c r="N3" s="103">
        <f t="shared" si="0"/>
        <v>11668</v>
      </c>
      <c r="O3" s="103">
        <f t="shared" si="0"/>
        <v>19647787.829999998</v>
      </c>
      <c r="P3" s="75">
        <f>IF(G3=0,0,O3/G3)</f>
        <v>2.4814962100981552</v>
      </c>
      <c r="Q3" s="104">
        <f>IF(N3=0,0,O3/N3)</f>
        <v>1683.9036535824475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2014</v>
      </c>
      <c r="G4" s="410"/>
      <c r="H4" s="101"/>
      <c r="I4" s="101"/>
      <c r="J4" s="409">
        <v>2015</v>
      </c>
      <c r="K4" s="410"/>
      <c r="L4" s="101"/>
      <c r="M4" s="101"/>
      <c r="N4" s="409">
        <v>2016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1"/>
      <c r="B5" s="622"/>
      <c r="C5" s="623"/>
      <c r="D5" s="624"/>
      <c r="E5" s="625"/>
      <c r="F5" s="626" t="s">
        <v>72</v>
      </c>
      <c r="G5" s="627" t="s">
        <v>14</v>
      </c>
      <c r="H5" s="628"/>
      <c r="I5" s="628"/>
      <c r="J5" s="626" t="s">
        <v>72</v>
      </c>
      <c r="K5" s="627" t="s">
        <v>14</v>
      </c>
      <c r="L5" s="628"/>
      <c r="M5" s="628"/>
      <c r="N5" s="626" t="s">
        <v>72</v>
      </c>
      <c r="O5" s="627" t="s">
        <v>14</v>
      </c>
      <c r="P5" s="629"/>
      <c r="Q5" s="630"/>
    </row>
    <row r="6" spans="1:17" ht="14.4" customHeight="1" x14ac:dyDescent="0.3">
      <c r="A6" s="536" t="s">
        <v>674</v>
      </c>
      <c r="B6" s="537" t="s">
        <v>425</v>
      </c>
      <c r="C6" s="537" t="s">
        <v>675</v>
      </c>
      <c r="D6" s="537" t="s">
        <v>676</v>
      </c>
      <c r="E6" s="537" t="s">
        <v>677</v>
      </c>
      <c r="F6" s="116"/>
      <c r="G6" s="116"/>
      <c r="H6" s="537"/>
      <c r="I6" s="537"/>
      <c r="J6" s="116"/>
      <c r="K6" s="116"/>
      <c r="L6" s="537"/>
      <c r="M6" s="537"/>
      <c r="N6" s="116">
        <v>1</v>
      </c>
      <c r="O6" s="116">
        <v>74</v>
      </c>
      <c r="P6" s="542"/>
      <c r="Q6" s="562">
        <v>74</v>
      </c>
    </row>
    <row r="7" spans="1:17" ht="14.4" customHeight="1" x14ac:dyDescent="0.3">
      <c r="A7" s="551" t="s">
        <v>678</v>
      </c>
      <c r="B7" s="552" t="s">
        <v>425</v>
      </c>
      <c r="C7" s="552" t="s">
        <v>679</v>
      </c>
      <c r="D7" s="552" t="s">
        <v>680</v>
      </c>
      <c r="E7" s="552" t="s">
        <v>681</v>
      </c>
      <c r="F7" s="571">
        <v>3</v>
      </c>
      <c r="G7" s="571">
        <v>4128.1499999999996</v>
      </c>
      <c r="H7" s="552">
        <v>1</v>
      </c>
      <c r="I7" s="552">
        <v>1376.05</v>
      </c>
      <c r="J7" s="571"/>
      <c r="K7" s="571"/>
      <c r="L7" s="552"/>
      <c r="M7" s="552"/>
      <c r="N7" s="571"/>
      <c r="O7" s="571"/>
      <c r="P7" s="557"/>
      <c r="Q7" s="572"/>
    </row>
    <row r="8" spans="1:17" ht="14.4" customHeight="1" x14ac:dyDescent="0.3">
      <c r="A8" s="551" t="s">
        <v>678</v>
      </c>
      <c r="B8" s="552" t="s">
        <v>425</v>
      </c>
      <c r="C8" s="552" t="s">
        <v>675</v>
      </c>
      <c r="D8" s="552" t="s">
        <v>682</v>
      </c>
      <c r="E8" s="552" t="s">
        <v>683</v>
      </c>
      <c r="F8" s="571">
        <v>18</v>
      </c>
      <c r="G8" s="571">
        <v>1134</v>
      </c>
      <c r="H8" s="552">
        <v>1</v>
      </c>
      <c r="I8" s="552">
        <v>63</v>
      </c>
      <c r="J8" s="571">
        <v>5</v>
      </c>
      <c r="K8" s="571">
        <v>320</v>
      </c>
      <c r="L8" s="552">
        <v>0.2821869488536155</v>
      </c>
      <c r="M8" s="552">
        <v>64</v>
      </c>
      <c r="N8" s="571">
        <v>25</v>
      </c>
      <c r="O8" s="571">
        <v>1650</v>
      </c>
      <c r="P8" s="557">
        <v>1.4550264550264551</v>
      </c>
      <c r="Q8" s="572">
        <v>66</v>
      </c>
    </row>
    <row r="9" spans="1:17" ht="14.4" customHeight="1" x14ac:dyDescent="0.3">
      <c r="A9" s="551" t="s">
        <v>678</v>
      </c>
      <c r="B9" s="552" t="s">
        <v>425</v>
      </c>
      <c r="C9" s="552" t="s">
        <v>675</v>
      </c>
      <c r="D9" s="552" t="s">
        <v>684</v>
      </c>
      <c r="E9" s="552" t="s">
        <v>685</v>
      </c>
      <c r="F9" s="571">
        <v>1</v>
      </c>
      <c r="G9" s="571">
        <v>206</v>
      </c>
      <c r="H9" s="552">
        <v>1</v>
      </c>
      <c r="I9" s="552">
        <v>206</v>
      </c>
      <c r="J9" s="571"/>
      <c r="K9" s="571"/>
      <c r="L9" s="552"/>
      <c r="M9" s="552"/>
      <c r="N9" s="571"/>
      <c r="O9" s="571"/>
      <c r="P9" s="557"/>
      <c r="Q9" s="572"/>
    </row>
    <row r="10" spans="1:17" ht="14.4" customHeight="1" x14ac:dyDescent="0.3">
      <c r="A10" s="551" t="s">
        <v>678</v>
      </c>
      <c r="B10" s="552" t="s">
        <v>425</v>
      </c>
      <c r="C10" s="552" t="s">
        <v>675</v>
      </c>
      <c r="D10" s="552" t="s">
        <v>686</v>
      </c>
      <c r="E10" s="552" t="s">
        <v>687</v>
      </c>
      <c r="F10" s="571">
        <v>2</v>
      </c>
      <c r="G10" s="571">
        <v>68</v>
      </c>
      <c r="H10" s="552">
        <v>1</v>
      </c>
      <c r="I10" s="552">
        <v>34</v>
      </c>
      <c r="J10" s="571"/>
      <c r="K10" s="571"/>
      <c r="L10" s="552"/>
      <c r="M10" s="552"/>
      <c r="N10" s="571">
        <v>58</v>
      </c>
      <c r="O10" s="571">
        <v>2146</v>
      </c>
      <c r="P10" s="557">
        <v>31.558823529411764</v>
      </c>
      <c r="Q10" s="572">
        <v>37</v>
      </c>
    </row>
    <row r="11" spans="1:17" ht="14.4" customHeight="1" x14ac:dyDescent="0.3">
      <c r="A11" s="551" t="s">
        <v>678</v>
      </c>
      <c r="B11" s="552" t="s">
        <v>425</v>
      </c>
      <c r="C11" s="552" t="s">
        <v>675</v>
      </c>
      <c r="D11" s="552" t="s">
        <v>688</v>
      </c>
      <c r="E11" s="552" t="s">
        <v>689</v>
      </c>
      <c r="F11" s="571">
        <v>124</v>
      </c>
      <c r="G11" s="571">
        <v>286812</v>
      </c>
      <c r="H11" s="552">
        <v>1</v>
      </c>
      <c r="I11" s="552">
        <v>2313</v>
      </c>
      <c r="J11" s="571">
        <v>57</v>
      </c>
      <c r="K11" s="571">
        <v>133152</v>
      </c>
      <c r="L11" s="552">
        <v>0.46424835780929669</v>
      </c>
      <c r="M11" s="552">
        <v>2336</v>
      </c>
      <c r="N11" s="571">
        <v>149</v>
      </c>
      <c r="O11" s="571">
        <v>369222</v>
      </c>
      <c r="P11" s="557">
        <v>1.2873310740136397</v>
      </c>
      <c r="Q11" s="572">
        <v>2478</v>
      </c>
    </row>
    <row r="12" spans="1:17" ht="14.4" customHeight="1" x14ac:dyDescent="0.3">
      <c r="A12" s="551" t="s">
        <v>678</v>
      </c>
      <c r="B12" s="552" t="s">
        <v>425</v>
      </c>
      <c r="C12" s="552" t="s">
        <v>675</v>
      </c>
      <c r="D12" s="552" t="s">
        <v>690</v>
      </c>
      <c r="E12" s="552" t="s">
        <v>691</v>
      </c>
      <c r="F12" s="571">
        <v>528</v>
      </c>
      <c r="G12" s="571">
        <v>168432</v>
      </c>
      <c r="H12" s="552">
        <v>1</v>
      </c>
      <c r="I12" s="552">
        <v>319</v>
      </c>
      <c r="J12" s="571">
        <v>46</v>
      </c>
      <c r="K12" s="571">
        <v>14858</v>
      </c>
      <c r="L12" s="552">
        <v>8.8213641113327634E-2</v>
      </c>
      <c r="M12" s="552">
        <v>323</v>
      </c>
      <c r="N12" s="571">
        <v>2</v>
      </c>
      <c r="O12" s="571">
        <v>692</v>
      </c>
      <c r="P12" s="557">
        <v>4.1084829486083404E-3</v>
      </c>
      <c r="Q12" s="572">
        <v>346</v>
      </c>
    </row>
    <row r="13" spans="1:17" ht="14.4" customHeight="1" x14ac:dyDescent="0.3">
      <c r="A13" s="551" t="s">
        <v>678</v>
      </c>
      <c r="B13" s="552" t="s">
        <v>425</v>
      </c>
      <c r="C13" s="552" t="s">
        <v>675</v>
      </c>
      <c r="D13" s="552" t="s">
        <v>692</v>
      </c>
      <c r="E13" s="552" t="s">
        <v>693</v>
      </c>
      <c r="F13" s="571">
        <v>15</v>
      </c>
      <c r="G13" s="571">
        <v>0</v>
      </c>
      <c r="H13" s="552"/>
      <c r="I13" s="552">
        <v>0</v>
      </c>
      <c r="J13" s="571"/>
      <c r="K13" s="571"/>
      <c r="L13" s="552"/>
      <c r="M13" s="552"/>
      <c r="N13" s="571"/>
      <c r="O13" s="571"/>
      <c r="P13" s="557"/>
      <c r="Q13" s="572"/>
    </row>
    <row r="14" spans="1:17" ht="14.4" customHeight="1" x14ac:dyDescent="0.3">
      <c r="A14" s="551" t="s">
        <v>678</v>
      </c>
      <c r="B14" s="552" t="s">
        <v>425</v>
      </c>
      <c r="C14" s="552" t="s">
        <v>675</v>
      </c>
      <c r="D14" s="552" t="s">
        <v>694</v>
      </c>
      <c r="E14" s="552" t="s">
        <v>695</v>
      </c>
      <c r="F14" s="571">
        <v>1201</v>
      </c>
      <c r="G14" s="571">
        <v>387923</v>
      </c>
      <c r="H14" s="552">
        <v>1</v>
      </c>
      <c r="I14" s="552">
        <v>323</v>
      </c>
      <c r="J14" s="571">
        <v>301</v>
      </c>
      <c r="K14" s="571">
        <v>98427</v>
      </c>
      <c r="L14" s="552">
        <v>0.25372818832603378</v>
      </c>
      <c r="M14" s="552">
        <v>327</v>
      </c>
      <c r="N14" s="571">
        <v>300</v>
      </c>
      <c r="O14" s="571">
        <v>105000</v>
      </c>
      <c r="P14" s="557">
        <v>0.27067227259017895</v>
      </c>
      <c r="Q14" s="572">
        <v>350</v>
      </c>
    </row>
    <row r="15" spans="1:17" ht="14.4" customHeight="1" x14ac:dyDescent="0.3">
      <c r="A15" s="551" t="s">
        <v>678</v>
      </c>
      <c r="B15" s="552" t="s">
        <v>425</v>
      </c>
      <c r="C15" s="552" t="s">
        <v>675</v>
      </c>
      <c r="D15" s="552" t="s">
        <v>696</v>
      </c>
      <c r="E15" s="552" t="s">
        <v>697</v>
      </c>
      <c r="F15" s="571">
        <v>1266</v>
      </c>
      <c r="G15" s="571">
        <v>0</v>
      </c>
      <c r="H15" s="552"/>
      <c r="I15" s="552">
        <v>0</v>
      </c>
      <c r="J15" s="571">
        <v>475</v>
      </c>
      <c r="K15" s="571">
        <v>0</v>
      </c>
      <c r="L15" s="552"/>
      <c r="M15" s="552">
        <v>0</v>
      </c>
      <c r="N15" s="571">
        <v>672</v>
      </c>
      <c r="O15" s="571">
        <v>22399.830000000016</v>
      </c>
      <c r="P15" s="557"/>
      <c r="Q15" s="572">
        <v>33.333080357142883</v>
      </c>
    </row>
    <row r="16" spans="1:17" ht="14.4" customHeight="1" x14ac:dyDescent="0.3">
      <c r="A16" s="551" t="s">
        <v>678</v>
      </c>
      <c r="B16" s="552" t="s">
        <v>425</v>
      </c>
      <c r="C16" s="552" t="s">
        <v>675</v>
      </c>
      <c r="D16" s="552" t="s">
        <v>698</v>
      </c>
      <c r="E16" s="552" t="s">
        <v>699</v>
      </c>
      <c r="F16" s="571">
        <v>359</v>
      </c>
      <c r="G16" s="571">
        <v>515524</v>
      </c>
      <c r="H16" s="552">
        <v>1</v>
      </c>
      <c r="I16" s="552">
        <v>1436</v>
      </c>
      <c r="J16" s="571">
        <v>200</v>
      </c>
      <c r="K16" s="571">
        <v>289600</v>
      </c>
      <c r="L16" s="552">
        <v>0.56175852142674254</v>
      </c>
      <c r="M16" s="552">
        <v>1448</v>
      </c>
      <c r="N16" s="571">
        <v>368</v>
      </c>
      <c r="O16" s="571">
        <v>558992</v>
      </c>
      <c r="P16" s="557">
        <v>1.08431809188321</v>
      </c>
      <c r="Q16" s="572">
        <v>1519</v>
      </c>
    </row>
    <row r="17" spans="1:17" ht="14.4" customHeight="1" x14ac:dyDescent="0.3">
      <c r="A17" s="551" t="s">
        <v>678</v>
      </c>
      <c r="B17" s="552" t="s">
        <v>425</v>
      </c>
      <c r="C17" s="552" t="s">
        <v>675</v>
      </c>
      <c r="D17" s="552" t="s">
        <v>700</v>
      </c>
      <c r="E17" s="552" t="s">
        <v>701</v>
      </c>
      <c r="F17" s="571">
        <v>38</v>
      </c>
      <c r="G17" s="571">
        <v>4028</v>
      </c>
      <c r="H17" s="552">
        <v>1</v>
      </c>
      <c r="I17" s="552">
        <v>106</v>
      </c>
      <c r="J17" s="571">
        <v>37</v>
      </c>
      <c r="K17" s="571">
        <v>3996</v>
      </c>
      <c r="L17" s="552">
        <v>0.99205561072492554</v>
      </c>
      <c r="M17" s="552">
        <v>108</v>
      </c>
      <c r="N17" s="571">
        <v>74</v>
      </c>
      <c r="O17" s="571">
        <v>8584</v>
      </c>
      <c r="P17" s="557">
        <v>2.1310824230387291</v>
      </c>
      <c r="Q17" s="572">
        <v>116</v>
      </c>
    </row>
    <row r="18" spans="1:17" ht="14.4" customHeight="1" x14ac:dyDescent="0.3">
      <c r="A18" s="551" t="s">
        <v>678</v>
      </c>
      <c r="B18" s="552" t="s">
        <v>425</v>
      </c>
      <c r="C18" s="552" t="s">
        <v>675</v>
      </c>
      <c r="D18" s="552" t="s">
        <v>702</v>
      </c>
      <c r="E18" s="552" t="s">
        <v>703</v>
      </c>
      <c r="F18" s="571">
        <v>718</v>
      </c>
      <c r="G18" s="571">
        <v>25130</v>
      </c>
      <c r="H18" s="552">
        <v>1</v>
      </c>
      <c r="I18" s="552">
        <v>35</v>
      </c>
      <c r="J18" s="571">
        <v>121</v>
      </c>
      <c r="K18" s="571">
        <v>4356</v>
      </c>
      <c r="L18" s="552">
        <v>0.17333863907680064</v>
      </c>
      <c r="M18" s="552">
        <v>36</v>
      </c>
      <c r="N18" s="571">
        <v>183</v>
      </c>
      <c r="O18" s="571">
        <v>6771</v>
      </c>
      <c r="P18" s="557">
        <v>0.26943891762833266</v>
      </c>
      <c r="Q18" s="572">
        <v>37</v>
      </c>
    </row>
    <row r="19" spans="1:17" ht="14.4" customHeight="1" x14ac:dyDescent="0.3">
      <c r="A19" s="551" t="s">
        <v>678</v>
      </c>
      <c r="B19" s="552" t="s">
        <v>425</v>
      </c>
      <c r="C19" s="552" t="s">
        <v>675</v>
      </c>
      <c r="D19" s="552" t="s">
        <v>704</v>
      </c>
      <c r="E19" s="552" t="s">
        <v>705</v>
      </c>
      <c r="F19" s="571">
        <v>9</v>
      </c>
      <c r="G19" s="571">
        <v>729</v>
      </c>
      <c r="H19" s="552">
        <v>1</v>
      </c>
      <c r="I19" s="552">
        <v>81</v>
      </c>
      <c r="J19" s="571"/>
      <c r="K19" s="571"/>
      <c r="L19" s="552"/>
      <c r="M19" s="552"/>
      <c r="N19" s="571"/>
      <c r="O19" s="571"/>
      <c r="P19" s="557"/>
      <c r="Q19" s="572"/>
    </row>
    <row r="20" spans="1:17" ht="14.4" customHeight="1" x14ac:dyDescent="0.3">
      <c r="A20" s="551" t="s">
        <v>678</v>
      </c>
      <c r="B20" s="552" t="s">
        <v>425</v>
      </c>
      <c r="C20" s="552" t="s">
        <v>675</v>
      </c>
      <c r="D20" s="552" t="s">
        <v>706</v>
      </c>
      <c r="E20" s="552" t="s">
        <v>707</v>
      </c>
      <c r="F20" s="571">
        <v>4</v>
      </c>
      <c r="G20" s="571">
        <v>120</v>
      </c>
      <c r="H20" s="552">
        <v>1</v>
      </c>
      <c r="I20" s="552">
        <v>30</v>
      </c>
      <c r="J20" s="571"/>
      <c r="K20" s="571"/>
      <c r="L20" s="552"/>
      <c r="M20" s="552"/>
      <c r="N20" s="571"/>
      <c r="O20" s="571"/>
      <c r="P20" s="557"/>
      <c r="Q20" s="572"/>
    </row>
    <row r="21" spans="1:17" ht="14.4" customHeight="1" x14ac:dyDescent="0.3">
      <c r="A21" s="551" t="s">
        <v>678</v>
      </c>
      <c r="B21" s="552" t="s">
        <v>425</v>
      </c>
      <c r="C21" s="552" t="s">
        <v>675</v>
      </c>
      <c r="D21" s="552" t="s">
        <v>676</v>
      </c>
      <c r="E21" s="552" t="s">
        <v>677</v>
      </c>
      <c r="F21" s="571">
        <v>1</v>
      </c>
      <c r="G21" s="571">
        <v>69</v>
      </c>
      <c r="H21" s="552">
        <v>1</v>
      </c>
      <c r="I21" s="552">
        <v>69</v>
      </c>
      <c r="J21" s="571"/>
      <c r="K21" s="571"/>
      <c r="L21" s="552"/>
      <c r="M21" s="552"/>
      <c r="N21" s="571"/>
      <c r="O21" s="571"/>
      <c r="P21" s="557"/>
      <c r="Q21" s="572"/>
    </row>
    <row r="22" spans="1:17" ht="14.4" customHeight="1" x14ac:dyDescent="0.3">
      <c r="A22" s="551" t="s">
        <v>708</v>
      </c>
      <c r="B22" s="552" t="s">
        <v>425</v>
      </c>
      <c r="C22" s="552" t="s">
        <v>675</v>
      </c>
      <c r="D22" s="552" t="s">
        <v>709</v>
      </c>
      <c r="E22" s="552" t="s">
        <v>710</v>
      </c>
      <c r="F22" s="571">
        <v>3</v>
      </c>
      <c r="G22" s="571">
        <v>981</v>
      </c>
      <c r="H22" s="552">
        <v>1</v>
      </c>
      <c r="I22" s="552">
        <v>327</v>
      </c>
      <c r="J22" s="571"/>
      <c r="K22" s="571"/>
      <c r="L22" s="552"/>
      <c r="M22" s="552"/>
      <c r="N22" s="571"/>
      <c r="O22" s="571"/>
      <c r="P22" s="557"/>
      <c r="Q22" s="572"/>
    </row>
    <row r="23" spans="1:17" ht="14.4" customHeight="1" x14ac:dyDescent="0.3">
      <c r="A23" s="551" t="s">
        <v>711</v>
      </c>
      <c r="B23" s="552" t="s">
        <v>425</v>
      </c>
      <c r="C23" s="552" t="s">
        <v>679</v>
      </c>
      <c r="D23" s="552" t="s">
        <v>680</v>
      </c>
      <c r="E23" s="552" t="s">
        <v>681</v>
      </c>
      <c r="F23" s="571">
        <v>2</v>
      </c>
      <c r="G23" s="571">
        <v>2752.1</v>
      </c>
      <c r="H23" s="552">
        <v>1</v>
      </c>
      <c r="I23" s="552">
        <v>1376.05</v>
      </c>
      <c r="J23" s="571"/>
      <c r="K23" s="571"/>
      <c r="L23" s="552"/>
      <c r="M23" s="552"/>
      <c r="N23" s="571"/>
      <c r="O23" s="571"/>
      <c r="P23" s="557"/>
      <c r="Q23" s="572"/>
    </row>
    <row r="24" spans="1:17" ht="14.4" customHeight="1" x14ac:dyDescent="0.3">
      <c r="A24" s="551" t="s">
        <v>711</v>
      </c>
      <c r="B24" s="552" t="s">
        <v>425</v>
      </c>
      <c r="C24" s="552" t="s">
        <v>675</v>
      </c>
      <c r="D24" s="552" t="s">
        <v>712</v>
      </c>
      <c r="E24" s="552" t="s">
        <v>713</v>
      </c>
      <c r="F24" s="571">
        <v>421</v>
      </c>
      <c r="G24" s="571">
        <v>184398</v>
      </c>
      <c r="H24" s="552">
        <v>1</v>
      </c>
      <c r="I24" s="552">
        <v>438</v>
      </c>
      <c r="J24" s="571"/>
      <c r="K24" s="571"/>
      <c r="L24" s="552"/>
      <c r="M24" s="552"/>
      <c r="N24" s="571"/>
      <c r="O24" s="571"/>
      <c r="P24" s="557"/>
      <c r="Q24" s="572"/>
    </row>
    <row r="25" spans="1:17" ht="14.4" customHeight="1" x14ac:dyDescent="0.3">
      <c r="A25" s="551" t="s">
        <v>711</v>
      </c>
      <c r="B25" s="552" t="s">
        <v>425</v>
      </c>
      <c r="C25" s="552" t="s">
        <v>675</v>
      </c>
      <c r="D25" s="552" t="s">
        <v>714</v>
      </c>
      <c r="E25" s="552" t="s">
        <v>715</v>
      </c>
      <c r="F25" s="571">
        <v>10</v>
      </c>
      <c r="G25" s="571">
        <v>10180</v>
      </c>
      <c r="H25" s="552">
        <v>1</v>
      </c>
      <c r="I25" s="552">
        <v>1018</v>
      </c>
      <c r="J25" s="571"/>
      <c r="K25" s="571"/>
      <c r="L25" s="552"/>
      <c r="M25" s="552"/>
      <c r="N25" s="571"/>
      <c r="O25" s="571"/>
      <c r="P25" s="557"/>
      <c r="Q25" s="572"/>
    </row>
    <row r="26" spans="1:17" ht="14.4" customHeight="1" x14ac:dyDescent="0.3">
      <c r="A26" s="551" t="s">
        <v>711</v>
      </c>
      <c r="B26" s="552" t="s">
        <v>425</v>
      </c>
      <c r="C26" s="552" t="s">
        <v>675</v>
      </c>
      <c r="D26" s="552" t="s">
        <v>716</v>
      </c>
      <c r="E26" s="552" t="s">
        <v>717</v>
      </c>
      <c r="F26" s="571">
        <v>2</v>
      </c>
      <c r="G26" s="571">
        <v>1276</v>
      </c>
      <c r="H26" s="552">
        <v>1</v>
      </c>
      <c r="I26" s="552">
        <v>638</v>
      </c>
      <c r="J26" s="571"/>
      <c r="K26" s="571"/>
      <c r="L26" s="552"/>
      <c r="M26" s="552"/>
      <c r="N26" s="571"/>
      <c r="O26" s="571"/>
      <c r="P26" s="557"/>
      <c r="Q26" s="572"/>
    </row>
    <row r="27" spans="1:17" ht="14.4" customHeight="1" x14ac:dyDescent="0.3">
      <c r="A27" s="551" t="s">
        <v>711</v>
      </c>
      <c r="B27" s="552" t="s">
        <v>425</v>
      </c>
      <c r="C27" s="552" t="s">
        <v>675</v>
      </c>
      <c r="D27" s="552" t="s">
        <v>718</v>
      </c>
      <c r="E27" s="552" t="s">
        <v>719</v>
      </c>
      <c r="F27" s="571">
        <v>12</v>
      </c>
      <c r="G27" s="571">
        <v>3660</v>
      </c>
      <c r="H27" s="552">
        <v>1</v>
      </c>
      <c r="I27" s="552">
        <v>305</v>
      </c>
      <c r="J27" s="571"/>
      <c r="K27" s="571"/>
      <c r="L27" s="552"/>
      <c r="M27" s="552"/>
      <c r="N27" s="571"/>
      <c r="O27" s="571"/>
      <c r="P27" s="557"/>
      <c r="Q27" s="572"/>
    </row>
    <row r="28" spans="1:17" ht="14.4" customHeight="1" x14ac:dyDescent="0.3">
      <c r="A28" s="551" t="s">
        <v>711</v>
      </c>
      <c r="B28" s="552" t="s">
        <v>425</v>
      </c>
      <c r="C28" s="552" t="s">
        <v>675</v>
      </c>
      <c r="D28" s="552" t="s">
        <v>720</v>
      </c>
      <c r="E28" s="552" t="s">
        <v>721</v>
      </c>
      <c r="F28" s="571">
        <v>1</v>
      </c>
      <c r="G28" s="571">
        <v>831</v>
      </c>
      <c r="H28" s="552">
        <v>1</v>
      </c>
      <c r="I28" s="552">
        <v>831</v>
      </c>
      <c r="J28" s="571"/>
      <c r="K28" s="571"/>
      <c r="L28" s="552"/>
      <c r="M28" s="552"/>
      <c r="N28" s="571"/>
      <c r="O28" s="571"/>
      <c r="P28" s="557"/>
      <c r="Q28" s="572"/>
    </row>
    <row r="29" spans="1:17" ht="14.4" customHeight="1" x14ac:dyDescent="0.3">
      <c r="A29" s="551" t="s">
        <v>711</v>
      </c>
      <c r="B29" s="552" t="s">
        <v>425</v>
      </c>
      <c r="C29" s="552" t="s">
        <v>675</v>
      </c>
      <c r="D29" s="552" t="s">
        <v>722</v>
      </c>
      <c r="E29" s="552" t="s">
        <v>723</v>
      </c>
      <c r="F29" s="571">
        <v>1115</v>
      </c>
      <c r="G29" s="571">
        <v>715830</v>
      </c>
      <c r="H29" s="552">
        <v>1</v>
      </c>
      <c r="I29" s="552">
        <v>642</v>
      </c>
      <c r="J29" s="571"/>
      <c r="K29" s="571"/>
      <c r="L29" s="552"/>
      <c r="M29" s="552"/>
      <c r="N29" s="571"/>
      <c r="O29" s="571"/>
      <c r="P29" s="557"/>
      <c r="Q29" s="572"/>
    </row>
    <row r="30" spans="1:17" ht="14.4" customHeight="1" x14ac:dyDescent="0.3">
      <c r="A30" s="551" t="s">
        <v>711</v>
      </c>
      <c r="B30" s="552" t="s">
        <v>425</v>
      </c>
      <c r="C30" s="552" t="s">
        <v>675</v>
      </c>
      <c r="D30" s="552" t="s">
        <v>724</v>
      </c>
      <c r="E30" s="552" t="s">
        <v>725</v>
      </c>
      <c r="F30" s="571">
        <v>117</v>
      </c>
      <c r="G30" s="571">
        <v>34281</v>
      </c>
      <c r="H30" s="552">
        <v>1</v>
      </c>
      <c r="I30" s="552">
        <v>293</v>
      </c>
      <c r="J30" s="571"/>
      <c r="K30" s="571"/>
      <c r="L30" s="552"/>
      <c r="M30" s="552"/>
      <c r="N30" s="571"/>
      <c r="O30" s="571"/>
      <c r="P30" s="557"/>
      <c r="Q30" s="572"/>
    </row>
    <row r="31" spans="1:17" ht="14.4" customHeight="1" x14ac:dyDescent="0.3">
      <c r="A31" s="551" t="s">
        <v>711</v>
      </c>
      <c r="B31" s="552" t="s">
        <v>425</v>
      </c>
      <c r="C31" s="552" t="s">
        <v>675</v>
      </c>
      <c r="D31" s="552" t="s">
        <v>726</v>
      </c>
      <c r="E31" s="552" t="s">
        <v>727</v>
      </c>
      <c r="F31" s="571">
        <v>18</v>
      </c>
      <c r="G31" s="571">
        <v>10548</v>
      </c>
      <c r="H31" s="552">
        <v>1</v>
      </c>
      <c r="I31" s="552">
        <v>586</v>
      </c>
      <c r="J31" s="571"/>
      <c r="K31" s="571"/>
      <c r="L31" s="552"/>
      <c r="M31" s="552"/>
      <c r="N31" s="571"/>
      <c r="O31" s="571"/>
      <c r="P31" s="557"/>
      <c r="Q31" s="572"/>
    </row>
    <row r="32" spans="1:17" ht="14.4" customHeight="1" x14ac:dyDescent="0.3">
      <c r="A32" s="551" t="s">
        <v>711</v>
      </c>
      <c r="B32" s="552" t="s">
        <v>425</v>
      </c>
      <c r="C32" s="552" t="s">
        <v>675</v>
      </c>
      <c r="D32" s="552" t="s">
        <v>728</v>
      </c>
      <c r="E32" s="552" t="s">
        <v>729</v>
      </c>
      <c r="F32" s="571">
        <v>96</v>
      </c>
      <c r="G32" s="571">
        <v>78336</v>
      </c>
      <c r="H32" s="552">
        <v>1</v>
      </c>
      <c r="I32" s="552">
        <v>816</v>
      </c>
      <c r="J32" s="571"/>
      <c r="K32" s="571"/>
      <c r="L32" s="552"/>
      <c r="M32" s="552"/>
      <c r="N32" s="571"/>
      <c r="O32" s="571"/>
      <c r="P32" s="557"/>
      <c r="Q32" s="572"/>
    </row>
    <row r="33" spans="1:17" ht="14.4" customHeight="1" x14ac:dyDescent="0.3">
      <c r="A33" s="551" t="s">
        <v>730</v>
      </c>
      <c r="B33" s="552" t="s">
        <v>425</v>
      </c>
      <c r="C33" s="552" t="s">
        <v>675</v>
      </c>
      <c r="D33" s="552" t="s">
        <v>676</v>
      </c>
      <c r="E33" s="552" t="s">
        <v>677</v>
      </c>
      <c r="F33" s="571"/>
      <c r="G33" s="571"/>
      <c r="H33" s="552"/>
      <c r="I33" s="552"/>
      <c r="J33" s="571"/>
      <c r="K33" s="571"/>
      <c r="L33" s="552"/>
      <c r="M33" s="552"/>
      <c r="N33" s="571">
        <v>1</v>
      </c>
      <c r="O33" s="571">
        <v>74</v>
      </c>
      <c r="P33" s="557"/>
      <c r="Q33" s="572">
        <v>74</v>
      </c>
    </row>
    <row r="34" spans="1:17" ht="14.4" customHeight="1" x14ac:dyDescent="0.3">
      <c r="A34" s="551" t="s">
        <v>730</v>
      </c>
      <c r="B34" s="552" t="s">
        <v>430</v>
      </c>
      <c r="C34" s="552" t="s">
        <v>675</v>
      </c>
      <c r="D34" s="552" t="s">
        <v>731</v>
      </c>
      <c r="E34" s="552" t="s">
        <v>732</v>
      </c>
      <c r="F34" s="571">
        <v>10</v>
      </c>
      <c r="G34" s="571">
        <v>106110</v>
      </c>
      <c r="H34" s="552">
        <v>1</v>
      </c>
      <c r="I34" s="552">
        <v>10611</v>
      </c>
      <c r="J34" s="571">
        <v>15</v>
      </c>
      <c r="K34" s="571">
        <v>160725</v>
      </c>
      <c r="L34" s="552">
        <v>1.5147017246253887</v>
      </c>
      <c r="M34" s="552">
        <v>10715</v>
      </c>
      <c r="N34" s="571">
        <v>11</v>
      </c>
      <c r="O34" s="571">
        <v>122826</v>
      </c>
      <c r="P34" s="557">
        <v>1.1575346338705117</v>
      </c>
      <c r="Q34" s="572">
        <v>11166</v>
      </c>
    </row>
    <row r="35" spans="1:17" ht="14.4" customHeight="1" x14ac:dyDescent="0.3">
      <c r="A35" s="551" t="s">
        <v>730</v>
      </c>
      <c r="B35" s="552" t="s">
        <v>430</v>
      </c>
      <c r="C35" s="552" t="s">
        <v>675</v>
      </c>
      <c r="D35" s="552" t="s">
        <v>733</v>
      </c>
      <c r="E35" s="552" t="s">
        <v>734</v>
      </c>
      <c r="F35" s="571">
        <v>105</v>
      </c>
      <c r="G35" s="571">
        <v>31185</v>
      </c>
      <c r="H35" s="552">
        <v>1</v>
      </c>
      <c r="I35" s="552">
        <v>297</v>
      </c>
      <c r="J35" s="571">
        <v>97</v>
      </c>
      <c r="K35" s="571">
        <v>29391</v>
      </c>
      <c r="L35" s="552">
        <v>0.94247234247234246</v>
      </c>
      <c r="M35" s="552">
        <v>303</v>
      </c>
      <c r="N35" s="571">
        <v>112</v>
      </c>
      <c r="O35" s="571">
        <v>35168</v>
      </c>
      <c r="P35" s="557">
        <v>1.1277216610549945</v>
      </c>
      <c r="Q35" s="572">
        <v>314</v>
      </c>
    </row>
    <row r="36" spans="1:17" ht="14.4" customHeight="1" x14ac:dyDescent="0.3">
      <c r="A36" s="551" t="s">
        <v>730</v>
      </c>
      <c r="B36" s="552" t="s">
        <v>430</v>
      </c>
      <c r="C36" s="552" t="s">
        <v>675</v>
      </c>
      <c r="D36" s="552" t="s">
        <v>735</v>
      </c>
      <c r="E36" s="552" t="s">
        <v>736</v>
      </c>
      <c r="F36" s="571">
        <v>250</v>
      </c>
      <c r="G36" s="571">
        <v>311250</v>
      </c>
      <c r="H36" s="552">
        <v>1</v>
      </c>
      <c r="I36" s="552">
        <v>1245</v>
      </c>
      <c r="J36" s="571">
        <v>239</v>
      </c>
      <c r="K36" s="571">
        <v>303052</v>
      </c>
      <c r="L36" s="552">
        <v>0.97366104417670685</v>
      </c>
      <c r="M36" s="552">
        <v>1268</v>
      </c>
      <c r="N36" s="571">
        <v>298</v>
      </c>
      <c r="O36" s="571">
        <v>382334</v>
      </c>
      <c r="P36" s="557">
        <v>1.2283823293172691</v>
      </c>
      <c r="Q36" s="572">
        <v>1283</v>
      </c>
    </row>
    <row r="37" spans="1:17" ht="14.4" customHeight="1" x14ac:dyDescent="0.3">
      <c r="A37" s="551" t="s">
        <v>730</v>
      </c>
      <c r="B37" s="552" t="s">
        <v>430</v>
      </c>
      <c r="C37" s="552" t="s">
        <v>675</v>
      </c>
      <c r="D37" s="552" t="s">
        <v>737</v>
      </c>
      <c r="E37" s="552" t="s">
        <v>738</v>
      </c>
      <c r="F37" s="571">
        <v>5</v>
      </c>
      <c r="G37" s="571">
        <v>46685</v>
      </c>
      <c r="H37" s="552">
        <v>1</v>
      </c>
      <c r="I37" s="552">
        <v>9337</v>
      </c>
      <c r="J37" s="571">
        <v>3</v>
      </c>
      <c r="K37" s="571">
        <v>28338</v>
      </c>
      <c r="L37" s="552">
        <v>0.60700439113205529</v>
      </c>
      <c r="M37" s="552">
        <v>9446</v>
      </c>
      <c r="N37" s="571">
        <v>19</v>
      </c>
      <c r="O37" s="571">
        <v>185307</v>
      </c>
      <c r="P37" s="557">
        <v>3.9693049159258864</v>
      </c>
      <c r="Q37" s="572">
        <v>9753</v>
      </c>
    </row>
    <row r="38" spans="1:17" ht="14.4" customHeight="1" x14ac:dyDescent="0.3">
      <c r="A38" s="551" t="s">
        <v>730</v>
      </c>
      <c r="B38" s="552" t="s">
        <v>430</v>
      </c>
      <c r="C38" s="552" t="s">
        <v>675</v>
      </c>
      <c r="D38" s="552" t="s">
        <v>739</v>
      </c>
      <c r="E38" s="552" t="s">
        <v>740</v>
      </c>
      <c r="F38" s="571"/>
      <c r="G38" s="571"/>
      <c r="H38" s="552"/>
      <c r="I38" s="552"/>
      <c r="J38" s="571"/>
      <c r="K38" s="571"/>
      <c r="L38" s="552"/>
      <c r="M38" s="552"/>
      <c r="N38" s="571">
        <v>2145</v>
      </c>
      <c r="O38" s="571">
        <v>933075</v>
      </c>
      <c r="P38" s="557"/>
      <c r="Q38" s="572">
        <v>435</v>
      </c>
    </row>
    <row r="39" spans="1:17" ht="14.4" customHeight="1" x14ac:dyDescent="0.3">
      <c r="A39" s="551" t="s">
        <v>730</v>
      </c>
      <c r="B39" s="552" t="s">
        <v>430</v>
      </c>
      <c r="C39" s="552" t="s">
        <v>675</v>
      </c>
      <c r="D39" s="552" t="s">
        <v>741</v>
      </c>
      <c r="E39" s="552" t="s">
        <v>742</v>
      </c>
      <c r="F39" s="571"/>
      <c r="G39" s="571"/>
      <c r="H39" s="552"/>
      <c r="I39" s="552"/>
      <c r="J39" s="571">
        <v>2</v>
      </c>
      <c r="K39" s="571">
        <v>2016</v>
      </c>
      <c r="L39" s="552"/>
      <c r="M39" s="552">
        <v>1008</v>
      </c>
      <c r="N39" s="571">
        <v>119</v>
      </c>
      <c r="O39" s="571">
        <v>120309</v>
      </c>
      <c r="P39" s="557"/>
      <c r="Q39" s="572">
        <v>1011</v>
      </c>
    </row>
    <row r="40" spans="1:17" ht="14.4" customHeight="1" x14ac:dyDescent="0.3">
      <c r="A40" s="551" t="s">
        <v>730</v>
      </c>
      <c r="B40" s="552" t="s">
        <v>430</v>
      </c>
      <c r="C40" s="552" t="s">
        <v>675</v>
      </c>
      <c r="D40" s="552" t="s">
        <v>743</v>
      </c>
      <c r="E40" s="552" t="s">
        <v>744</v>
      </c>
      <c r="F40" s="571">
        <v>1922</v>
      </c>
      <c r="G40" s="571">
        <v>4291826</v>
      </c>
      <c r="H40" s="552">
        <v>1</v>
      </c>
      <c r="I40" s="552">
        <v>2233</v>
      </c>
      <c r="J40" s="571">
        <v>2420</v>
      </c>
      <c r="K40" s="571">
        <v>5478880</v>
      </c>
      <c r="L40" s="552">
        <v>1.2765848382483354</v>
      </c>
      <c r="M40" s="552">
        <v>2264</v>
      </c>
      <c r="N40" s="571">
        <v>6982</v>
      </c>
      <c r="O40" s="571">
        <v>16016708</v>
      </c>
      <c r="P40" s="557">
        <v>3.7319099143348309</v>
      </c>
      <c r="Q40" s="572">
        <v>2294</v>
      </c>
    </row>
    <row r="41" spans="1:17" ht="14.4" customHeight="1" x14ac:dyDescent="0.3">
      <c r="A41" s="551" t="s">
        <v>730</v>
      </c>
      <c r="B41" s="552" t="s">
        <v>430</v>
      </c>
      <c r="C41" s="552" t="s">
        <v>675</v>
      </c>
      <c r="D41" s="552" t="s">
        <v>745</v>
      </c>
      <c r="E41" s="552" t="s">
        <v>746</v>
      </c>
      <c r="F41" s="571">
        <v>10</v>
      </c>
      <c r="G41" s="571">
        <v>4950</v>
      </c>
      <c r="H41" s="552">
        <v>1</v>
      </c>
      <c r="I41" s="552">
        <v>495</v>
      </c>
      <c r="J41" s="571">
        <v>15</v>
      </c>
      <c r="K41" s="571">
        <v>7545</v>
      </c>
      <c r="L41" s="552">
        <v>1.5242424242424242</v>
      </c>
      <c r="M41" s="552">
        <v>503</v>
      </c>
      <c r="N41" s="571">
        <v>11</v>
      </c>
      <c r="O41" s="571">
        <v>5808</v>
      </c>
      <c r="P41" s="557">
        <v>1.1733333333333333</v>
      </c>
      <c r="Q41" s="572">
        <v>528</v>
      </c>
    </row>
    <row r="42" spans="1:17" ht="14.4" customHeight="1" x14ac:dyDescent="0.3">
      <c r="A42" s="551" t="s">
        <v>730</v>
      </c>
      <c r="B42" s="552" t="s">
        <v>430</v>
      </c>
      <c r="C42" s="552" t="s">
        <v>675</v>
      </c>
      <c r="D42" s="552" t="s">
        <v>747</v>
      </c>
      <c r="E42" s="552" t="s">
        <v>748</v>
      </c>
      <c r="F42" s="571">
        <v>26</v>
      </c>
      <c r="G42" s="571">
        <v>22698</v>
      </c>
      <c r="H42" s="552">
        <v>1</v>
      </c>
      <c r="I42" s="552">
        <v>873</v>
      </c>
      <c r="J42" s="571">
        <v>34</v>
      </c>
      <c r="K42" s="571">
        <v>30090</v>
      </c>
      <c r="L42" s="552">
        <v>1.3256674596880782</v>
      </c>
      <c r="M42" s="552">
        <v>885</v>
      </c>
      <c r="N42" s="571">
        <v>24</v>
      </c>
      <c r="O42" s="571">
        <v>22464</v>
      </c>
      <c r="P42" s="557">
        <v>0.98969072164948457</v>
      </c>
      <c r="Q42" s="572">
        <v>936</v>
      </c>
    </row>
    <row r="43" spans="1:17" ht="14.4" customHeight="1" x14ac:dyDescent="0.3">
      <c r="A43" s="551" t="s">
        <v>730</v>
      </c>
      <c r="B43" s="552" t="s">
        <v>430</v>
      </c>
      <c r="C43" s="552" t="s">
        <v>675</v>
      </c>
      <c r="D43" s="552" t="s">
        <v>749</v>
      </c>
      <c r="E43" s="552" t="s">
        <v>750</v>
      </c>
      <c r="F43" s="571">
        <v>80</v>
      </c>
      <c r="G43" s="571">
        <v>521120</v>
      </c>
      <c r="H43" s="552">
        <v>1</v>
      </c>
      <c r="I43" s="552">
        <v>6514</v>
      </c>
      <c r="J43" s="571">
        <v>63</v>
      </c>
      <c r="K43" s="571">
        <v>415296</v>
      </c>
      <c r="L43" s="552">
        <v>0.79692968989867974</v>
      </c>
      <c r="M43" s="552">
        <v>6592</v>
      </c>
      <c r="N43" s="571">
        <v>88</v>
      </c>
      <c r="O43" s="571">
        <v>609840</v>
      </c>
      <c r="P43" s="557">
        <v>1.1702486951182069</v>
      </c>
      <c r="Q43" s="572">
        <v>6930</v>
      </c>
    </row>
    <row r="44" spans="1:17" ht="14.4" customHeight="1" x14ac:dyDescent="0.3">
      <c r="A44" s="551" t="s">
        <v>730</v>
      </c>
      <c r="B44" s="552" t="s">
        <v>430</v>
      </c>
      <c r="C44" s="552" t="s">
        <v>675</v>
      </c>
      <c r="D44" s="552" t="s">
        <v>751</v>
      </c>
      <c r="E44" s="552" t="s">
        <v>752</v>
      </c>
      <c r="F44" s="571">
        <v>1</v>
      </c>
      <c r="G44" s="571">
        <v>3316</v>
      </c>
      <c r="H44" s="552">
        <v>1</v>
      </c>
      <c r="I44" s="552">
        <v>3316</v>
      </c>
      <c r="J44" s="571"/>
      <c r="K44" s="571"/>
      <c r="L44" s="552"/>
      <c r="M44" s="552"/>
      <c r="N44" s="571">
        <v>4</v>
      </c>
      <c r="O44" s="571">
        <v>14236</v>
      </c>
      <c r="P44" s="557">
        <v>4.2931242460796142</v>
      </c>
      <c r="Q44" s="572">
        <v>3559</v>
      </c>
    </row>
    <row r="45" spans="1:17" ht="14.4" customHeight="1" x14ac:dyDescent="0.3">
      <c r="A45" s="551" t="s">
        <v>730</v>
      </c>
      <c r="B45" s="552" t="s">
        <v>430</v>
      </c>
      <c r="C45" s="552" t="s">
        <v>675</v>
      </c>
      <c r="D45" s="552" t="s">
        <v>753</v>
      </c>
      <c r="E45" s="552" t="s">
        <v>754</v>
      </c>
      <c r="F45" s="571">
        <v>16</v>
      </c>
      <c r="G45" s="571">
        <v>136000</v>
      </c>
      <c r="H45" s="552">
        <v>1</v>
      </c>
      <c r="I45" s="552">
        <v>8500</v>
      </c>
      <c r="J45" s="571">
        <v>19</v>
      </c>
      <c r="K45" s="571">
        <v>163058</v>
      </c>
      <c r="L45" s="552">
        <v>1.1989558823529411</v>
      </c>
      <c r="M45" s="552">
        <v>8582</v>
      </c>
      <c r="N45" s="571">
        <v>13</v>
      </c>
      <c r="O45" s="571">
        <v>116181</v>
      </c>
      <c r="P45" s="557">
        <v>0.85427205882352941</v>
      </c>
      <c r="Q45" s="572">
        <v>8937</v>
      </c>
    </row>
    <row r="46" spans="1:17" ht="14.4" customHeight="1" x14ac:dyDescent="0.3">
      <c r="A46" s="551" t="s">
        <v>730</v>
      </c>
      <c r="B46" s="552" t="s">
        <v>430</v>
      </c>
      <c r="C46" s="552" t="s">
        <v>675</v>
      </c>
      <c r="D46" s="552" t="s">
        <v>755</v>
      </c>
      <c r="E46" s="552" t="s">
        <v>756</v>
      </c>
      <c r="F46" s="571"/>
      <c r="G46" s="571"/>
      <c r="H46" s="552"/>
      <c r="I46" s="552"/>
      <c r="J46" s="571">
        <v>1</v>
      </c>
      <c r="K46" s="571">
        <v>10478</v>
      </c>
      <c r="L46" s="552"/>
      <c r="M46" s="552">
        <v>10478</v>
      </c>
      <c r="N46" s="571"/>
      <c r="O46" s="571"/>
      <c r="P46" s="557"/>
      <c r="Q46" s="572"/>
    </row>
    <row r="47" spans="1:17" ht="14.4" customHeight="1" x14ac:dyDescent="0.3">
      <c r="A47" s="551" t="s">
        <v>730</v>
      </c>
      <c r="B47" s="552" t="s">
        <v>430</v>
      </c>
      <c r="C47" s="552" t="s">
        <v>675</v>
      </c>
      <c r="D47" s="552" t="s">
        <v>757</v>
      </c>
      <c r="E47" s="552" t="s">
        <v>758</v>
      </c>
      <c r="F47" s="571">
        <v>4</v>
      </c>
      <c r="G47" s="571">
        <v>4080</v>
      </c>
      <c r="H47" s="552">
        <v>1</v>
      </c>
      <c r="I47" s="552">
        <v>1020</v>
      </c>
      <c r="J47" s="571">
        <v>4</v>
      </c>
      <c r="K47" s="571">
        <v>4144</v>
      </c>
      <c r="L47" s="552">
        <v>1.0156862745098039</v>
      </c>
      <c r="M47" s="552">
        <v>1036</v>
      </c>
      <c r="N47" s="571">
        <v>5</v>
      </c>
      <c r="O47" s="571">
        <v>5515</v>
      </c>
      <c r="P47" s="557">
        <v>1.3517156862745099</v>
      </c>
      <c r="Q47" s="572">
        <v>1103</v>
      </c>
    </row>
    <row r="48" spans="1:17" ht="14.4" customHeight="1" thickBot="1" x14ac:dyDescent="0.35">
      <c r="A48" s="543" t="s">
        <v>730</v>
      </c>
      <c r="B48" s="544" t="s">
        <v>430</v>
      </c>
      <c r="C48" s="544" t="s">
        <v>675</v>
      </c>
      <c r="D48" s="544" t="s">
        <v>759</v>
      </c>
      <c r="E48" s="544" t="s">
        <v>760</v>
      </c>
      <c r="F48" s="563">
        <v>2</v>
      </c>
      <c r="G48" s="563">
        <v>1122</v>
      </c>
      <c r="H48" s="544">
        <v>1</v>
      </c>
      <c r="I48" s="544">
        <v>561</v>
      </c>
      <c r="J48" s="563"/>
      <c r="K48" s="563"/>
      <c r="L48" s="544"/>
      <c r="M48" s="544"/>
      <c r="N48" s="563">
        <v>4</v>
      </c>
      <c r="O48" s="563">
        <v>2412</v>
      </c>
      <c r="P48" s="549">
        <v>2.1497326203208558</v>
      </c>
      <c r="Q48" s="564">
        <v>603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209403</v>
      </c>
      <c r="C3" s="222">
        <f t="shared" ref="C3:R3" si="0">SUBTOTAL(9,C6:C1048576)</f>
        <v>6</v>
      </c>
      <c r="D3" s="222">
        <f t="shared" si="0"/>
        <v>133784</v>
      </c>
      <c r="E3" s="222">
        <f t="shared" si="0"/>
        <v>2.4300200209449114</v>
      </c>
      <c r="F3" s="222">
        <f t="shared" si="0"/>
        <v>164055</v>
      </c>
      <c r="G3" s="225">
        <f>IF(B3&lt;&gt;0,F3/B3,"")</f>
        <v>0.78344149797280838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8"/>
      <c r="B5" s="609">
        <v>2014</v>
      </c>
      <c r="C5" s="610"/>
      <c r="D5" s="610">
        <v>2015</v>
      </c>
      <c r="E5" s="610"/>
      <c r="F5" s="610">
        <v>2016</v>
      </c>
      <c r="G5" s="611" t="s">
        <v>2</v>
      </c>
      <c r="H5" s="609">
        <v>2014</v>
      </c>
      <c r="I5" s="610"/>
      <c r="J5" s="610">
        <v>2015</v>
      </c>
      <c r="K5" s="610"/>
      <c r="L5" s="610">
        <v>2016</v>
      </c>
      <c r="M5" s="611" t="s">
        <v>2</v>
      </c>
      <c r="N5" s="609">
        <v>2014</v>
      </c>
      <c r="O5" s="610"/>
      <c r="P5" s="610">
        <v>2015</v>
      </c>
      <c r="Q5" s="610"/>
      <c r="R5" s="610">
        <v>2016</v>
      </c>
      <c r="S5" s="611" t="s">
        <v>2</v>
      </c>
    </row>
    <row r="6" spans="1:19" ht="14.4" customHeight="1" x14ac:dyDescent="0.3">
      <c r="A6" s="615" t="s">
        <v>762</v>
      </c>
      <c r="B6" s="612">
        <v>1436</v>
      </c>
      <c r="C6" s="537">
        <v>1</v>
      </c>
      <c r="D6" s="612"/>
      <c r="E6" s="537"/>
      <c r="F6" s="612"/>
      <c r="G6" s="542"/>
      <c r="H6" s="612"/>
      <c r="I6" s="537"/>
      <c r="J6" s="612"/>
      <c r="K6" s="537"/>
      <c r="L6" s="612"/>
      <c r="M6" s="542"/>
      <c r="N6" s="612"/>
      <c r="O6" s="537"/>
      <c r="P6" s="612"/>
      <c r="Q6" s="537"/>
      <c r="R6" s="612"/>
      <c r="S6" s="122"/>
    </row>
    <row r="7" spans="1:19" ht="14.4" customHeight="1" x14ac:dyDescent="0.3">
      <c r="A7" s="616" t="s">
        <v>763</v>
      </c>
      <c r="B7" s="613">
        <v>105382</v>
      </c>
      <c r="C7" s="552">
        <v>1</v>
      </c>
      <c r="D7" s="613">
        <v>13114</v>
      </c>
      <c r="E7" s="552">
        <v>0.12444250441251827</v>
      </c>
      <c r="F7" s="613">
        <v>89733</v>
      </c>
      <c r="G7" s="557">
        <v>0.85150215406805718</v>
      </c>
      <c r="H7" s="613"/>
      <c r="I7" s="552"/>
      <c r="J7" s="613"/>
      <c r="K7" s="552"/>
      <c r="L7" s="613"/>
      <c r="M7" s="557"/>
      <c r="N7" s="613"/>
      <c r="O7" s="552"/>
      <c r="P7" s="613"/>
      <c r="Q7" s="552"/>
      <c r="R7" s="613"/>
      <c r="S7" s="558"/>
    </row>
    <row r="8" spans="1:19" ht="14.4" customHeight="1" x14ac:dyDescent="0.3">
      <c r="A8" s="616" t="s">
        <v>764</v>
      </c>
      <c r="B8" s="613">
        <v>54667</v>
      </c>
      <c r="C8" s="552">
        <v>1</v>
      </c>
      <c r="D8" s="613">
        <v>117954</v>
      </c>
      <c r="E8" s="552">
        <v>2.1576819653538699</v>
      </c>
      <c r="F8" s="613">
        <v>58482</v>
      </c>
      <c r="G8" s="557">
        <v>1.0697861598404887</v>
      </c>
      <c r="H8" s="613"/>
      <c r="I8" s="552"/>
      <c r="J8" s="613"/>
      <c r="K8" s="552"/>
      <c r="L8" s="613"/>
      <c r="M8" s="557"/>
      <c r="N8" s="613"/>
      <c r="O8" s="552"/>
      <c r="P8" s="613"/>
      <c r="Q8" s="552"/>
      <c r="R8" s="613"/>
      <c r="S8" s="558"/>
    </row>
    <row r="9" spans="1:19" ht="14.4" customHeight="1" x14ac:dyDescent="0.3">
      <c r="A9" s="616" t="s">
        <v>765</v>
      </c>
      <c r="B9" s="613">
        <v>34513</v>
      </c>
      <c r="C9" s="552">
        <v>1</v>
      </c>
      <c r="D9" s="613">
        <v>1448</v>
      </c>
      <c r="E9" s="552">
        <v>4.1955205284965089E-2</v>
      </c>
      <c r="F9" s="613">
        <v>5192</v>
      </c>
      <c r="G9" s="557">
        <v>0.15043606756874223</v>
      </c>
      <c r="H9" s="613"/>
      <c r="I9" s="552"/>
      <c r="J9" s="613"/>
      <c r="K9" s="552"/>
      <c r="L9" s="613"/>
      <c r="M9" s="557"/>
      <c r="N9" s="613"/>
      <c r="O9" s="552"/>
      <c r="P9" s="613"/>
      <c r="Q9" s="552"/>
      <c r="R9" s="613"/>
      <c r="S9" s="558"/>
    </row>
    <row r="10" spans="1:19" ht="14.4" customHeight="1" x14ac:dyDescent="0.3">
      <c r="A10" s="616" t="s">
        <v>766</v>
      </c>
      <c r="B10" s="613">
        <v>11969</v>
      </c>
      <c r="C10" s="552">
        <v>1</v>
      </c>
      <c r="D10" s="613">
        <v>1268</v>
      </c>
      <c r="E10" s="552">
        <v>0.10594034589355836</v>
      </c>
      <c r="F10" s="613">
        <v>8170</v>
      </c>
      <c r="G10" s="557">
        <v>0.68259670816275375</v>
      </c>
      <c r="H10" s="613"/>
      <c r="I10" s="552"/>
      <c r="J10" s="613"/>
      <c r="K10" s="552"/>
      <c r="L10" s="613"/>
      <c r="M10" s="557"/>
      <c r="N10" s="613"/>
      <c r="O10" s="552"/>
      <c r="P10" s="613"/>
      <c r="Q10" s="552"/>
      <c r="R10" s="613"/>
      <c r="S10" s="558"/>
    </row>
    <row r="11" spans="1:19" ht="14.4" customHeight="1" thickBot="1" x14ac:dyDescent="0.35">
      <c r="A11" s="617" t="s">
        <v>767</v>
      </c>
      <c r="B11" s="614">
        <v>1436</v>
      </c>
      <c r="C11" s="544">
        <v>1</v>
      </c>
      <c r="D11" s="614"/>
      <c r="E11" s="544"/>
      <c r="F11" s="614">
        <v>2478</v>
      </c>
      <c r="G11" s="549">
        <v>1.7256267409470751</v>
      </c>
      <c r="H11" s="614"/>
      <c r="I11" s="544"/>
      <c r="J11" s="614"/>
      <c r="K11" s="544"/>
      <c r="L11" s="614"/>
      <c r="M11" s="549"/>
      <c r="N11" s="614"/>
      <c r="O11" s="544"/>
      <c r="P11" s="614"/>
      <c r="Q11" s="544"/>
      <c r="R11" s="614"/>
      <c r="S11" s="55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774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114</v>
      </c>
      <c r="G3" s="103">
        <f t="shared" si="0"/>
        <v>209403</v>
      </c>
      <c r="H3" s="103"/>
      <c r="I3" s="103"/>
      <c r="J3" s="103">
        <f t="shared" si="0"/>
        <v>61</v>
      </c>
      <c r="K3" s="103">
        <f t="shared" si="0"/>
        <v>133784</v>
      </c>
      <c r="L3" s="103"/>
      <c r="M3" s="103"/>
      <c r="N3" s="103">
        <f t="shared" si="0"/>
        <v>79</v>
      </c>
      <c r="O3" s="103">
        <f t="shared" si="0"/>
        <v>164055</v>
      </c>
      <c r="P3" s="75">
        <f>IF(G3=0,0,O3/G3)</f>
        <v>0.78344149797280838</v>
      </c>
      <c r="Q3" s="104">
        <f>IF(N3=0,0,O3/N3)</f>
        <v>2076.6455696202534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2014</v>
      </c>
      <c r="G4" s="415"/>
      <c r="H4" s="105"/>
      <c r="I4" s="105"/>
      <c r="J4" s="414">
        <v>2015</v>
      </c>
      <c r="K4" s="415"/>
      <c r="L4" s="105"/>
      <c r="M4" s="105"/>
      <c r="N4" s="414">
        <v>2016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3"/>
      <c r="B5" s="621"/>
      <c r="C5" s="623"/>
      <c r="D5" s="631"/>
      <c r="E5" s="625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30"/>
    </row>
    <row r="6" spans="1:17" ht="14.4" customHeight="1" x14ac:dyDescent="0.3">
      <c r="A6" s="536" t="s">
        <v>768</v>
      </c>
      <c r="B6" s="537" t="s">
        <v>678</v>
      </c>
      <c r="C6" s="537" t="s">
        <v>675</v>
      </c>
      <c r="D6" s="537" t="s">
        <v>696</v>
      </c>
      <c r="E6" s="537" t="s">
        <v>697</v>
      </c>
      <c r="F6" s="116">
        <v>1</v>
      </c>
      <c r="G6" s="116">
        <v>0</v>
      </c>
      <c r="H6" s="116"/>
      <c r="I6" s="116">
        <v>0</v>
      </c>
      <c r="J6" s="116"/>
      <c r="K6" s="116"/>
      <c r="L6" s="116"/>
      <c r="M6" s="116"/>
      <c r="N6" s="116"/>
      <c r="O6" s="116"/>
      <c r="P6" s="542"/>
      <c r="Q6" s="562"/>
    </row>
    <row r="7" spans="1:17" ht="14.4" customHeight="1" x14ac:dyDescent="0.3">
      <c r="A7" s="551" t="s">
        <v>768</v>
      </c>
      <c r="B7" s="552" t="s">
        <v>678</v>
      </c>
      <c r="C7" s="552" t="s">
        <v>675</v>
      </c>
      <c r="D7" s="552" t="s">
        <v>698</v>
      </c>
      <c r="E7" s="552" t="s">
        <v>699</v>
      </c>
      <c r="F7" s="571">
        <v>1</v>
      </c>
      <c r="G7" s="571">
        <v>1436</v>
      </c>
      <c r="H7" s="571">
        <v>1</v>
      </c>
      <c r="I7" s="571">
        <v>1436</v>
      </c>
      <c r="J7" s="571"/>
      <c r="K7" s="571"/>
      <c r="L7" s="571"/>
      <c r="M7" s="571"/>
      <c r="N7" s="571"/>
      <c r="O7" s="571"/>
      <c r="P7" s="557"/>
      <c r="Q7" s="572"/>
    </row>
    <row r="8" spans="1:17" ht="14.4" customHeight="1" x14ac:dyDescent="0.3">
      <c r="A8" s="551" t="s">
        <v>769</v>
      </c>
      <c r="B8" s="552" t="s">
        <v>678</v>
      </c>
      <c r="C8" s="552" t="s">
        <v>675</v>
      </c>
      <c r="D8" s="552" t="s">
        <v>688</v>
      </c>
      <c r="E8" s="552" t="s">
        <v>689</v>
      </c>
      <c r="F8" s="571"/>
      <c r="G8" s="571"/>
      <c r="H8" s="571"/>
      <c r="I8" s="571"/>
      <c r="J8" s="571"/>
      <c r="K8" s="571"/>
      <c r="L8" s="571"/>
      <c r="M8" s="571"/>
      <c r="N8" s="571">
        <v>1</v>
      </c>
      <c r="O8" s="571">
        <v>2478</v>
      </c>
      <c r="P8" s="557"/>
      <c r="Q8" s="572">
        <v>2478</v>
      </c>
    </row>
    <row r="9" spans="1:17" ht="14.4" customHeight="1" x14ac:dyDescent="0.3">
      <c r="A9" s="551" t="s">
        <v>769</v>
      </c>
      <c r="B9" s="552" t="s">
        <v>678</v>
      </c>
      <c r="C9" s="552" t="s">
        <v>675</v>
      </c>
      <c r="D9" s="552" t="s">
        <v>694</v>
      </c>
      <c r="E9" s="552" t="s">
        <v>695</v>
      </c>
      <c r="F9" s="571">
        <v>6</v>
      </c>
      <c r="G9" s="571">
        <v>1938</v>
      </c>
      <c r="H9" s="571">
        <v>1</v>
      </c>
      <c r="I9" s="571">
        <v>323</v>
      </c>
      <c r="J9" s="571"/>
      <c r="K9" s="571"/>
      <c r="L9" s="571"/>
      <c r="M9" s="571"/>
      <c r="N9" s="571">
        <v>1</v>
      </c>
      <c r="O9" s="571">
        <v>350</v>
      </c>
      <c r="P9" s="557">
        <v>0.18059855521155832</v>
      </c>
      <c r="Q9" s="572">
        <v>350</v>
      </c>
    </row>
    <row r="10" spans="1:17" ht="14.4" customHeight="1" x14ac:dyDescent="0.3">
      <c r="A10" s="551" t="s">
        <v>769</v>
      </c>
      <c r="B10" s="552" t="s">
        <v>678</v>
      </c>
      <c r="C10" s="552" t="s">
        <v>675</v>
      </c>
      <c r="D10" s="552" t="s">
        <v>696</v>
      </c>
      <c r="E10" s="552" t="s">
        <v>697</v>
      </c>
      <c r="F10" s="571">
        <v>3</v>
      </c>
      <c r="G10" s="571">
        <v>0</v>
      </c>
      <c r="H10" s="571"/>
      <c r="I10" s="571">
        <v>0</v>
      </c>
      <c r="J10" s="571"/>
      <c r="K10" s="571"/>
      <c r="L10" s="571"/>
      <c r="M10" s="571"/>
      <c r="N10" s="571"/>
      <c r="O10" s="571"/>
      <c r="P10" s="557"/>
      <c r="Q10" s="572"/>
    </row>
    <row r="11" spans="1:17" ht="14.4" customHeight="1" x14ac:dyDescent="0.3">
      <c r="A11" s="551" t="s">
        <v>769</v>
      </c>
      <c r="B11" s="552" t="s">
        <v>678</v>
      </c>
      <c r="C11" s="552" t="s">
        <v>675</v>
      </c>
      <c r="D11" s="552" t="s">
        <v>698</v>
      </c>
      <c r="E11" s="552" t="s">
        <v>699</v>
      </c>
      <c r="F11" s="571">
        <v>1</v>
      </c>
      <c r="G11" s="571">
        <v>1436</v>
      </c>
      <c r="H11" s="571">
        <v>1</v>
      </c>
      <c r="I11" s="571">
        <v>1436</v>
      </c>
      <c r="J11" s="571">
        <v>1</v>
      </c>
      <c r="K11" s="571">
        <v>1448</v>
      </c>
      <c r="L11" s="571">
        <v>1.0083565459610029</v>
      </c>
      <c r="M11" s="571">
        <v>1448</v>
      </c>
      <c r="N11" s="571">
        <v>2</v>
      </c>
      <c r="O11" s="571">
        <v>3038</v>
      </c>
      <c r="P11" s="557">
        <v>2.1155988857938719</v>
      </c>
      <c r="Q11" s="572">
        <v>1519</v>
      </c>
    </row>
    <row r="12" spans="1:17" ht="14.4" customHeight="1" x14ac:dyDescent="0.3">
      <c r="A12" s="551" t="s">
        <v>769</v>
      </c>
      <c r="B12" s="552" t="s">
        <v>711</v>
      </c>
      <c r="C12" s="552" t="s">
        <v>675</v>
      </c>
      <c r="D12" s="552" t="s">
        <v>712</v>
      </c>
      <c r="E12" s="552" t="s">
        <v>713</v>
      </c>
      <c r="F12" s="571">
        <v>1</v>
      </c>
      <c r="G12" s="571">
        <v>438</v>
      </c>
      <c r="H12" s="571">
        <v>1</v>
      </c>
      <c r="I12" s="571">
        <v>438</v>
      </c>
      <c r="J12" s="571"/>
      <c r="K12" s="571"/>
      <c r="L12" s="571"/>
      <c r="M12" s="571"/>
      <c r="N12" s="571"/>
      <c r="O12" s="571"/>
      <c r="P12" s="557"/>
      <c r="Q12" s="572"/>
    </row>
    <row r="13" spans="1:17" ht="14.4" customHeight="1" x14ac:dyDescent="0.3">
      <c r="A13" s="551" t="s">
        <v>769</v>
      </c>
      <c r="B13" s="552" t="s">
        <v>711</v>
      </c>
      <c r="C13" s="552" t="s">
        <v>675</v>
      </c>
      <c r="D13" s="552" t="s">
        <v>722</v>
      </c>
      <c r="E13" s="552" t="s">
        <v>723</v>
      </c>
      <c r="F13" s="571">
        <v>4</v>
      </c>
      <c r="G13" s="571">
        <v>2568</v>
      </c>
      <c r="H13" s="571">
        <v>1</v>
      </c>
      <c r="I13" s="571">
        <v>642</v>
      </c>
      <c r="J13" s="571"/>
      <c r="K13" s="571"/>
      <c r="L13" s="571"/>
      <c r="M13" s="571"/>
      <c r="N13" s="571"/>
      <c r="O13" s="571"/>
      <c r="P13" s="557"/>
      <c r="Q13" s="572"/>
    </row>
    <row r="14" spans="1:17" ht="14.4" customHeight="1" x14ac:dyDescent="0.3">
      <c r="A14" s="551" t="s">
        <v>769</v>
      </c>
      <c r="B14" s="552" t="s">
        <v>711</v>
      </c>
      <c r="C14" s="552" t="s">
        <v>675</v>
      </c>
      <c r="D14" s="552" t="s">
        <v>726</v>
      </c>
      <c r="E14" s="552" t="s">
        <v>727</v>
      </c>
      <c r="F14" s="571">
        <v>2</v>
      </c>
      <c r="G14" s="571">
        <v>1172</v>
      </c>
      <c r="H14" s="571">
        <v>1</v>
      </c>
      <c r="I14" s="571">
        <v>586</v>
      </c>
      <c r="J14" s="571"/>
      <c r="K14" s="571"/>
      <c r="L14" s="571"/>
      <c r="M14" s="571"/>
      <c r="N14" s="571"/>
      <c r="O14" s="571"/>
      <c r="P14" s="557"/>
      <c r="Q14" s="572"/>
    </row>
    <row r="15" spans="1:17" ht="14.4" customHeight="1" x14ac:dyDescent="0.3">
      <c r="A15" s="551" t="s">
        <v>769</v>
      </c>
      <c r="B15" s="552" t="s">
        <v>711</v>
      </c>
      <c r="C15" s="552" t="s">
        <v>675</v>
      </c>
      <c r="D15" s="552" t="s">
        <v>728</v>
      </c>
      <c r="E15" s="552" t="s">
        <v>729</v>
      </c>
      <c r="F15" s="571">
        <v>1</v>
      </c>
      <c r="G15" s="571">
        <v>816</v>
      </c>
      <c r="H15" s="571">
        <v>1</v>
      </c>
      <c r="I15" s="571">
        <v>816</v>
      </c>
      <c r="J15" s="571"/>
      <c r="K15" s="571"/>
      <c r="L15" s="571"/>
      <c r="M15" s="571"/>
      <c r="N15" s="571"/>
      <c r="O15" s="571"/>
      <c r="P15" s="557"/>
      <c r="Q15" s="572"/>
    </row>
    <row r="16" spans="1:17" ht="14.4" customHeight="1" x14ac:dyDescent="0.3">
      <c r="A16" s="551" t="s">
        <v>769</v>
      </c>
      <c r="B16" s="552" t="s">
        <v>730</v>
      </c>
      <c r="C16" s="552" t="s">
        <v>675</v>
      </c>
      <c r="D16" s="552" t="s">
        <v>733</v>
      </c>
      <c r="E16" s="552" t="s">
        <v>734</v>
      </c>
      <c r="F16" s="571">
        <v>1</v>
      </c>
      <c r="G16" s="571">
        <v>297</v>
      </c>
      <c r="H16" s="571">
        <v>1</v>
      </c>
      <c r="I16" s="571">
        <v>297</v>
      </c>
      <c r="J16" s="571">
        <v>1</v>
      </c>
      <c r="K16" s="571">
        <v>303</v>
      </c>
      <c r="L16" s="571">
        <v>1.0202020202020201</v>
      </c>
      <c r="M16" s="571">
        <v>303</v>
      </c>
      <c r="N16" s="571"/>
      <c r="O16" s="571"/>
      <c r="P16" s="557"/>
      <c r="Q16" s="572"/>
    </row>
    <row r="17" spans="1:17" ht="14.4" customHeight="1" x14ac:dyDescent="0.3">
      <c r="A17" s="551" t="s">
        <v>769</v>
      </c>
      <c r="B17" s="552" t="s">
        <v>730</v>
      </c>
      <c r="C17" s="552" t="s">
        <v>675</v>
      </c>
      <c r="D17" s="552" t="s">
        <v>735</v>
      </c>
      <c r="E17" s="552" t="s">
        <v>736</v>
      </c>
      <c r="F17" s="571">
        <v>2</v>
      </c>
      <c r="G17" s="571">
        <v>2490</v>
      </c>
      <c r="H17" s="571">
        <v>1</v>
      </c>
      <c r="I17" s="571">
        <v>1245</v>
      </c>
      <c r="J17" s="571"/>
      <c r="K17" s="571"/>
      <c r="L17" s="571"/>
      <c r="M17" s="571"/>
      <c r="N17" s="571">
        <v>1</v>
      </c>
      <c r="O17" s="571">
        <v>1283</v>
      </c>
      <c r="P17" s="557">
        <v>0.51526104417670682</v>
      </c>
      <c r="Q17" s="572">
        <v>1283</v>
      </c>
    </row>
    <row r="18" spans="1:17" ht="14.4" customHeight="1" x14ac:dyDescent="0.3">
      <c r="A18" s="551" t="s">
        <v>769</v>
      </c>
      <c r="B18" s="552" t="s">
        <v>730</v>
      </c>
      <c r="C18" s="552" t="s">
        <v>675</v>
      </c>
      <c r="D18" s="552" t="s">
        <v>743</v>
      </c>
      <c r="E18" s="552" t="s">
        <v>744</v>
      </c>
      <c r="F18" s="571">
        <v>38</v>
      </c>
      <c r="G18" s="571">
        <v>84854</v>
      </c>
      <c r="H18" s="571">
        <v>1</v>
      </c>
      <c r="I18" s="571">
        <v>2233</v>
      </c>
      <c r="J18" s="571"/>
      <c r="K18" s="571"/>
      <c r="L18" s="571"/>
      <c r="M18" s="571"/>
      <c r="N18" s="571">
        <v>36</v>
      </c>
      <c r="O18" s="571">
        <v>82584</v>
      </c>
      <c r="P18" s="557">
        <v>0.97324816744054499</v>
      </c>
      <c r="Q18" s="572">
        <v>2294</v>
      </c>
    </row>
    <row r="19" spans="1:17" ht="14.4" customHeight="1" x14ac:dyDescent="0.3">
      <c r="A19" s="551" t="s">
        <v>769</v>
      </c>
      <c r="B19" s="552" t="s">
        <v>730</v>
      </c>
      <c r="C19" s="552" t="s">
        <v>675</v>
      </c>
      <c r="D19" s="552" t="s">
        <v>747</v>
      </c>
      <c r="E19" s="552" t="s">
        <v>748</v>
      </c>
      <c r="F19" s="571">
        <v>1</v>
      </c>
      <c r="G19" s="571">
        <v>873</v>
      </c>
      <c r="H19" s="571">
        <v>1</v>
      </c>
      <c r="I19" s="571">
        <v>873</v>
      </c>
      <c r="J19" s="571">
        <v>1</v>
      </c>
      <c r="K19" s="571">
        <v>885</v>
      </c>
      <c r="L19" s="571">
        <v>1.0137457044673539</v>
      </c>
      <c r="M19" s="571">
        <v>885</v>
      </c>
      <c r="N19" s="571"/>
      <c r="O19" s="571"/>
      <c r="P19" s="557"/>
      <c r="Q19" s="572"/>
    </row>
    <row r="20" spans="1:17" ht="14.4" customHeight="1" x14ac:dyDescent="0.3">
      <c r="A20" s="551" t="s">
        <v>769</v>
      </c>
      <c r="B20" s="552" t="s">
        <v>730</v>
      </c>
      <c r="C20" s="552" t="s">
        <v>675</v>
      </c>
      <c r="D20" s="552" t="s">
        <v>753</v>
      </c>
      <c r="E20" s="552" t="s">
        <v>754</v>
      </c>
      <c r="F20" s="571">
        <v>1</v>
      </c>
      <c r="G20" s="571">
        <v>8500</v>
      </c>
      <c r="H20" s="571">
        <v>1</v>
      </c>
      <c r="I20" s="571">
        <v>8500</v>
      </c>
      <c r="J20" s="571"/>
      <c r="K20" s="571"/>
      <c r="L20" s="571"/>
      <c r="M20" s="571"/>
      <c r="N20" s="571"/>
      <c r="O20" s="571"/>
      <c r="P20" s="557"/>
      <c r="Q20" s="572"/>
    </row>
    <row r="21" spans="1:17" ht="14.4" customHeight="1" x14ac:dyDescent="0.3">
      <c r="A21" s="551" t="s">
        <v>769</v>
      </c>
      <c r="B21" s="552" t="s">
        <v>730</v>
      </c>
      <c r="C21" s="552" t="s">
        <v>675</v>
      </c>
      <c r="D21" s="552" t="s">
        <v>755</v>
      </c>
      <c r="E21" s="552" t="s">
        <v>756</v>
      </c>
      <c r="F21" s="571"/>
      <c r="G21" s="571"/>
      <c r="H21" s="571"/>
      <c r="I21" s="571"/>
      <c r="J21" s="571">
        <v>1</v>
      </c>
      <c r="K21" s="571">
        <v>10478</v>
      </c>
      <c r="L21" s="571"/>
      <c r="M21" s="571">
        <v>10478</v>
      </c>
      <c r="N21" s="571"/>
      <c r="O21" s="571"/>
      <c r="P21" s="557"/>
      <c r="Q21" s="572"/>
    </row>
    <row r="22" spans="1:17" ht="14.4" customHeight="1" x14ac:dyDescent="0.3">
      <c r="A22" s="551" t="s">
        <v>770</v>
      </c>
      <c r="B22" s="552" t="s">
        <v>678</v>
      </c>
      <c r="C22" s="552" t="s">
        <v>675</v>
      </c>
      <c r="D22" s="552" t="s">
        <v>688</v>
      </c>
      <c r="E22" s="552" t="s">
        <v>689</v>
      </c>
      <c r="F22" s="571">
        <v>1</v>
      </c>
      <c r="G22" s="571">
        <v>2313</v>
      </c>
      <c r="H22" s="571">
        <v>1</v>
      </c>
      <c r="I22" s="571">
        <v>2313</v>
      </c>
      <c r="J22" s="571">
        <v>1</v>
      </c>
      <c r="K22" s="571">
        <v>2336</v>
      </c>
      <c r="L22" s="571">
        <v>1.0099437959360138</v>
      </c>
      <c r="M22" s="571">
        <v>2336</v>
      </c>
      <c r="N22" s="571">
        <v>2</v>
      </c>
      <c r="O22" s="571">
        <v>4956</v>
      </c>
      <c r="P22" s="557">
        <v>2.1426718547341115</v>
      </c>
      <c r="Q22" s="572">
        <v>2478</v>
      </c>
    </row>
    <row r="23" spans="1:17" ht="14.4" customHeight="1" x14ac:dyDescent="0.3">
      <c r="A23" s="551" t="s">
        <v>770</v>
      </c>
      <c r="B23" s="552" t="s">
        <v>678</v>
      </c>
      <c r="C23" s="552" t="s">
        <v>675</v>
      </c>
      <c r="D23" s="552" t="s">
        <v>694</v>
      </c>
      <c r="E23" s="552" t="s">
        <v>695</v>
      </c>
      <c r="F23" s="571">
        <v>1</v>
      </c>
      <c r="G23" s="571">
        <v>323</v>
      </c>
      <c r="H23" s="571">
        <v>1</v>
      </c>
      <c r="I23" s="571">
        <v>323</v>
      </c>
      <c r="J23" s="571">
        <v>4</v>
      </c>
      <c r="K23" s="571">
        <v>1308</v>
      </c>
      <c r="L23" s="571">
        <v>4.04953560371517</v>
      </c>
      <c r="M23" s="571">
        <v>327</v>
      </c>
      <c r="N23" s="571">
        <v>2</v>
      </c>
      <c r="O23" s="571">
        <v>700</v>
      </c>
      <c r="P23" s="557">
        <v>2.1671826625386998</v>
      </c>
      <c r="Q23" s="572">
        <v>350</v>
      </c>
    </row>
    <row r="24" spans="1:17" ht="14.4" customHeight="1" x14ac:dyDescent="0.3">
      <c r="A24" s="551" t="s">
        <v>770</v>
      </c>
      <c r="B24" s="552" t="s">
        <v>678</v>
      </c>
      <c r="C24" s="552" t="s">
        <v>675</v>
      </c>
      <c r="D24" s="552" t="s">
        <v>698</v>
      </c>
      <c r="E24" s="552" t="s">
        <v>699</v>
      </c>
      <c r="F24" s="571">
        <v>1</v>
      </c>
      <c r="G24" s="571">
        <v>1436</v>
      </c>
      <c r="H24" s="571">
        <v>1</v>
      </c>
      <c r="I24" s="571">
        <v>1436</v>
      </c>
      <c r="J24" s="571">
        <v>2</v>
      </c>
      <c r="K24" s="571">
        <v>2896</v>
      </c>
      <c r="L24" s="571">
        <v>2.0167130919220058</v>
      </c>
      <c r="M24" s="571">
        <v>1448</v>
      </c>
      <c r="N24" s="571">
        <v>5</v>
      </c>
      <c r="O24" s="571">
        <v>7595</v>
      </c>
      <c r="P24" s="557">
        <v>5.28899721448468</v>
      </c>
      <c r="Q24" s="572">
        <v>1519</v>
      </c>
    </row>
    <row r="25" spans="1:17" ht="14.4" customHeight="1" x14ac:dyDescent="0.3">
      <c r="A25" s="551" t="s">
        <v>770</v>
      </c>
      <c r="B25" s="552" t="s">
        <v>730</v>
      </c>
      <c r="C25" s="552" t="s">
        <v>675</v>
      </c>
      <c r="D25" s="552" t="s">
        <v>733</v>
      </c>
      <c r="E25" s="552" t="s">
        <v>734</v>
      </c>
      <c r="F25" s="571">
        <v>2</v>
      </c>
      <c r="G25" s="571">
        <v>594</v>
      </c>
      <c r="H25" s="571">
        <v>1</v>
      </c>
      <c r="I25" s="571">
        <v>297</v>
      </c>
      <c r="J25" s="571">
        <v>2</v>
      </c>
      <c r="K25" s="571">
        <v>606</v>
      </c>
      <c r="L25" s="571">
        <v>1.0202020202020201</v>
      </c>
      <c r="M25" s="571">
        <v>303</v>
      </c>
      <c r="N25" s="571">
        <v>1</v>
      </c>
      <c r="O25" s="571">
        <v>314</v>
      </c>
      <c r="P25" s="557">
        <v>0.52861952861952866</v>
      </c>
      <c r="Q25" s="572">
        <v>314</v>
      </c>
    </row>
    <row r="26" spans="1:17" ht="14.4" customHeight="1" x14ac:dyDescent="0.3">
      <c r="A26" s="551" t="s">
        <v>770</v>
      </c>
      <c r="B26" s="552" t="s">
        <v>730</v>
      </c>
      <c r="C26" s="552" t="s">
        <v>675</v>
      </c>
      <c r="D26" s="552" t="s">
        <v>735</v>
      </c>
      <c r="E26" s="552" t="s">
        <v>736</v>
      </c>
      <c r="F26" s="571">
        <v>1</v>
      </c>
      <c r="G26" s="571">
        <v>1245</v>
      </c>
      <c r="H26" s="571">
        <v>1</v>
      </c>
      <c r="I26" s="571">
        <v>1245</v>
      </c>
      <c r="J26" s="571">
        <v>2</v>
      </c>
      <c r="K26" s="571">
        <v>2536</v>
      </c>
      <c r="L26" s="571">
        <v>2.0369477911646587</v>
      </c>
      <c r="M26" s="571">
        <v>1268</v>
      </c>
      <c r="N26" s="571">
        <v>1</v>
      </c>
      <c r="O26" s="571">
        <v>1283</v>
      </c>
      <c r="P26" s="557">
        <v>1.0305220883534136</v>
      </c>
      <c r="Q26" s="572">
        <v>1283</v>
      </c>
    </row>
    <row r="27" spans="1:17" ht="14.4" customHeight="1" x14ac:dyDescent="0.3">
      <c r="A27" s="551" t="s">
        <v>770</v>
      </c>
      <c r="B27" s="552" t="s">
        <v>730</v>
      </c>
      <c r="C27" s="552" t="s">
        <v>675</v>
      </c>
      <c r="D27" s="552" t="s">
        <v>743</v>
      </c>
      <c r="E27" s="552" t="s">
        <v>744</v>
      </c>
      <c r="F27" s="571">
        <v>16</v>
      </c>
      <c r="G27" s="571">
        <v>35728</v>
      </c>
      <c r="H27" s="571">
        <v>1</v>
      </c>
      <c r="I27" s="571">
        <v>2233</v>
      </c>
      <c r="J27" s="571">
        <v>42</v>
      </c>
      <c r="K27" s="571">
        <v>95088</v>
      </c>
      <c r="L27" s="571">
        <v>2.6614420062695925</v>
      </c>
      <c r="M27" s="571">
        <v>2264</v>
      </c>
      <c r="N27" s="571">
        <v>16</v>
      </c>
      <c r="O27" s="571">
        <v>36704</v>
      </c>
      <c r="P27" s="557">
        <v>1.0273175100761307</v>
      </c>
      <c r="Q27" s="572">
        <v>2294</v>
      </c>
    </row>
    <row r="28" spans="1:17" ht="14.4" customHeight="1" x14ac:dyDescent="0.3">
      <c r="A28" s="551" t="s">
        <v>770</v>
      </c>
      <c r="B28" s="552" t="s">
        <v>730</v>
      </c>
      <c r="C28" s="552" t="s">
        <v>675</v>
      </c>
      <c r="D28" s="552" t="s">
        <v>749</v>
      </c>
      <c r="E28" s="552" t="s">
        <v>750</v>
      </c>
      <c r="F28" s="571">
        <v>2</v>
      </c>
      <c r="G28" s="571">
        <v>13028</v>
      </c>
      <c r="H28" s="571">
        <v>1</v>
      </c>
      <c r="I28" s="571">
        <v>6514</v>
      </c>
      <c r="J28" s="571">
        <v>2</v>
      </c>
      <c r="K28" s="571">
        <v>13184</v>
      </c>
      <c r="L28" s="571">
        <v>1.0119742093951489</v>
      </c>
      <c r="M28" s="571">
        <v>6592</v>
      </c>
      <c r="N28" s="571">
        <v>1</v>
      </c>
      <c r="O28" s="571">
        <v>6930</v>
      </c>
      <c r="P28" s="557">
        <v>0.53193122505373047</v>
      </c>
      <c r="Q28" s="572">
        <v>6930</v>
      </c>
    </row>
    <row r="29" spans="1:17" ht="14.4" customHeight="1" x14ac:dyDescent="0.3">
      <c r="A29" s="551" t="s">
        <v>771</v>
      </c>
      <c r="B29" s="552" t="s">
        <v>678</v>
      </c>
      <c r="C29" s="552" t="s">
        <v>675</v>
      </c>
      <c r="D29" s="552" t="s">
        <v>688</v>
      </c>
      <c r="E29" s="552" t="s">
        <v>689</v>
      </c>
      <c r="F29" s="571">
        <v>1</v>
      </c>
      <c r="G29" s="571">
        <v>2313</v>
      </c>
      <c r="H29" s="571">
        <v>1</v>
      </c>
      <c r="I29" s="571">
        <v>2313</v>
      </c>
      <c r="J29" s="571"/>
      <c r="K29" s="571"/>
      <c r="L29" s="571"/>
      <c r="M29" s="571"/>
      <c r="N29" s="571"/>
      <c r="O29" s="571"/>
      <c r="P29" s="557"/>
      <c r="Q29" s="572"/>
    </row>
    <row r="30" spans="1:17" ht="14.4" customHeight="1" x14ac:dyDescent="0.3">
      <c r="A30" s="551" t="s">
        <v>771</v>
      </c>
      <c r="B30" s="552" t="s">
        <v>678</v>
      </c>
      <c r="C30" s="552" t="s">
        <v>675</v>
      </c>
      <c r="D30" s="552" t="s">
        <v>694</v>
      </c>
      <c r="E30" s="552" t="s">
        <v>695</v>
      </c>
      <c r="F30" s="571"/>
      <c r="G30" s="571"/>
      <c r="H30" s="571"/>
      <c r="I30" s="571"/>
      <c r="J30" s="571"/>
      <c r="K30" s="571"/>
      <c r="L30" s="571"/>
      <c r="M30" s="571"/>
      <c r="N30" s="571">
        <v>1</v>
      </c>
      <c r="O30" s="571">
        <v>350</v>
      </c>
      <c r="P30" s="557"/>
      <c r="Q30" s="572">
        <v>350</v>
      </c>
    </row>
    <row r="31" spans="1:17" ht="14.4" customHeight="1" x14ac:dyDescent="0.3">
      <c r="A31" s="551" t="s">
        <v>771</v>
      </c>
      <c r="B31" s="552" t="s">
        <v>678</v>
      </c>
      <c r="C31" s="552" t="s">
        <v>675</v>
      </c>
      <c r="D31" s="552" t="s">
        <v>698</v>
      </c>
      <c r="E31" s="552" t="s">
        <v>699</v>
      </c>
      <c r="F31" s="571">
        <v>7</v>
      </c>
      <c r="G31" s="571">
        <v>10052</v>
      </c>
      <c r="H31" s="571">
        <v>1</v>
      </c>
      <c r="I31" s="571">
        <v>1436</v>
      </c>
      <c r="J31" s="571">
        <v>1</v>
      </c>
      <c r="K31" s="571">
        <v>1448</v>
      </c>
      <c r="L31" s="571">
        <v>0.14405093513728612</v>
      </c>
      <c r="M31" s="571">
        <v>1448</v>
      </c>
      <c r="N31" s="571"/>
      <c r="O31" s="571"/>
      <c r="P31" s="557"/>
      <c r="Q31" s="572"/>
    </row>
    <row r="32" spans="1:17" ht="14.4" customHeight="1" x14ac:dyDescent="0.3">
      <c r="A32" s="551" t="s">
        <v>771</v>
      </c>
      <c r="B32" s="552" t="s">
        <v>730</v>
      </c>
      <c r="C32" s="552" t="s">
        <v>675</v>
      </c>
      <c r="D32" s="552" t="s">
        <v>733</v>
      </c>
      <c r="E32" s="552" t="s">
        <v>734</v>
      </c>
      <c r="F32" s="571">
        <v>1</v>
      </c>
      <c r="G32" s="571">
        <v>297</v>
      </c>
      <c r="H32" s="571">
        <v>1</v>
      </c>
      <c r="I32" s="571">
        <v>297</v>
      </c>
      <c r="J32" s="571"/>
      <c r="K32" s="571"/>
      <c r="L32" s="571"/>
      <c r="M32" s="571"/>
      <c r="N32" s="571"/>
      <c r="O32" s="571"/>
      <c r="P32" s="557"/>
      <c r="Q32" s="572"/>
    </row>
    <row r="33" spans="1:17" ht="14.4" customHeight="1" x14ac:dyDescent="0.3">
      <c r="A33" s="551" t="s">
        <v>771</v>
      </c>
      <c r="B33" s="552" t="s">
        <v>730</v>
      </c>
      <c r="C33" s="552" t="s">
        <v>675</v>
      </c>
      <c r="D33" s="552" t="s">
        <v>735</v>
      </c>
      <c r="E33" s="552" t="s">
        <v>736</v>
      </c>
      <c r="F33" s="571">
        <v>4</v>
      </c>
      <c r="G33" s="571">
        <v>4980</v>
      </c>
      <c r="H33" s="571">
        <v>1</v>
      </c>
      <c r="I33" s="571">
        <v>1245</v>
      </c>
      <c r="J33" s="571"/>
      <c r="K33" s="571"/>
      <c r="L33" s="571"/>
      <c r="M33" s="571"/>
      <c r="N33" s="571">
        <v>1</v>
      </c>
      <c r="O33" s="571">
        <v>1283</v>
      </c>
      <c r="P33" s="557">
        <v>0.25763052208835341</v>
      </c>
      <c r="Q33" s="572">
        <v>1283</v>
      </c>
    </row>
    <row r="34" spans="1:17" ht="14.4" customHeight="1" x14ac:dyDescent="0.3">
      <c r="A34" s="551" t="s">
        <v>771</v>
      </c>
      <c r="B34" s="552" t="s">
        <v>730</v>
      </c>
      <c r="C34" s="552" t="s">
        <v>675</v>
      </c>
      <c r="D34" s="552" t="s">
        <v>737</v>
      </c>
      <c r="E34" s="552" t="s">
        <v>738</v>
      </c>
      <c r="F34" s="571">
        <v>1</v>
      </c>
      <c r="G34" s="571">
        <v>9337</v>
      </c>
      <c r="H34" s="571">
        <v>1</v>
      </c>
      <c r="I34" s="571">
        <v>9337</v>
      </c>
      <c r="J34" s="571"/>
      <c r="K34" s="571"/>
      <c r="L34" s="571"/>
      <c r="M34" s="571"/>
      <c r="N34" s="571"/>
      <c r="O34" s="571"/>
      <c r="P34" s="557"/>
      <c r="Q34" s="572"/>
    </row>
    <row r="35" spans="1:17" ht="14.4" customHeight="1" x14ac:dyDescent="0.3">
      <c r="A35" s="551" t="s">
        <v>771</v>
      </c>
      <c r="B35" s="552" t="s">
        <v>730</v>
      </c>
      <c r="C35" s="552" t="s">
        <v>675</v>
      </c>
      <c r="D35" s="552" t="s">
        <v>749</v>
      </c>
      <c r="E35" s="552" t="s">
        <v>750</v>
      </c>
      <c r="F35" s="571">
        <v>1</v>
      </c>
      <c r="G35" s="571">
        <v>6514</v>
      </c>
      <c r="H35" s="571">
        <v>1</v>
      </c>
      <c r="I35" s="571">
        <v>6514</v>
      </c>
      <c r="J35" s="571"/>
      <c r="K35" s="571"/>
      <c r="L35" s="571"/>
      <c r="M35" s="571"/>
      <c r="N35" s="571"/>
      <c r="O35" s="571"/>
      <c r="P35" s="557"/>
      <c r="Q35" s="572"/>
    </row>
    <row r="36" spans="1:17" ht="14.4" customHeight="1" x14ac:dyDescent="0.3">
      <c r="A36" s="551" t="s">
        <v>771</v>
      </c>
      <c r="B36" s="552" t="s">
        <v>730</v>
      </c>
      <c r="C36" s="552" t="s">
        <v>675</v>
      </c>
      <c r="D36" s="552" t="s">
        <v>751</v>
      </c>
      <c r="E36" s="552" t="s">
        <v>752</v>
      </c>
      <c r="F36" s="571"/>
      <c r="G36" s="571"/>
      <c r="H36" s="571"/>
      <c r="I36" s="571"/>
      <c r="J36" s="571"/>
      <c r="K36" s="571"/>
      <c r="L36" s="571"/>
      <c r="M36" s="571"/>
      <c r="N36" s="571">
        <v>1</v>
      </c>
      <c r="O36" s="571">
        <v>3559</v>
      </c>
      <c r="P36" s="557"/>
      <c r="Q36" s="572">
        <v>3559</v>
      </c>
    </row>
    <row r="37" spans="1:17" ht="14.4" customHeight="1" x14ac:dyDescent="0.3">
      <c r="A37" s="551" t="s">
        <v>771</v>
      </c>
      <c r="B37" s="552" t="s">
        <v>730</v>
      </c>
      <c r="C37" s="552" t="s">
        <v>675</v>
      </c>
      <c r="D37" s="552" t="s">
        <v>757</v>
      </c>
      <c r="E37" s="552" t="s">
        <v>758</v>
      </c>
      <c r="F37" s="571">
        <v>1</v>
      </c>
      <c r="G37" s="571">
        <v>1020</v>
      </c>
      <c r="H37" s="571">
        <v>1</v>
      </c>
      <c r="I37" s="571">
        <v>1020</v>
      </c>
      <c r="J37" s="571"/>
      <c r="K37" s="571"/>
      <c r="L37" s="571"/>
      <c r="M37" s="571"/>
      <c r="N37" s="571"/>
      <c r="O37" s="571"/>
      <c r="P37" s="557"/>
      <c r="Q37" s="572"/>
    </row>
    <row r="38" spans="1:17" ht="14.4" customHeight="1" x14ac:dyDescent="0.3">
      <c r="A38" s="551" t="s">
        <v>772</v>
      </c>
      <c r="B38" s="552" t="s">
        <v>678</v>
      </c>
      <c r="C38" s="552" t="s">
        <v>675</v>
      </c>
      <c r="D38" s="552" t="s">
        <v>696</v>
      </c>
      <c r="E38" s="552" t="s">
        <v>697</v>
      </c>
      <c r="F38" s="571">
        <v>1</v>
      </c>
      <c r="G38" s="571">
        <v>0</v>
      </c>
      <c r="H38" s="571"/>
      <c r="I38" s="571">
        <v>0</v>
      </c>
      <c r="J38" s="571"/>
      <c r="K38" s="571"/>
      <c r="L38" s="571"/>
      <c r="M38" s="571"/>
      <c r="N38" s="571"/>
      <c r="O38" s="571"/>
      <c r="P38" s="557"/>
      <c r="Q38" s="572"/>
    </row>
    <row r="39" spans="1:17" ht="14.4" customHeight="1" x14ac:dyDescent="0.3">
      <c r="A39" s="551" t="s">
        <v>772</v>
      </c>
      <c r="B39" s="552" t="s">
        <v>678</v>
      </c>
      <c r="C39" s="552" t="s">
        <v>675</v>
      </c>
      <c r="D39" s="552" t="s">
        <v>698</v>
      </c>
      <c r="E39" s="552" t="s">
        <v>699</v>
      </c>
      <c r="F39" s="571">
        <v>4</v>
      </c>
      <c r="G39" s="571">
        <v>5744</v>
      </c>
      <c r="H39" s="571">
        <v>1</v>
      </c>
      <c r="I39" s="571">
        <v>1436</v>
      </c>
      <c r="J39" s="571"/>
      <c r="K39" s="571"/>
      <c r="L39" s="571"/>
      <c r="M39" s="571"/>
      <c r="N39" s="571">
        <v>2</v>
      </c>
      <c r="O39" s="571">
        <v>3038</v>
      </c>
      <c r="P39" s="557">
        <v>0.52889972144846797</v>
      </c>
      <c r="Q39" s="572">
        <v>1519</v>
      </c>
    </row>
    <row r="40" spans="1:17" ht="14.4" customHeight="1" x14ac:dyDescent="0.3">
      <c r="A40" s="551" t="s">
        <v>772</v>
      </c>
      <c r="B40" s="552" t="s">
        <v>730</v>
      </c>
      <c r="C40" s="552" t="s">
        <v>675</v>
      </c>
      <c r="D40" s="552" t="s">
        <v>735</v>
      </c>
      <c r="E40" s="552" t="s">
        <v>736</v>
      </c>
      <c r="F40" s="571">
        <v>5</v>
      </c>
      <c r="G40" s="571">
        <v>6225</v>
      </c>
      <c r="H40" s="571">
        <v>1</v>
      </c>
      <c r="I40" s="571">
        <v>1245</v>
      </c>
      <c r="J40" s="571">
        <v>1</v>
      </c>
      <c r="K40" s="571">
        <v>1268</v>
      </c>
      <c r="L40" s="571">
        <v>0.20369477911646586</v>
      </c>
      <c r="M40" s="571">
        <v>1268</v>
      </c>
      <c r="N40" s="571">
        <v>4</v>
      </c>
      <c r="O40" s="571">
        <v>5132</v>
      </c>
      <c r="P40" s="557">
        <v>0.82441767068273097</v>
      </c>
      <c r="Q40" s="572">
        <v>1283</v>
      </c>
    </row>
    <row r="41" spans="1:17" ht="14.4" customHeight="1" x14ac:dyDescent="0.3">
      <c r="A41" s="551" t="s">
        <v>773</v>
      </c>
      <c r="B41" s="552" t="s">
        <v>678</v>
      </c>
      <c r="C41" s="552" t="s">
        <v>675</v>
      </c>
      <c r="D41" s="552" t="s">
        <v>688</v>
      </c>
      <c r="E41" s="552" t="s">
        <v>689</v>
      </c>
      <c r="F41" s="571"/>
      <c r="G41" s="571"/>
      <c r="H41" s="571"/>
      <c r="I41" s="571"/>
      <c r="J41" s="571"/>
      <c r="K41" s="571"/>
      <c r="L41" s="571"/>
      <c r="M41" s="571"/>
      <c r="N41" s="571">
        <v>1</v>
      </c>
      <c r="O41" s="571">
        <v>2478</v>
      </c>
      <c r="P41" s="557"/>
      <c r="Q41" s="572">
        <v>2478</v>
      </c>
    </row>
    <row r="42" spans="1:17" ht="14.4" customHeight="1" thickBot="1" x14ac:dyDescent="0.35">
      <c r="A42" s="543" t="s">
        <v>773</v>
      </c>
      <c r="B42" s="544" t="s">
        <v>678</v>
      </c>
      <c r="C42" s="544" t="s">
        <v>675</v>
      </c>
      <c r="D42" s="544" t="s">
        <v>698</v>
      </c>
      <c r="E42" s="544" t="s">
        <v>699</v>
      </c>
      <c r="F42" s="563">
        <v>1</v>
      </c>
      <c r="G42" s="563">
        <v>1436</v>
      </c>
      <c r="H42" s="563">
        <v>1</v>
      </c>
      <c r="I42" s="563">
        <v>1436</v>
      </c>
      <c r="J42" s="563"/>
      <c r="K42" s="563"/>
      <c r="L42" s="563"/>
      <c r="M42" s="563"/>
      <c r="N42" s="563"/>
      <c r="O42" s="563"/>
      <c r="P42" s="549"/>
      <c r="Q42" s="56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256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2014</v>
      </c>
      <c r="C3" s="40">
        <v>2015</v>
      </c>
      <c r="D3" s="7"/>
      <c r="E3" s="331">
        <v>2016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12.069890000000001</v>
      </c>
      <c r="C5" s="29">
        <v>4.7029200000000007</v>
      </c>
      <c r="D5" s="8"/>
      <c r="E5" s="117">
        <v>4.7589100000000002</v>
      </c>
      <c r="F5" s="28">
        <v>10.166669469165832</v>
      </c>
      <c r="G5" s="116">
        <f>E5-F5</f>
        <v>-5.4077594691658319</v>
      </c>
      <c r="H5" s="122">
        <f>IF(F5&lt;0.00000001,"",E5/F5)</f>
        <v>0.46808937916523663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309.68870000000101</v>
      </c>
      <c r="C6" s="31">
        <v>234.33208999999999</v>
      </c>
      <c r="D6" s="8"/>
      <c r="E6" s="118">
        <v>802.26493000000005</v>
      </c>
      <c r="F6" s="30">
        <v>796.84715298870913</v>
      </c>
      <c r="G6" s="119">
        <f>E6-F6</f>
        <v>5.4177770112909229</v>
      </c>
      <c r="H6" s="123">
        <f>IF(F6&lt;0.00000001,"",E6/F6)</f>
        <v>1.0067990165880252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2327.6048400000063</v>
      </c>
      <c r="C7" s="31">
        <v>1922.049100000002</v>
      </c>
      <c r="D7" s="8"/>
      <c r="E7" s="118">
        <v>2574.4253200000003</v>
      </c>
      <c r="F7" s="30">
        <v>2483.5006845908815</v>
      </c>
      <c r="G7" s="119">
        <f>E7-F7</f>
        <v>90.924635409118764</v>
      </c>
      <c r="H7" s="123">
        <f>IF(F7&lt;0.00000001,"",E7/F7)</f>
        <v>1.0366114799054695</v>
      </c>
    </row>
    <row r="8" spans="1:8" ht="14.4" customHeight="1" thickBot="1" x14ac:dyDescent="0.35">
      <c r="A8" s="1" t="s">
        <v>76</v>
      </c>
      <c r="B8" s="11">
        <v>687.53360000000089</v>
      </c>
      <c r="C8" s="33">
        <v>558.80260000000192</v>
      </c>
      <c r="D8" s="8"/>
      <c r="E8" s="120">
        <v>831.00689000000034</v>
      </c>
      <c r="F8" s="32">
        <v>580.65093153686041</v>
      </c>
      <c r="G8" s="121">
        <f>E8-F8</f>
        <v>250.35595846313993</v>
      </c>
      <c r="H8" s="124">
        <f>IF(F8&lt;0.00000001,"",E8/F8)</f>
        <v>1.4311643103723275</v>
      </c>
    </row>
    <row r="9" spans="1:8" ht="14.4" customHeight="1" thickBot="1" x14ac:dyDescent="0.35">
      <c r="A9" s="2" t="s">
        <v>77</v>
      </c>
      <c r="B9" s="3">
        <v>3336.8970300000083</v>
      </c>
      <c r="C9" s="35">
        <v>2719.8867100000039</v>
      </c>
      <c r="D9" s="8"/>
      <c r="E9" s="3">
        <v>4212.4560500000007</v>
      </c>
      <c r="F9" s="34">
        <v>3871.1654385856168</v>
      </c>
      <c r="G9" s="34">
        <f>E9-F9</f>
        <v>341.29061141438387</v>
      </c>
      <c r="H9" s="125">
        <f>IF(F9&lt;0.00000001,"",E9/F9)</f>
        <v>1.0881622386924077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7910.8379999999997</v>
      </c>
      <c r="C11" s="29">
        <f>IF(ISERROR(VLOOKUP("Celkem:",'ZV Vykáz.-A'!A:F,4,0)),0,VLOOKUP("Celkem:",'ZV Vykáz.-A'!A:F,4,0)/1000)</f>
        <v>7177.7219999999998</v>
      </c>
      <c r="D11" s="8"/>
      <c r="E11" s="117">
        <f>IF(ISERROR(VLOOKUP("Celkem:",'ZV Vykáz.-A'!A:F,6,0)),0,VLOOKUP("Celkem:",'ZV Vykáz.-A'!A:F,6,0)/1000)</f>
        <v>19647.787829999997</v>
      </c>
      <c r="F11" s="28">
        <f>B11</f>
        <v>7910.8379999999997</v>
      </c>
      <c r="G11" s="116">
        <f>E11-F11</f>
        <v>11736.949829999998</v>
      </c>
      <c r="H11" s="122">
        <f>IF(F11&lt;0.00000001,"",E11/F11)</f>
        <v>2.4836544282666386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7910.8379999999997</v>
      </c>
      <c r="C13" s="37">
        <f>SUM(C11:C12)</f>
        <v>7177.7219999999998</v>
      </c>
      <c r="D13" s="8"/>
      <c r="E13" s="5">
        <f>SUM(E11:E12)</f>
        <v>19647.787829999997</v>
      </c>
      <c r="F13" s="36">
        <f>SUM(F11:F12)</f>
        <v>7910.8379999999997</v>
      </c>
      <c r="G13" s="36">
        <f>E13-F13</f>
        <v>11736.949829999998</v>
      </c>
      <c r="H13" s="126">
        <f>IF(F13&lt;0.00000001,"",E13/F13)</f>
        <v>2.4836544282666386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2.3707168452842491</v>
      </c>
      <c r="C15" s="39">
        <f>IF(C9=0,"",C13/C9)</f>
        <v>2.6389782977394636</v>
      </c>
      <c r="D15" s="8"/>
      <c r="E15" s="6">
        <f>IF(E9=0,"",E13/E9)</f>
        <v>4.6642119459026743</v>
      </c>
      <c r="F15" s="38">
        <f>IF(F9=0,"",F13/F9)</f>
        <v>2.0435287836446308</v>
      </c>
      <c r="G15" s="38">
        <f>IF(ISERROR(F15-E15),"",E15-F15)</f>
        <v>2.6206831622580435</v>
      </c>
      <c r="H15" s="127">
        <f>IF(ISERROR(F15-E15),"",IF(F15&lt;0.00000001,"",E15/F15))</f>
        <v>2.2824302663278657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196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195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223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255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256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5.2411676108528056</v>
      </c>
      <c r="C4" s="201">
        <f t="shared" ref="C4:M4" si="0">(C10+C8)/C6</f>
        <v>4.6642119316592039</v>
      </c>
      <c r="D4" s="201">
        <f t="shared" si="0"/>
        <v>4.6642119316592039</v>
      </c>
      <c r="E4" s="201">
        <f t="shared" si="0"/>
        <v>4.6642119316592039</v>
      </c>
      <c r="F4" s="201">
        <f t="shared" si="0"/>
        <v>4.6642119316592039</v>
      </c>
      <c r="G4" s="201">
        <f t="shared" si="0"/>
        <v>4.6642119316592039</v>
      </c>
      <c r="H4" s="201">
        <f t="shared" si="0"/>
        <v>4.6642119316592039</v>
      </c>
      <c r="I4" s="201">
        <f t="shared" si="0"/>
        <v>4.6642119316592039</v>
      </c>
      <c r="J4" s="201">
        <f t="shared" si="0"/>
        <v>4.6642119316592039</v>
      </c>
      <c r="K4" s="201">
        <f t="shared" si="0"/>
        <v>4.6642119316592039</v>
      </c>
      <c r="L4" s="201">
        <f t="shared" si="0"/>
        <v>4.6642119316592039</v>
      </c>
      <c r="M4" s="201">
        <f t="shared" si="0"/>
        <v>4.6642119316592039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2173.1096400000001</v>
      </c>
      <c r="C5" s="201">
        <f>IF(ISERROR(VLOOKUP($A5,'Man Tab'!$A:$Q,COLUMN()+2,0)),0,VLOOKUP($A5,'Man Tab'!$A:$Q,COLUMN()+2,0))</f>
        <v>2039.3464100000001</v>
      </c>
      <c r="D5" s="201">
        <f>IF(ISERROR(VLOOKUP($A5,'Man Tab'!$A:$Q,COLUMN()+2,0)),0,VLOOKUP($A5,'Man Tab'!$A:$Q,COLUMN()+2,0))</f>
        <v>0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2173.1096400000001</v>
      </c>
      <c r="C6" s="203">
        <f t="shared" ref="C6:M6" si="1">C5+B6</f>
        <v>4212.4560500000007</v>
      </c>
      <c r="D6" s="203">
        <f t="shared" si="1"/>
        <v>4212.4560500000007</v>
      </c>
      <c r="E6" s="203">
        <f t="shared" si="1"/>
        <v>4212.4560500000007</v>
      </c>
      <c r="F6" s="203">
        <f t="shared" si="1"/>
        <v>4212.4560500000007</v>
      </c>
      <c r="G6" s="203">
        <f t="shared" si="1"/>
        <v>4212.4560500000007</v>
      </c>
      <c r="H6" s="203">
        <f t="shared" si="1"/>
        <v>4212.4560500000007</v>
      </c>
      <c r="I6" s="203">
        <f t="shared" si="1"/>
        <v>4212.4560500000007</v>
      </c>
      <c r="J6" s="203">
        <f t="shared" si="1"/>
        <v>4212.4560500000007</v>
      </c>
      <c r="K6" s="203">
        <f t="shared" si="1"/>
        <v>4212.4560500000007</v>
      </c>
      <c r="L6" s="203">
        <f t="shared" si="1"/>
        <v>4212.4560500000007</v>
      </c>
      <c r="M6" s="203">
        <f t="shared" si="1"/>
        <v>4212.4560500000007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11389631.860000001</v>
      </c>
      <c r="C9" s="202">
        <v>8258155.9100000001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11389.631860000001</v>
      </c>
      <c r="C10" s="203">
        <f t="shared" ref="C10:M10" si="3">C9/1000+B10</f>
        <v>19647.787770000003</v>
      </c>
      <c r="D10" s="203">
        <f t="shared" si="3"/>
        <v>19647.787770000003</v>
      </c>
      <c r="E10" s="203">
        <f t="shared" si="3"/>
        <v>19647.787770000003</v>
      </c>
      <c r="F10" s="203">
        <f t="shared" si="3"/>
        <v>19647.787770000003</v>
      </c>
      <c r="G10" s="203">
        <f t="shared" si="3"/>
        <v>19647.787770000003</v>
      </c>
      <c r="H10" s="203">
        <f t="shared" si="3"/>
        <v>19647.787770000003</v>
      </c>
      <c r="I10" s="203">
        <f t="shared" si="3"/>
        <v>19647.787770000003</v>
      </c>
      <c r="J10" s="203">
        <f t="shared" si="3"/>
        <v>19647.787770000003</v>
      </c>
      <c r="K10" s="203">
        <f t="shared" si="3"/>
        <v>19647.787770000003</v>
      </c>
      <c r="L10" s="203">
        <f t="shared" si="3"/>
        <v>19647.787770000003</v>
      </c>
      <c r="M10" s="203">
        <f t="shared" si="3"/>
        <v>19647.787770000003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2.0435287836446308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2.0435287836446308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258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256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235</v>
      </c>
      <c r="E4" s="129" t="s">
        <v>236</v>
      </c>
      <c r="F4" s="129" t="s">
        <v>237</v>
      </c>
      <c r="G4" s="129" t="s">
        <v>238</v>
      </c>
      <c r="H4" s="129" t="s">
        <v>239</v>
      </c>
      <c r="I4" s="129" t="s">
        <v>240</v>
      </c>
      <c r="J4" s="129" t="s">
        <v>241</v>
      </c>
      <c r="K4" s="129" t="s">
        <v>242</v>
      </c>
      <c r="L4" s="129" t="s">
        <v>243</v>
      </c>
      <c r="M4" s="129" t="s">
        <v>244</v>
      </c>
      <c r="N4" s="129" t="s">
        <v>245</v>
      </c>
      <c r="O4" s="129" t="s">
        <v>246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257</v>
      </c>
    </row>
    <row r="7" spans="1:17" ht="14.4" customHeight="1" x14ac:dyDescent="0.3">
      <c r="A7" s="15" t="s">
        <v>35</v>
      </c>
      <c r="B7" s="51">
        <v>61.000016814996002</v>
      </c>
      <c r="C7" s="52">
        <v>5.0833347345829996</v>
      </c>
      <c r="D7" s="52">
        <v>1.6717</v>
      </c>
      <c r="E7" s="52">
        <v>3.0872099999999998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4.7589100000000002</v>
      </c>
      <c r="Q7" s="95">
        <v>0.46808937916499999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257</v>
      </c>
    </row>
    <row r="9" spans="1:17" ht="14.4" customHeight="1" x14ac:dyDescent="0.3">
      <c r="A9" s="15" t="s">
        <v>37</v>
      </c>
      <c r="B9" s="51">
        <v>4781.08291793226</v>
      </c>
      <c r="C9" s="52">
        <v>398.42357649435502</v>
      </c>
      <c r="D9" s="52">
        <v>345.26886000000002</v>
      </c>
      <c r="E9" s="52">
        <v>456.99606999999997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802.26493000000005</v>
      </c>
      <c r="Q9" s="95">
        <v>1.0067990165880001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257</v>
      </c>
    </row>
    <row r="11" spans="1:17" ht="14.4" customHeight="1" x14ac:dyDescent="0.3">
      <c r="A11" s="15" t="s">
        <v>39</v>
      </c>
      <c r="B11" s="51">
        <v>106.684766798358</v>
      </c>
      <c r="C11" s="52">
        <v>8.8903972331959995</v>
      </c>
      <c r="D11" s="52">
        <v>6.24078</v>
      </c>
      <c r="E11" s="52">
        <v>9.4363200000000003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15.677099999999999</v>
      </c>
      <c r="Q11" s="95">
        <v>0.88168726260399999</v>
      </c>
    </row>
    <row r="12" spans="1:17" ht="14.4" customHeight="1" x14ac:dyDescent="0.3">
      <c r="A12" s="15" t="s">
        <v>40</v>
      </c>
      <c r="B12" s="51">
        <v>12.511811127562</v>
      </c>
      <c r="C12" s="52">
        <v>1.0426509272960001</v>
      </c>
      <c r="D12" s="52">
        <v>0</v>
      </c>
      <c r="E12" s="52">
        <v>0.71799999999999997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0.71799999999999997</v>
      </c>
      <c r="Q12" s="95">
        <v>0.344314660449</v>
      </c>
    </row>
    <row r="13" spans="1:17" ht="14.4" customHeight="1" x14ac:dyDescent="0.3">
      <c r="A13" s="15" t="s">
        <v>41</v>
      </c>
      <c r="B13" s="51">
        <v>5.0620275451259999</v>
      </c>
      <c r="C13" s="52">
        <v>0.42183562876000003</v>
      </c>
      <c r="D13" s="52">
        <v>1.16581</v>
      </c>
      <c r="E13" s="52">
        <v>2.9294899999999999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4.0952999999999999</v>
      </c>
      <c r="Q13" s="95">
        <v>4.8541418988630003</v>
      </c>
    </row>
    <row r="14" spans="1:17" ht="14.4" customHeight="1" x14ac:dyDescent="0.3">
      <c r="A14" s="15" t="s">
        <v>42</v>
      </c>
      <c r="B14" s="51">
        <v>165.922474938156</v>
      </c>
      <c r="C14" s="52">
        <v>13.826872911513</v>
      </c>
      <c r="D14" s="52">
        <v>21.013999999999999</v>
      </c>
      <c r="E14" s="52">
        <v>16.152999999999999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37.167000000000002</v>
      </c>
      <c r="Q14" s="95">
        <v>1.344013221133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257</v>
      </c>
    </row>
    <row r="17" spans="1:17" ht="14.4" customHeight="1" x14ac:dyDescent="0.3">
      <c r="A17" s="15" t="s">
        <v>45</v>
      </c>
      <c r="B17" s="51">
        <v>89.623315966375998</v>
      </c>
      <c r="C17" s="52">
        <v>7.468609663864</v>
      </c>
      <c r="D17" s="52">
        <v>270.37155000000001</v>
      </c>
      <c r="E17" s="52">
        <v>9.8315599999999996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280.20310999999998</v>
      </c>
      <c r="Q17" s="95">
        <v>18.758719668782</v>
      </c>
    </row>
    <row r="18" spans="1:17" ht="14.4" customHeight="1" x14ac:dyDescent="0.3">
      <c r="A18" s="15" t="s">
        <v>46</v>
      </c>
      <c r="B18" s="51">
        <v>14.483821636890999</v>
      </c>
      <c r="C18" s="52">
        <v>1.2069851364069999</v>
      </c>
      <c r="D18" s="52">
        <v>5.7309999999999999</v>
      </c>
      <c r="E18" s="52">
        <v>5.5369999999999999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11.268000000000001</v>
      </c>
      <c r="Q18" s="95">
        <v>4.6678288158279999</v>
      </c>
    </row>
    <row r="19" spans="1:17" ht="14.4" customHeight="1" x14ac:dyDescent="0.3">
      <c r="A19" s="15" t="s">
        <v>47</v>
      </c>
      <c r="B19" s="51">
        <v>1139.0059012478</v>
      </c>
      <c r="C19" s="52">
        <v>94.917158437316004</v>
      </c>
      <c r="D19" s="52">
        <v>61.320680000000003</v>
      </c>
      <c r="E19" s="52">
        <v>55.748699999999999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117.06938</v>
      </c>
      <c r="Q19" s="95">
        <v>0.61669239749299998</v>
      </c>
    </row>
    <row r="20" spans="1:17" ht="14.4" customHeight="1" x14ac:dyDescent="0.3">
      <c r="A20" s="15" t="s">
        <v>48</v>
      </c>
      <c r="B20" s="51">
        <v>14901.004107545299</v>
      </c>
      <c r="C20" s="52">
        <v>1241.7503422954401</v>
      </c>
      <c r="D20" s="52">
        <v>1276.32026</v>
      </c>
      <c r="E20" s="52">
        <v>1298.1050600000001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2574.4253199999998</v>
      </c>
      <c r="Q20" s="95">
        <v>1.0366114799049999</v>
      </c>
    </row>
    <row r="21" spans="1:17" ht="14.4" customHeight="1" x14ac:dyDescent="0.3">
      <c r="A21" s="16" t="s">
        <v>49</v>
      </c>
      <c r="B21" s="51">
        <v>1781.00444294717</v>
      </c>
      <c r="C21" s="52">
        <v>148.417036912264</v>
      </c>
      <c r="D21" s="52">
        <v>175.10400000000001</v>
      </c>
      <c r="E21" s="52">
        <v>175.10400000000001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350.20800000000003</v>
      </c>
      <c r="Q21" s="95">
        <v>1.1798106446729999</v>
      </c>
    </row>
    <row r="22" spans="1:17" ht="14.4" customHeight="1" x14ac:dyDescent="0.3">
      <c r="A22" s="15" t="s">
        <v>50</v>
      </c>
      <c r="B22" s="51">
        <v>44.888148602816997</v>
      </c>
      <c r="C22" s="52">
        <v>3.7406790502340002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>
        <v>0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257</v>
      </c>
    </row>
    <row r="24" spans="1:17" ht="14.4" customHeight="1" x14ac:dyDescent="0.3">
      <c r="A24" s="16" t="s">
        <v>52</v>
      </c>
      <c r="B24" s="51">
        <v>124.71887841092</v>
      </c>
      <c r="C24" s="52">
        <v>10.393239867577</v>
      </c>
      <c r="D24" s="52">
        <v>8.9009999999999998</v>
      </c>
      <c r="E24" s="52">
        <v>5.7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14.601000000000001</v>
      </c>
      <c r="Q24" s="95">
        <v>0.70242774082100001</v>
      </c>
    </row>
    <row r="25" spans="1:17" ht="14.4" customHeight="1" x14ac:dyDescent="0.3">
      <c r="A25" s="17" t="s">
        <v>53</v>
      </c>
      <c r="B25" s="54">
        <v>23226.992631513702</v>
      </c>
      <c r="C25" s="55">
        <v>1935.58271929281</v>
      </c>
      <c r="D25" s="55">
        <v>2173.1096400000001</v>
      </c>
      <c r="E25" s="55">
        <v>2039.3464100000001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4212.4560499999998</v>
      </c>
      <c r="Q25" s="96">
        <v>1.088162238692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202.50352000000001</v>
      </c>
      <c r="E26" s="52">
        <v>190.32977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392.83328999999998</v>
      </c>
      <c r="Q26" s="95" t="s">
        <v>257</v>
      </c>
    </row>
    <row r="27" spans="1:17" ht="14.4" customHeight="1" x14ac:dyDescent="0.3">
      <c r="A27" s="18" t="s">
        <v>55</v>
      </c>
      <c r="B27" s="54">
        <v>23226.992631513702</v>
      </c>
      <c r="C27" s="55">
        <v>1935.58271929281</v>
      </c>
      <c r="D27" s="55">
        <v>2375.6131599999999</v>
      </c>
      <c r="E27" s="55">
        <v>2229.6761799999999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4605.2893400000003</v>
      </c>
      <c r="Q27" s="96">
        <v>1.1896389893579999</v>
      </c>
    </row>
    <row r="28" spans="1:17" ht="14.4" customHeight="1" x14ac:dyDescent="0.3">
      <c r="A28" s="16" t="s">
        <v>56</v>
      </c>
      <c r="B28" s="51">
        <v>37.225029770150996</v>
      </c>
      <c r="C28" s="52">
        <v>3.102085814179</v>
      </c>
      <c r="D28" s="52">
        <v>0</v>
      </c>
      <c r="E28" s="52">
        <v>6.4428000000000001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6.4428000000000001</v>
      </c>
      <c r="Q28" s="95">
        <v>1.0384625677579999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256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252</v>
      </c>
      <c r="G4" s="346" t="s">
        <v>64</v>
      </c>
      <c r="H4" s="141" t="s">
        <v>142</v>
      </c>
      <c r="I4" s="344" t="s">
        <v>65</v>
      </c>
      <c r="J4" s="346" t="s">
        <v>226</v>
      </c>
      <c r="K4" s="347" t="s">
        <v>254</v>
      </c>
    </row>
    <row r="5" spans="1:11" ht="42" thickBot="1" x14ac:dyDescent="0.35">
      <c r="A5" s="78"/>
      <c r="B5" s="24" t="s">
        <v>248</v>
      </c>
      <c r="C5" s="25" t="s">
        <v>249</v>
      </c>
      <c r="D5" s="26" t="s">
        <v>250</v>
      </c>
      <c r="E5" s="26" t="s">
        <v>251</v>
      </c>
      <c r="F5" s="345"/>
      <c r="G5" s="345"/>
      <c r="H5" s="25" t="s">
        <v>253</v>
      </c>
      <c r="I5" s="345"/>
      <c r="J5" s="345"/>
      <c r="K5" s="348"/>
    </row>
    <row r="6" spans="1:11" ht="14.4" customHeight="1" thickBot="1" x14ac:dyDescent="0.35">
      <c r="A6" s="436" t="s">
        <v>259</v>
      </c>
      <c r="B6" s="418">
        <v>24197.966125663199</v>
      </c>
      <c r="C6" s="418">
        <v>22753.44685</v>
      </c>
      <c r="D6" s="419">
        <v>-1444.51927566316</v>
      </c>
      <c r="E6" s="420">
        <v>0.94030410373399997</v>
      </c>
      <c r="F6" s="418">
        <v>23226.992631513702</v>
      </c>
      <c r="G6" s="419">
        <v>3871.16543858562</v>
      </c>
      <c r="H6" s="421">
        <v>2039.3464100000001</v>
      </c>
      <c r="I6" s="418">
        <v>4212.4560499999998</v>
      </c>
      <c r="J6" s="419">
        <v>341.29061141438098</v>
      </c>
      <c r="K6" s="422">
        <v>0.181360373115</v>
      </c>
    </row>
    <row r="7" spans="1:11" ht="14.4" customHeight="1" thickBot="1" x14ac:dyDescent="0.35">
      <c r="A7" s="437" t="s">
        <v>260</v>
      </c>
      <c r="B7" s="418">
        <v>5162.2433157994901</v>
      </c>
      <c r="C7" s="418">
        <v>4678.3153700000003</v>
      </c>
      <c r="D7" s="419">
        <v>-483.92794579949401</v>
      </c>
      <c r="E7" s="420">
        <v>0.90625626957200001</v>
      </c>
      <c r="F7" s="418">
        <v>5132.2640151564601</v>
      </c>
      <c r="G7" s="419">
        <v>855.37733585940998</v>
      </c>
      <c r="H7" s="421">
        <v>489.32008999999999</v>
      </c>
      <c r="I7" s="418">
        <v>864.68223999999998</v>
      </c>
      <c r="J7" s="419">
        <v>9.3049041405900006</v>
      </c>
      <c r="K7" s="422">
        <v>0.16847968799800001</v>
      </c>
    </row>
    <row r="8" spans="1:11" ht="14.4" customHeight="1" thickBot="1" x14ac:dyDescent="0.35">
      <c r="A8" s="438" t="s">
        <v>261</v>
      </c>
      <c r="B8" s="418">
        <v>4983.6316392393701</v>
      </c>
      <c r="C8" s="418">
        <v>4509.4423699999998</v>
      </c>
      <c r="D8" s="419">
        <v>-474.18926923936698</v>
      </c>
      <c r="E8" s="420">
        <v>0.90485065840199996</v>
      </c>
      <c r="F8" s="418">
        <v>4966.3415402183</v>
      </c>
      <c r="G8" s="419">
        <v>827.72359003638405</v>
      </c>
      <c r="H8" s="421">
        <v>473.16708999999997</v>
      </c>
      <c r="I8" s="418">
        <v>827.51523999999995</v>
      </c>
      <c r="J8" s="419">
        <v>-0.20835003638300001</v>
      </c>
      <c r="K8" s="422">
        <v>0.16662471424799999</v>
      </c>
    </row>
    <row r="9" spans="1:11" ht="14.4" customHeight="1" thickBot="1" x14ac:dyDescent="0.35">
      <c r="A9" s="439" t="s">
        <v>262</v>
      </c>
      <c r="B9" s="423">
        <v>0</v>
      </c>
      <c r="C9" s="423">
        <v>-8.6999999900000001E-4</v>
      </c>
      <c r="D9" s="424">
        <v>-8.6999999900000001E-4</v>
      </c>
      <c r="E9" s="425" t="s">
        <v>257</v>
      </c>
      <c r="F9" s="423">
        <v>0</v>
      </c>
      <c r="G9" s="424">
        <v>0</v>
      </c>
      <c r="H9" s="426">
        <v>0</v>
      </c>
      <c r="I9" s="423">
        <v>1E-3</v>
      </c>
      <c r="J9" s="424">
        <v>1E-3</v>
      </c>
      <c r="K9" s="427" t="s">
        <v>257</v>
      </c>
    </row>
    <row r="10" spans="1:11" ht="14.4" customHeight="1" thickBot="1" x14ac:dyDescent="0.35">
      <c r="A10" s="440" t="s">
        <v>263</v>
      </c>
      <c r="B10" s="418">
        <v>0</v>
      </c>
      <c r="C10" s="418">
        <v>-8.6999999900000001E-4</v>
      </c>
      <c r="D10" s="419">
        <v>-8.6999999900000001E-4</v>
      </c>
      <c r="E10" s="428" t="s">
        <v>257</v>
      </c>
      <c r="F10" s="418">
        <v>0</v>
      </c>
      <c r="G10" s="419">
        <v>0</v>
      </c>
      <c r="H10" s="421">
        <v>0</v>
      </c>
      <c r="I10" s="418">
        <v>1E-3</v>
      </c>
      <c r="J10" s="419">
        <v>1E-3</v>
      </c>
      <c r="K10" s="429" t="s">
        <v>257</v>
      </c>
    </row>
    <row r="11" spans="1:11" ht="14.4" customHeight="1" thickBot="1" x14ac:dyDescent="0.35">
      <c r="A11" s="439" t="s">
        <v>264</v>
      </c>
      <c r="B11" s="423">
        <v>60.981866140012002</v>
      </c>
      <c r="C11" s="423">
        <v>29.976089999999999</v>
      </c>
      <c r="D11" s="424">
        <v>-31.005776140011999</v>
      </c>
      <c r="E11" s="430">
        <v>0.49155743989799999</v>
      </c>
      <c r="F11" s="423">
        <v>61.000016814996002</v>
      </c>
      <c r="G11" s="424">
        <v>10.166669469165999</v>
      </c>
      <c r="H11" s="426">
        <v>3.0872099999999998</v>
      </c>
      <c r="I11" s="423">
        <v>4.7589100000000002</v>
      </c>
      <c r="J11" s="424">
        <v>-5.4077594691649997</v>
      </c>
      <c r="K11" s="431">
        <v>7.8014896526999999E-2</v>
      </c>
    </row>
    <row r="12" spans="1:11" ht="14.4" customHeight="1" thickBot="1" x14ac:dyDescent="0.35">
      <c r="A12" s="440" t="s">
        <v>265</v>
      </c>
      <c r="B12" s="418">
        <v>59.304480578320998</v>
      </c>
      <c r="C12" s="418">
        <v>28.08849</v>
      </c>
      <c r="D12" s="419">
        <v>-31.215990578321001</v>
      </c>
      <c r="E12" s="420">
        <v>0.47363183567299999</v>
      </c>
      <c r="F12" s="418">
        <v>59.000016263684003</v>
      </c>
      <c r="G12" s="419">
        <v>9.8333360439469999</v>
      </c>
      <c r="H12" s="421">
        <v>2.89669</v>
      </c>
      <c r="I12" s="418">
        <v>4.56839</v>
      </c>
      <c r="J12" s="419">
        <v>-5.2649460439469999</v>
      </c>
      <c r="K12" s="422">
        <v>7.7430317637999999E-2</v>
      </c>
    </row>
    <row r="13" spans="1:11" ht="14.4" customHeight="1" thickBot="1" x14ac:dyDescent="0.35">
      <c r="A13" s="440" t="s">
        <v>266</v>
      </c>
      <c r="B13" s="418">
        <v>0</v>
      </c>
      <c r="C13" s="418">
        <v>0</v>
      </c>
      <c r="D13" s="419">
        <v>0</v>
      </c>
      <c r="E13" s="420">
        <v>1</v>
      </c>
      <c r="F13" s="418">
        <v>0</v>
      </c>
      <c r="G13" s="419">
        <v>0</v>
      </c>
      <c r="H13" s="421">
        <v>0.19051999999999999</v>
      </c>
      <c r="I13" s="418">
        <v>0.19051999999999999</v>
      </c>
      <c r="J13" s="419">
        <v>0.19051999999999999</v>
      </c>
      <c r="K13" s="429" t="s">
        <v>267</v>
      </c>
    </row>
    <row r="14" spans="1:11" ht="14.4" customHeight="1" thickBot="1" x14ac:dyDescent="0.35">
      <c r="A14" s="440" t="s">
        <v>268</v>
      </c>
      <c r="B14" s="418">
        <v>1.6773855616910001</v>
      </c>
      <c r="C14" s="418">
        <v>1.8875999999999999</v>
      </c>
      <c r="D14" s="419">
        <v>0.21021443830799999</v>
      </c>
      <c r="E14" s="420">
        <v>1.125322670654</v>
      </c>
      <c r="F14" s="418">
        <v>2.000000551311</v>
      </c>
      <c r="G14" s="419">
        <v>0.33333342521800002</v>
      </c>
      <c r="H14" s="421">
        <v>0</v>
      </c>
      <c r="I14" s="418">
        <v>0</v>
      </c>
      <c r="J14" s="419">
        <v>-0.33333342521800002</v>
      </c>
      <c r="K14" s="422">
        <v>0</v>
      </c>
    </row>
    <row r="15" spans="1:11" ht="14.4" customHeight="1" thickBot="1" x14ac:dyDescent="0.35">
      <c r="A15" s="439" t="s">
        <v>269</v>
      </c>
      <c r="B15" s="423">
        <v>4781.0815516123403</v>
      </c>
      <c r="C15" s="423">
        <v>4332.71587</v>
      </c>
      <c r="D15" s="424">
        <v>-448.36568161234499</v>
      </c>
      <c r="E15" s="430">
        <v>0.90622086722999995</v>
      </c>
      <c r="F15" s="423">
        <v>4781.08291793226</v>
      </c>
      <c r="G15" s="424">
        <v>796.84715298871004</v>
      </c>
      <c r="H15" s="426">
        <v>456.99606999999997</v>
      </c>
      <c r="I15" s="423">
        <v>802.26493000000005</v>
      </c>
      <c r="J15" s="424">
        <v>5.4177770112900001</v>
      </c>
      <c r="K15" s="431">
        <v>0.167799836098</v>
      </c>
    </row>
    <row r="16" spans="1:11" ht="14.4" customHeight="1" thickBot="1" x14ac:dyDescent="0.35">
      <c r="A16" s="440" t="s">
        <v>270</v>
      </c>
      <c r="B16" s="418">
        <v>4217.9998671432204</v>
      </c>
      <c r="C16" s="418">
        <v>3916.6904599999998</v>
      </c>
      <c r="D16" s="419">
        <v>-301.30940714322298</v>
      </c>
      <c r="E16" s="420">
        <v>0.92856580923800003</v>
      </c>
      <c r="F16" s="418">
        <v>4218.00116271562</v>
      </c>
      <c r="G16" s="419">
        <v>703.00019378593697</v>
      </c>
      <c r="H16" s="421">
        <v>440.78046999999998</v>
      </c>
      <c r="I16" s="418">
        <v>752.81284000000005</v>
      </c>
      <c r="J16" s="419">
        <v>49.812646214063001</v>
      </c>
      <c r="K16" s="422">
        <v>0.17847620494999999</v>
      </c>
    </row>
    <row r="17" spans="1:11" ht="14.4" customHeight="1" thickBot="1" x14ac:dyDescent="0.35">
      <c r="A17" s="440" t="s">
        <v>271</v>
      </c>
      <c r="B17" s="418">
        <v>244.999994487924</v>
      </c>
      <c r="C17" s="418">
        <v>252.39554000000001</v>
      </c>
      <c r="D17" s="419">
        <v>7.3955455120750004</v>
      </c>
      <c r="E17" s="420">
        <v>1.0301859007280001</v>
      </c>
      <c r="F17" s="418">
        <v>250.000068913918</v>
      </c>
      <c r="G17" s="419">
        <v>41.666678152319001</v>
      </c>
      <c r="H17" s="421">
        <v>10.745430000000001</v>
      </c>
      <c r="I17" s="418">
        <v>16.86955</v>
      </c>
      <c r="J17" s="419">
        <v>-24.797128152319001</v>
      </c>
      <c r="K17" s="422">
        <v>6.7478181398999998E-2</v>
      </c>
    </row>
    <row r="18" spans="1:11" ht="14.4" customHeight="1" thickBot="1" x14ac:dyDescent="0.35">
      <c r="A18" s="440" t="s">
        <v>272</v>
      </c>
      <c r="B18" s="418">
        <v>23.999999244057999</v>
      </c>
      <c r="C18" s="418">
        <v>9.5413499999999996</v>
      </c>
      <c r="D18" s="419">
        <v>-14.458649244058</v>
      </c>
      <c r="E18" s="420">
        <v>0.39755626252199999</v>
      </c>
      <c r="F18" s="418">
        <v>20.000005513112999</v>
      </c>
      <c r="G18" s="419">
        <v>3.3333342521849998</v>
      </c>
      <c r="H18" s="421">
        <v>0.60229999999999995</v>
      </c>
      <c r="I18" s="418">
        <v>1.46783</v>
      </c>
      <c r="J18" s="419">
        <v>-1.865504252185</v>
      </c>
      <c r="K18" s="422">
        <v>7.3391479768999998E-2</v>
      </c>
    </row>
    <row r="19" spans="1:11" ht="14.4" customHeight="1" thickBot="1" x14ac:dyDescent="0.35">
      <c r="A19" s="440" t="s">
        <v>273</v>
      </c>
      <c r="B19" s="418">
        <v>263.99999168464001</v>
      </c>
      <c r="C19" s="418">
        <v>135.80348000000001</v>
      </c>
      <c r="D19" s="419">
        <v>-128.19651168464</v>
      </c>
      <c r="E19" s="420">
        <v>0.51440713741400002</v>
      </c>
      <c r="F19" s="418">
        <v>270.000074427031</v>
      </c>
      <c r="G19" s="419">
        <v>45.000012404505</v>
      </c>
      <c r="H19" s="421">
        <v>4.3728699999999998</v>
      </c>
      <c r="I19" s="418">
        <v>29.210709999999999</v>
      </c>
      <c r="J19" s="419">
        <v>-15.789302404504999</v>
      </c>
      <c r="K19" s="422">
        <v>0.10818778499200001</v>
      </c>
    </row>
    <row r="20" spans="1:11" ht="14.4" customHeight="1" thickBot="1" x14ac:dyDescent="0.35">
      <c r="A20" s="440" t="s">
        <v>274</v>
      </c>
      <c r="B20" s="418">
        <v>8.1699997425999996E-2</v>
      </c>
      <c r="C20" s="418">
        <v>8.1600000000000006E-2</v>
      </c>
      <c r="D20" s="419">
        <v>-9.9997426648013005E-5</v>
      </c>
      <c r="E20" s="420">
        <v>0.99877604124999997</v>
      </c>
      <c r="F20" s="418">
        <v>8.1600022492999996E-2</v>
      </c>
      <c r="G20" s="419">
        <v>1.3600003748E-2</v>
      </c>
      <c r="H20" s="421">
        <v>0</v>
      </c>
      <c r="I20" s="418">
        <v>0</v>
      </c>
      <c r="J20" s="419">
        <v>-1.3600003748E-2</v>
      </c>
      <c r="K20" s="422">
        <v>0</v>
      </c>
    </row>
    <row r="21" spans="1:11" ht="14.4" customHeight="1" thickBot="1" x14ac:dyDescent="0.35">
      <c r="A21" s="440" t="s">
        <v>275</v>
      </c>
      <c r="B21" s="418">
        <v>13.999999559033</v>
      </c>
      <c r="C21" s="418">
        <v>3.2610000000000001</v>
      </c>
      <c r="D21" s="419">
        <v>-10.738999559032999</v>
      </c>
      <c r="E21" s="420">
        <v>0.23292857876500001</v>
      </c>
      <c r="F21" s="418">
        <v>7.0000019295889997</v>
      </c>
      <c r="G21" s="419">
        <v>1.1666669882639999</v>
      </c>
      <c r="H21" s="421">
        <v>0.21099999999999999</v>
      </c>
      <c r="I21" s="418">
        <v>0.45200000000000001</v>
      </c>
      <c r="J21" s="419">
        <v>-0.71466698826399999</v>
      </c>
      <c r="K21" s="422">
        <v>6.4571410770999996E-2</v>
      </c>
    </row>
    <row r="22" spans="1:11" ht="14.4" customHeight="1" thickBot="1" x14ac:dyDescent="0.35">
      <c r="A22" s="440" t="s">
        <v>276</v>
      </c>
      <c r="B22" s="418">
        <v>15.999999496038001</v>
      </c>
      <c r="C22" s="418">
        <v>14.94244</v>
      </c>
      <c r="D22" s="419">
        <v>-1.0575594960379999</v>
      </c>
      <c r="E22" s="420">
        <v>0.93390252941499996</v>
      </c>
      <c r="F22" s="418">
        <v>16.00000441049</v>
      </c>
      <c r="G22" s="419">
        <v>2.6666674017480001</v>
      </c>
      <c r="H22" s="421">
        <v>0.28399999999999997</v>
      </c>
      <c r="I22" s="418">
        <v>1.452</v>
      </c>
      <c r="J22" s="419">
        <v>-1.2146674017479999</v>
      </c>
      <c r="K22" s="422">
        <v>9.0749974984000004E-2</v>
      </c>
    </row>
    <row r="23" spans="1:11" ht="14.4" customHeight="1" thickBot="1" x14ac:dyDescent="0.35">
      <c r="A23" s="439" t="s">
        <v>277</v>
      </c>
      <c r="B23" s="423">
        <v>121.568222116962</v>
      </c>
      <c r="C23" s="423">
        <v>104.41151000000001</v>
      </c>
      <c r="D23" s="424">
        <v>-17.156712116961</v>
      </c>
      <c r="E23" s="430">
        <v>0.85887173623000002</v>
      </c>
      <c r="F23" s="423">
        <v>106.684766798358</v>
      </c>
      <c r="G23" s="424">
        <v>17.780794466393001</v>
      </c>
      <c r="H23" s="426">
        <v>9.4363200000000003</v>
      </c>
      <c r="I23" s="423">
        <v>15.677099999999999</v>
      </c>
      <c r="J23" s="424">
        <v>-2.1036944663930002</v>
      </c>
      <c r="K23" s="431">
        <v>0.14694787710000001</v>
      </c>
    </row>
    <row r="24" spans="1:11" ht="14.4" customHeight="1" thickBot="1" x14ac:dyDescent="0.35">
      <c r="A24" s="440" t="s">
        <v>278</v>
      </c>
      <c r="B24" s="418">
        <v>2.5879877795519999</v>
      </c>
      <c r="C24" s="418">
        <v>1.8320000000000001</v>
      </c>
      <c r="D24" s="419">
        <v>-0.75598777955200003</v>
      </c>
      <c r="E24" s="420">
        <v>0.70788587738800002</v>
      </c>
      <c r="F24" s="418">
        <v>0.20233518615599999</v>
      </c>
      <c r="G24" s="419">
        <v>3.3722531026000001E-2</v>
      </c>
      <c r="H24" s="421">
        <v>0</v>
      </c>
      <c r="I24" s="418">
        <v>0</v>
      </c>
      <c r="J24" s="419">
        <v>-3.3722531026000001E-2</v>
      </c>
      <c r="K24" s="422">
        <v>0</v>
      </c>
    </row>
    <row r="25" spans="1:11" ht="14.4" customHeight="1" thickBot="1" x14ac:dyDescent="0.35">
      <c r="A25" s="440" t="s">
        <v>279</v>
      </c>
      <c r="B25" s="418">
        <v>3.9999999685019998</v>
      </c>
      <c r="C25" s="418">
        <v>3.3193700000000002</v>
      </c>
      <c r="D25" s="419">
        <v>-0.68062996850199997</v>
      </c>
      <c r="E25" s="420">
        <v>0.82984250653400005</v>
      </c>
      <c r="F25" s="418">
        <v>4.0911336627320001</v>
      </c>
      <c r="G25" s="419">
        <v>0.68185561045499998</v>
      </c>
      <c r="H25" s="421">
        <v>0.52615000000000001</v>
      </c>
      <c r="I25" s="418">
        <v>0.64278000000000002</v>
      </c>
      <c r="J25" s="419">
        <v>-3.9075610455E-2</v>
      </c>
      <c r="K25" s="422">
        <v>0.157115375098</v>
      </c>
    </row>
    <row r="26" spans="1:11" ht="14.4" customHeight="1" thickBot="1" x14ac:dyDescent="0.35">
      <c r="A26" s="440" t="s">
        <v>280</v>
      </c>
      <c r="B26" s="418">
        <v>11</v>
      </c>
      <c r="C26" s="418">
        <v>12.428269999999999</v>
      </c>
      <c r="D26" s="419">
        <v>1.4282699999999999</v>
      </c>
      <c r="E26" s="420">
        <v>1.129842727272</v>
      </c>
      <c r="F26" s="418">
        <v>12.904113058191999</v>
      </c>
      <c r="G26" s="419">
        <v>2.150685509698</v>
      </c>
      <c r="H26" s="421">
        <v>0</v>
      </c>
      <c r="I26" s="418">
        <v>1.3507899999999999</v>
      </c>
      <c r="J26" s="419">
        <v>-0.79989550969800005</v>
      </c>
      <c r="K26" s="422">
        <v>0.10467902705899999</v>
      </c>
    </row>
    <row r="27" spans="1:11" ht="14.4" customHeight="1" thickBot="1" x14ac:dyDescent="0.35">
      <c r="A27" s="440" t="s">
        <v>281</v>
      </c>
      <c r="B27" s="418">
        <v>23.999999244057999</v>
      </c>
      <c r="C27" s="418">
        <v>23.993179999999999</v>
      </c>
      <c r="D27" s="419">
        <v>-6.8192440580000001E-3</v>
      </c>
      <c r="E27" s="420">
        <v>0.99971586482100006</v>
      </c>
      <c r="F27" s="418">
        <v>23.493062184597999</v>
      </c>
      <c r="G27" s="419">
        <v>3.9155103640990001</v>
      </c>
      <c r="H27" s="421">
        <v>2.20939</v>
      </c>
      <c r="I27" s="418">
        <v>3.7527300000000001</v>
      </c>
      <c r="J27" s="419">
        <v>-0.16278036409900001</v>
      </c>
      <c r="K27" s="422">
        <v>0.15973779707800001</v>
      </c>
    </row>
    <row r="28" spans="1:11" ht="14.4" customHeight="1" thickBot="1" x14ac:dyDescent="0.35">
      <c r="A28" s="440" t="s">
        <v>282</v>
      </c>
      <c r="B28" s="418">
        <v>2.9999999055069999</v>
      </c>
      <c r="C28" s="418">
        <v>1.486</v>
      </c>
      <c r="D28" s="419">
        <v>-1.5139999055069999</v>
      </c>
      <c r="E28" s="420">
        <v>0.49533334893499997</v>
      </c>
      <c r="F28" s="418">
        <v>1.6357307896340001</v>
      </c>
      <c r="G28" s="419">
        <v>0.272621798272</v>
      </c>
      <c r="H28" s="421">
        <v>0</v>
      </c>
      <c r="I28" s="418">
        <v>0</v>
      </c>
      <c r="J28" s="419">
        <v>-0.272621798272</v>
      </c>
      <c r="K28" s="422">
        <v>0</v>
      </c>
    </row>
    <row r="29" spans="1:11" ht="14.4" customHeight="1" thickBot="1" x14ac:dyDescent="0.35">
      <c r="A29" s="440" t="s">
        <v>283</v>
      </c>
      <c r="B29" s="418">
        <v>0</v>
      </c>
      <c r="C29" s="418">
        <v>2.4799999999999999E-2</v>
      </c>
      <c r="D29" s="419">
        <v>2.4799999999999999E-2</v>
      </c>
      <c r="E29" s="428" t="s">
        <v>267</v>
      </c>
      <c r="F29" s="418">
        <v>0</v>
      </c>
      <c r="G29" s="419">
        <v>0</v>
      </c>
      <c r="H29" s="421">
        <v>0</v>
      </c>
      <c r="I29" s="418">
        <v>0</v>
      </c>
      <c r="J29" s="419">
        <v>0</v>
      </c>
      <c r="K29" s="422">
        <v>2</v>
      </c>
    </row>
    <row r="30" spans="1:11" ht="14.4" customHeight="1" thickBot="1" x14ac:dyDescent="0.35">
      <c r="A30" s="440" t="s">
        <v>284</v>
      </c>
      <c r="B30" s="418">
        <v>4.6271731801999998E-2</v>
      </c>
      <c r="C30" s="418">
        <v>0</v>
      </c>
      <c r="D30" s="419">
        <v>-4.6271731801999998E-2</v>
      </c>
      <c r="E30" s="420">
        <v>0</v>
      </c>
      <c r="F30" s="418">
        <v>0</v>
      </c>
      <c r="G30" s="419">
        <v>0</v>
      </c>
      <c r="H30" s="421">
        <v>0</v>
      </c>
      <c r="I30" s="418">
        <v>0</v>
      </c>
      <c r="J30" s="419">
        <v>0</v>
      </c>
      <c r="K30" s="422">
        <v>2</v>
      </c>
    </row>
    <row r="31" spans="1:11" ht="14.4" customHeight="1" thickBot="1" x14ac:dyDescent="0.35">
      <c r="A31" s="440" t="s">
        <v>285</v>
      </c>
      <c r="B31" s="418">
        <v>2</v>
      </c>
      <c r="C31" s="418">
        <v>1.96262</v>
      </c>
      <c r="D31" s="419">
        <v>-3.7379999999999997E-2</v>
      </c>
      <c r="E31" s="420">
        <v>0.98131000000000002</v>
      </c>
      <c r="F31" s="418">
        <v>2.159484537849</v>
      </c>
      <c r="G31" s="419">
        <v>0.35991408964100002</v>
      </c>
      <c r="H31" s="421">
        <v>1.0914200000000001</v>
      </c>
      <c r="I31" s="418">
        <v>1.0914200000000001</v>
      </c>
      <c r="J31" s="419">
        <v>0.73150591035800006</v>
      </c>
      <c r="K31" s="422">
        <v>0.50540764745900002</v>
      </c>
    </row>
    <row r="32" spans="1:11" ht="14.4" customHeight="1" thickBot="1" x14ac:dyDescent="0.35">
      <c r="A32" s="440" t="s">
        <v>286</v>
      </c>
      <c r="B32" s="418">
        <v>30.933964148988</v>
      </c>
      <c r="C32" s="418">
        <v>10.95416</v>
      </c>
      <c r="D32" s="419">
        <v>-19.979804148987999</v>
      </c>
      <c r="E32" s="420">
        <v>0.35411433036000001</v>
      </c>
      <c r="F32" s="418">
        <v>14.67032518309</v>
      </c>
      <c r="G32" s="419">
        <v>2.4450541971809998</v>
      </c>
      <c r="H32" s="421">
        <v>0.73834999999999995</v>
      </c>
      <c r="I32" s="418">
        <v>1.6562300000000001</v>
      </c>
      <c r="J32" s="419">
        <v>-0.78882419718100005</v>
      </c>
      <c r="K32" s="422">
        <v>0.11289661131000001</v>
      </c>
    </row>
    <row r="33" spans="1:11" ht="14.4" customHeight="1" thickBot="1" x14ac:dyDescent="0.35">
      <c r="A33" s="440" t="s">
        <v>287</v>
      </c>
      <c r="B33" s="418">
        <v>33.999999653525997</v>
      </c>
      <c r="C33" s="418">
        <v>29.53511</v>
      </c>
      <c r="D33" s="419">
        <v>-4.4648896535259999</v>
      </c>
      <c r="E33" s="420">
        <v>0.86867971473399996</v>
      </c>
      <c r="F33" s="418">
        <v>18.81145824463</v>
      </c>
      <c r="G33" s="419">
        <v>3.1352430407709999</v>
      </c>
      <c r="H33" s="421">
        <v>4.8710100000000001</v>
      </c>
      <c r="I33" s="418">
        <v>6.23935</v>
      </c>
      <c r="J33" s="419">
        <v>3.104106959228</v>
      </c>
      <c r="K33" s="422">
        <v>0.33167816757500002</v>
      </c>
    </row>
    <row r="34" spans="1:11" ht="14.4" customHeight="1" thickBot="1" x14ac:dyDescent="0.35">
      <c r="A34" s="440" t="s">
        <v>288</v>
      </c>
      <c r="B34" s="418">
        <v>9.9999996850239992</v>
      </c>
      <c r="C34" s="418">
        <v>18.876000000000001</v>
      </c>
      <c r="D34" s="419">
        <v>8.8760003149750002</v>
      </c>
      <c r="E34" s="420">
        <v>1.8876000594539999</v>
      </c>
      <c r="F34" s="418">
        <v>28.717123951474001</v>
      </c>
      <c r="G34" s="419">
        <v>4.7861873252449998</v>
      </c>
      <c r="H34" s="421">
        <v>0</v>
      </c>
      <c r="I34" s="418">
        <v>0.94379999999999997</v>
      </c>
      <c r="J34" s="419">
        <v>-3.8423873252449998</v>
      </c>
      <c r="K34" s="422">
        <v>3.2865408164999999E-2</v>
      </c>
    </row>
    <row r="35" spans="1:11" ht="14.4" customHeight="1" thickBot="1" x14ac:dyDescent="0.35">
      <c r="A35" s="439" t="s">
        <v>289</v>
      </c>
      <c r="B35" s="423">
        <v>1.999999937004</v>
      </c>
      <c r="C35" s="423">
        <v>18.347270000000002</v>
      </c>
      <c r="D35" s="424">
        <v>16.347270062995001</v>
      </c>
      <c r="E35" s="430">
        <v>9.1736352889470005</v>
      </c>
      <c r="F35" s="423">
        <v>12.511811127562</v>
      </c>
      <c r="G35" s="424">
        <v>2.0853018545930002</v>
      </c>
      <c r="H35" s="426">
        <v>0.71799999999999997</v>
      </c>
      <c r="I35" s="423">
        <v>0.71799999999999997</v>
      </c>
      <c r="J35" s="424">
        <v>-1.367301854593</v>
      </c>
      <c r="K35" s="431">
        <v>5.7385776740999997E-2</v>
      </c>
    </row>
    <row r="36" spans="1:11" ht="14.4" customHeight="1" thickBot="1" x14ac:dyDescent="0.35">
      <c r="A36" s="440" t="s">
        <v>290</v>
      </c>
      <c r="B36" s="418">
        <v>0</v>
      </c>
      <c r="C36" s="418">
        <v>4.9660000000000002</v>
      </c>
      <c r="D36" s="419">
        <v>4.9660000000000002</v>
      </c>
      <c r="E36" s="428" t="s">
        <v>267</v>
      </c>
      <c r="F36" s="418">
        <v>4.4711256028969997</v>
      </c>
      <c r="G36" s="419">
        <v>0.74518760048199995</v>
      </c>
      <c r="H36" s="421">
        <v>0</v>
      </c>
      <c r="I36" s="418">
        <v>0</v>
      </c>
      <c r="J36" s="419">
        <v>-0.74518760048199995</v>
      </c>
      <c r="K36" s="422">
        <v>0</v>
      </c>
    </row>
    <row r="37" spans="1:11" ht="14.4" customHeight="1" thickBot="1" x14ac:dyDescent="0.35">
      <c r="A37" s="440" t="s">
        <v>291</v>
      </c>
      <c r="B37" s="418">
        <v>0</v>
      </c>
      <c r="C37" s="418">
        <v>11.5313</v>
      </c>
      <c r="D37" s="419">
        <v>11.5313</v>
      </c>
      <c r="E37" s="428" t="s">
        <v>267</v>
      </c>
      <c r="F37" s="418">
        <v>5.892396152881</v>
      </c>
      <c r="G37" s="419">
        <v>0.98206602547999999</v>
      </c>
      <c r="H37" s="421">
        <v>0.71799999999999997</v>
      </c>
      <c r="I37" s="418">
        <v>0.71799999999999997</v>
      </c>
      <c r="J37" s="419">
        <v>-0.26406602548000002</v>
      </c>
      <c r="K37" s="422">
        <v>0.12185195655</v>
      </c>
    </row>
    <row r="38" spans="1:11" ht="14.4" customHeight="1" thickBot="1" x14ac:dyDescent="0.35">
      <c r="A38" s="440" t="s">
        <v>292</v>
      </c>
      <c r="B38" s="418">
        <v>1.999999937004</v>
      </c>
      <c r="C38" s="418">
        <v>1.8499699999999999</v>
      </c>
      <c r="D38" s="419">
        <v>-0.150029937004</v>
      </c>
      <c r="E38" s="420">
        <v>0.92498502913400005</v>
      </c>
      <c r="F38" s="418">
        <v>2.1482893717840001</v>
      </c>
      <c r="G38" s="419">
        <v>0.35804822863000002</v>
      </c>
      <c r="H38" s="421">
        <v>0</v>
      </c>
      <c r="I38" s="418">
        <v>0</v>
      </c>
      <c r="J38" s="419">
        <v>-0.35804822863000002</v>
      </c>
      <c r="K38" s="422">
        <v>0</v>
      </c>
    </row>
    <row r="39" spans="1:11" ht="14.4" customHeight="1" thickBot="1" x14ac:dyDescent="0.35">
      <c r="A39" s="439" t="s">
        <v>293</v>
      </c>
      <c r="B39" s="423">
        <v>17.999999433043001</v>
      </c>
      <c r="C39" s="423">
        <v>23.9925</v>
      </c>
      <c r="D39" s="424">
        <v>5.9925005669560001</v>
      </c>
      <c r="E39" s="430">
        <v>1.33291670865</v>
      </c>
      <c r="F39" s="423">
        <v>5.0620275451259999</v>
      </c>
      <c r="G39" s="424">
        <v>0.84367125752100003</v>
      </c>
      <c r="H39" s="426">
        <v>2.9294899999999999</v>
      </c>
      <c r="I39" s="423">
        <v>4.0952999999999999</v>
      </c>
      <c r="J39" s="424">
        <v>3.2516287424780002</v>
      </c>
      <c r="K39" s="431">
        <v>0.80902364980999997</v>
      </c>
    </row>
    <row r="40" spans="1:11" ht="14.4" customHeight="1" thickBot="1" x14ac:dyDescent="0.35">
      <c r="A40" s="440" t="s">
        <v>294</v>
      </c>
      <c r="B40" s="418">
        <v>8.9999997165209997</v>
      </c>
      <c r="C40" s="418">
        <v>17.36307</v>
      </c>
      <c r="D40" s="419">
        <v>8.3630702834780006</v>
      </c>
      <c r="E40" s="420">
        <v>1.929230060766</v>
      </c>
      <c r="F40" s="418">
        <v>0</v>
      </c>
      <c r="G40" s="419">
        <v>0</v>
      </c>
      <c r="H40" s="421">
        <v>2.3413499999999998</v>
      </c>
      <c r="I40" s="418">
        <v>3.5071599999999998</v>
      </c>
      <c r="J40" s="419">
        <v>3.5071599999999998</v>
      </c>
      <c r="K40" s="429" t="s">
        <v>257</v>
      </c>
    </row>
    <row r="41" spans="1:11" ht="14.4" customHeight="1" thickBot="1" x14ac:dyDescent="0.35">
      <c r="A41" s="440" t="s">
        <v>295</v>
      </c>
      <c r="B41" s="418">
        <v>0</v>
      </c>
      <c r="C41" s="418">
        <v>0.64685999999999999</v>
      </c>
      <c r="D41" s="419">
        <v>0.64685999999999999</v>
      </c>
      <c r="E41" s="428" t="s">
        <v>267</v>
      </c>
      <c r="F41" s="418">
        <v>0.419763600949</v>
      </c>
      <c r="G41" s="419">
        <v>6.9960600158E-2</v>
      </c>
      <c r="H41" s="421">
        <v>0</v>
      </c>
      <c r="I41" s="418">
        <v>0</v>
      </c>
      <c r="J41" s="419">
        <v>-6.9960600158E-2</v>
      </c>
      <c r="K41" s="422">
        <v>0</v>
      </c>
    </row>
    <row r="42" spans="1:11" ht="14.4" customHeight="1" thickBot="1" x14ac:dyDescent="0.35">
      <c r="A42" s="440" t="s">
        <v>296</v>
      </c>
      <c r="B42" s="418">
        <v>0</v>
      </c>
      <c r="C42" s="418">
        <v>0.20004</v>
      </c>
      <c r="D42" s="419">
        <v>0.20004</v>
      </c>
      <c r="E42" s="428" t="s">
        <v>267</v>
      </c>
      <c r="F42" s="418">
        <v>0.141290466236</v>
      </c>
      <c r="G42" s="419">
        <v>2.3548411038999999E-2</v>
      </c>
      <c r="H42" s="421">
        <v>0</v>
      </c>
      <c r="I42" s="418">
        <v>0</v>
      </c>
      <c r="J42" s="419">
        <v>-2.3548411038999999E-2</v>
      </c>
      <c r="K42" s="422">
        <v>0</v>
      </c>
    </row>
    <row r="43" spans="1:11" ht="14.4" customHeight="1" thickBot="1" x14ac:dyDescent="0.35">
      <c r="A43" s="440" t="s">
        <v>297</v>
      </c>
      <c r="B43" s="418">
        <v>0.99999996850200001</v>
      </c>
      <c r="C43" s="418">
        <v>1.1127400000000001</v>
      </c>
      <c r="D43" s="419">
        <v>0.112740031497</v>
      </c>
      <c r="E43" s="420">
        <v>1.1127400350479999</v>
      </c>
      <c r="F43" s="418">
        <v>1.5009726509729999</v>
      </c>
      <c r="G43" s="419">
        <v>0.25016210849499998</v>
      </c>
      <c r="H43" s="421">
        <v>9.5219999999999999E-2</v>
      </c>
      <c r="I43" s="418">
        <v>9.5219999999999999E-2</v>
      </c>
      <c r="J43" s="419">
        <v>-0.15494210849500001</v>
      </c>
      <c r="K43" s="422">
        <v>6.3438864083999999E-2</v>
      </c>
    </row>
    <row r="44" spans="1:11" ht="14.4" customHeight="1" thickBot="1" x14ac:dyDescent="0.35">
      <c r="A44" s="440" t="s">
        <v>298</v>
      </c>
      <c r="B44" s="418">
        <v>7.9999997480190004</v>
      </c>
      <c r="C44" s="418">
        <v>4.6697899999999999</v>
      </c>
      <c r="D44" s="419">
        <v>-3.330209748019</v>
      </c>
      <c r="E44" s="420">
        <v>0.58372376838499995</v>
      </c>
      <c r="F44" s="418">
        <v>3.0000008269670002</v>
      </c>
      <c r="G44" s="419">
        <v>0.50000013782700004</v>
      </c>
      <c r="H44" s="421">
        <v>0.49292000000000002</v>
      </c>
      <c r="I44" s="418">
        <v>0.49292000000000002</v>
      </c>
      <c r="J44" s="419">
        <v>-7.080137827E-3</v>
      </c>
      <c r="K44" s="422">
        <v>0.16430662137400001</v>
      </c>
    </row>
    <row r="45" spans="1:11" ht="14.4" customHeight="1" thickBot="1" x14ac:dyDescent="0.35">
      <c r="A45" s="438" t="s">
        <v>42</v>
      </c>
      <c r="B45" s="418">
        <v>178.61167656012799</v>
      </c>
      <c r="C45" s="418">
        <v>168.87299999999999</v>
      </c>
      <c r="D45" s="419">
        <v>-9.7386765601280008</v>
      </c>
      <c r="E45" s="420">
        <v>0.94547570042600004</v>
      </c>
      <c r="F45" s="418">
        <v>165.922474938156</v>
      </c>
      <c r="G45" s="419">
        <v>27.653745823025002</v>
      </c>
      <c r="H45" s="421">
        <v>16.152999999999999</v>
      </c>
      <c r="I45" s="418">
        <v>37.167000000000002</v>
      </c>
      <c r="J45" s="419">
        <v>9.5132541769739998</v>
      </c>
      <c r="K45" s="422">
        <v>0.22400220352200001</v>
      </c>
    </row>
    <row r="46" spans="1:11" ht="14.4" customHeight="1" thickBot="1" x14ac:dyDescent="0.35">
      <c r="A46" s="439" t="s">
        <v>299</v>
      </c>
      <c r="B46" s="423">
        <v>178.61167656012799</v>
      </c>
      <c r="C46" s="423">
        <v>168.87299999999999</v>
      </c>
      <c r="D46" s="424">
        <v>-9.7386765601280008</v>
      </c>
      <c r="E46" s="430">
        <v>0.94547570042600004</v>
      </c>
      <c r="F46" s="423">
        <v>165.922474938156</v>
      </c>
      <c r="G46" s="424">
        <v>27.653745823025002</v>
      </c>
      <c r="H46" s="426">
        <v>16.152999999999999</v>
      </c>
      <c r="I46" s="423">
        <v>37.167000000000002</v>
      </c>
      <c r="J46" s="424">
        <v>9.5132541769739998</v>
      </c>
      <c r="K46" s="431">
        <v>0.22400220352200001</v>
      </c>
    </row>
    <row r="47" spans="1:11" ht="14.4" customHeight="1" thickBot="1" x14ac:dyDescent="0.35">
      <c r="A47" s="440" t="s">
        <v>300</v>
      </c>
      <c r="B47" s="418">
        <v>56.611680402832</v>
      </c>
      <c r="C47" s="418">
        <v>60.758000000000003</v>
      </c>
      <c r="D47" s="419">
        <v>4.1463195971670004</v>
      </c>
      <c r="E47" s="420">
        <v>1.073241415334</v>
      </c>
      <c r="F47" s="418">
        <v>59.948273459180001</v>
      </c>
      <c r="G47" s="419">
        <v>9.9913789098630001</v>
      </c>
      <c r="H47" s="421">
        <v>4.2619999999999996</v>
      </c>
      <c r="I47" s="418">
        <v>9.0440000000000005</v>
      </c>
      <c r="J47" s="419">
        <v>-0.947378909863</v>
      </c>
      <c r="K47" s="422">
        <v>0.15086339402500001</v>
      </c>
    </row>
    <row r="48" spans="1:11" ht="14.4" customHeight="1" thickBot="1" x14ac:dyDescent="0.35">
      <c r="A48" s="440" t="s">
        <v>301</v>
      </c>
      <c r="B48" s="418">
        <v>27.999999118066999</v>
      </c>
      <c r="C48" s="418">
        <v>25</v>
      </c>
      <c r="D48" s="419">
        <v>-2.999999118067</v>
      </c>
      <c r="E48" s="420">
        <v>0.89285717097899997</v>
      </c>
      <c r="F48" s="418">
        <v>23.946335611631</v>
      </c>
      <c r="G48" s="419">
        <v>3.991055935271</v>
      </c>
      <c r="H48" s="421">
        <v>1.88</v>
      </c>
      <c r="I48" s="418">
        <v>4.5640000000000001</v>
      </c>
      <c r="J48" s="419">
        <v>0.57294406472799997</v>
      </c>
      <c r="K48" s="422">
        <v>0.19059283532999999</v>
      </c>
    </row>
    <row r="49" spans="1:11" ht="14.4" customHeight="1" thickBot="1" x14ac:dyDescent="0.35">
      <c r="A49" s="440" t="s">
        <v>302</v>
      </c>
      <c r="B49" s="418">
        <v>93.999997039228006</v>
      </c>
      <c r="C49" s="418">
        <v>83.114999999999995</v>
      </c>
      <c r="D49" s="419">
        <v>-10.884997039228001</v>
      </c>
      <c r="E49" s="420">
        <v>0.88420215550900005</v>
      </c>
      <c r="F49" s="418">
        <v>82.027865867342996</v>
      </c>
      <c r="G49" s="419">
        <v>13.67131097789</v>
      </c>
      <c r="H49" s="421">
        <v>10.010999999999999</v>
      </c>
      <c r="I49" s="418">
        <v>23.559000000000001</v>
      </c>
      <c r="J49" s="419">
        <v>9.8876890221090008</v>
      </c>
      <c r="K49" s="422">
        <v>0.28720727707400001</v>
      </c>
    </row>
    <row r="50" spans="1:11" ht="14.4" customHeight="1" thickBot="1" x14ac:dyDescent="0.35">
      <c r="A50" s="441" t="s">
        <v>303</v>
      </c>
      <c r="B50" s="423">
        <v>2084.7233807326702</v>
      </c>
      <c r="C50" s="423">
        <v>1303.98804</v>
      </c>
      <c r="D50" s="424">
        <v>-780.73534073267103</v>
      </c>
      <c r="E50" s="430">
        <v>0.62549691342799996</v>
      </c>
      <c r="F50" s="423">
        <v>1243.1130388510701</v>
      </c>
      <c r="G50" s="424">
        <v>207.18550647517799</v>
      </c>
      <c r="H50" s="426">
        <v>71.117260000000002</v>
      </c>
      <c r="I50" s="423">
        <v>408.54048999999998</v>
      </c>
      <c r="J50" s="424">
        <v>201.35498352482199</v>
      </c>
      <c r="K50" s="431">
        <v>0.32864307366399997</v>
      </c>
    </row>
    <row r="51" spans="1:11" ht="14.4" customHeight="1" thickBot="1" x14ac:dyDescent="0.35">
      <c r="A51" s="438" t="s">
        <v>45</v>
      </c>
      <c r="B51" s="418">
        <v>907.19417182578798</v>
      </c>
      <c r="C51" s="418">
        <v>94.252799999999993</v>
      </c>
      <c r="D51" s="419">
        <v>-812.941371825788</v>
      </c>
      <c r="E51" s="420">
        <v>0.10389484735100001</v>
      </c>
      <c r="F51" s="418">
        <v>89.623315966375998</v>
      </c>
      <c r="G51" s="419">
        <v>14.937219327729</v>
      </c>
      <c r="H51" s="421">
        <v>9.8315599999999996</v>
      </c>
      <c r="I51" s="418">
        <v>280.20310999999998</v>
      </c>
      <c r="J51" s="419">
        <v>265.26589067227098</v>
      </c>
      <c r="K51" s="422">
        <v>3.1264532781300001</v>
      </c>
    </row>
    <row r="52" spans="1:11" ht="14.4" customHeight="1" thickBot="1" x14ac:dyDescent="0.35">
      <c r="A52" s="442" t="s">
        <v>304</v>
      </c>
      <c r="B52" s="418">
        <v>907.19417182578798</v>
      </c>
      <c r="C52" s="418">
        <v>94.252799999999993</v>
      </c>
      <c r="D52" s="419">
        <v>-812.941371825788</v>
      </c>
      <c r="E52" s="420">
        <v>0.10389484735100001</v>
      </c>
      <c r="F52" s="418">
        <v>89.623315966375998</v>
      </c>
      <c r="G52" s="419">
        <v>14.937219327729</v>
      </c>
      <c r="H52" s="421">
        <v>9.8315599999999996</v>
      </c>
      <c r="I52" s="418">
        <v>280.20310999999998</v>
      </c>
      <c r="J52" s="419">
        <v>265.26589067227098</v>
      </c>
      <c r="K52" s="422">
        <v>3.1264532781300001</v>
      </c>
    </row>
    <row r="53" spans="1:11" ht="14.4" customHeight="1" thickBot="1" x14ac:dyDescent="0.35">
      <c r="A53" s="440" t="s">
        <v>305</v>
      </c>
      <c r="B53" s="418">
        <v>807.61617027596901</v>
      </c>
      <c r="C53" s="418">
        <v>25.053999999999998</v>
      </c>
      <c r="D53" s="419">
        <v>-782.56217027596904</v>
      </c>
      <c r="E53" s="420">
        <v>3.1022162410000002E-2</v>
      </c>
      <c r="F53" s="418">
        <v>21.338305906584999</v>
      </c>
      <c r="G53" s="419">
        <v>3.556384317764</v>
      </c>
      <c r="H53" s="421">
        <v>5.6269999999999998</v>
      </c>
      <c r="I53" s="418">
        <v>273.21850000000001</v>
      </c>
      <c r="J53" s="419">
        <v>269.66211568223599</v>
      </c>
      <c r="K53" s="422">
        <v>12.804132680264001</v>
      </c>
    </row>
    <row r="54" spans="1:11" ht="14.4" customHeight="1" thickBot="1" x14ac:dyDescent="0.35">
      <c r="A54" s="440" t="s">
        <v>306</v>
      </c>
      <c r="B54" s="418">
        <v>6.3033006090789998</v>
      </c>
      <c r="C54" s="418">
        <v>5.2030000000000003</v>
      </c>
      <c r="D54" s="419">
        <v>-1.100300609079</v>
      </c>
      <c r="E54" s="420">
        <v>0.82544056244200004</v>
      </c>
      <c r="F54" s="418">
        <v>16.567943185747001</v>
      </c>
      <c r="G54" s="419">
        <v>2.7613238642910001</v>
      </c>
      <c r="H54" s="421">
        <v>0</v>
      </c>
      <c r="I54" s="418">
        <v>0</v>
      </c>
      <c r="J54" s="419">
        <v>-2.7613238642910001</v>
      </c>
      <c r="K54" s="422">
        <v>0</v>
      </c>
    </row>
    <row r="55" spans="1:11" ht="14.4" customHeight="1" thickBot="1" x14ac:dyDescent="0.35">
      <c r="A55" s="440" t="s">
        <v>307</v>
      </c>
      <c r="B55" s="418">
        <v>4.0010879048519996</v>
      </c>
      <c r="C55" s="418">
        <v>11.4108</v>
      </c>
      <c r="D55" s="419">
        <v>7.4097120951470004</v>
      </c>
      <c r="E55" s="420">
        <v>2.8519243444160001</v>
      </c>
      <c r="F55" s="418">
        <v>-1.3826810956719999</v>
      </c>
      <c r="G55" s="419">
        <v>-0.23044684927799999</v>
      </c>
      <c r="H55" s="421">
        <v>0</v>
      </c>
      <c r="I55" s="418">
        <v>0</v>
      </c>
      <c r="J55" s="419">
        <v>0.23044684927799999</v>
      </c>
      <c r="K55" s="422">
        <v>0</v>
      </c>
    </row>
    <row r="56" spans="1:11" ht="14.4" customHeight="1" thickBot="1" x14ac:dyDescent="0.35">
      <c r="A56" s="440" t="s">
        <v>308</v>
      </c>
      <c r="B56" s="418">
        <v>35.999998866086997</v>
      </c>
      <c r="C56" s="418">
        <v>10.70923</v>
      </c>
      <c r="D56" s="419">
        <v>-25.290768866086999</v>
      </c>
      <c r="E56" s="420">
        <v>0.29747862048000001</v>
      </c>
      <c r="F56" s="418">
        <v>11.005323287974001</v>
      </c>
      <c r="G56" s="419">
        <v>1.834220547995</v>
      </c>
      <c r="H56" s="421">
        <v>0</v>
      </c>
      <c r="I56" s="418">
        <v>0</v>
      </c>
      <c r="J56" s="419">
        <v>-1.834220547995</v>
      </c>
      <c r="K56" s="422">
        <v>0</v>
      </c>
    </row>
    <row r="57" spans="1:11" ht="14.4" customHeight="1" thickBot="1" x14ac:dyDescent="0.35">
      <c r="A57" s="440" t="s">
        <v>309</v>
      </c>
      <c r="B57" s="418">
        <v>53.273614169799004</v>
      </c>
      <c r="C57" s="418">
        <v>41.875770000000003</v>
      </c>
      <c r="D57" s="419">
        <v>-11.397844169799001</v>
      </c>
      <c r="E57" s="420">
        <v>0.78605085561700005</v>
      </c>
      <c r="F57" s="418">
        <v>42.094424681740001</v>
      </c>
      <c r="G57" s="419">
        <v>7.0157374469559999</v>
      </c>
      <c r="H57" s="421">
        <v>4.2045599999999999</v>
      </c>
      <c r="I57" s="418">
        <v>6.98461</v>
      </c>
      <c r="J57" s="419">
        <v>-3.1127446956000001E-2</v>
      </c>
      <c r="K57" s="422">
        <v>0.16592719945199999</v>
      </c>
    </row>
    <row r="58" spans="1:11" ht="14.4" customHeight="1" thickBot="1" x14ac:dyDescent="0.35">
      <c r="A58" s="443" t="s">
        <v>46</v>
      </c>
      <c r="B58" s="423">
        <v>0</v>
      </c>
      <c r="C58" s="423">
        <v>221.36724000000001</v>
      </c>
      <c r="D58" s="424">
        <v>221.36724000000001</v>
      </c>
      <c r="E58" s="425" t="s">
        <v>257</v>
      </c>
      <c r="F58" s="423">
        <v>14.483821636890999</v>
      </c>
      <c r="G58" s="424">
        <v>2.4139702728149999</v>
      </c>
      <c r="H58" s="426">
        <v>5.5369999999999999</v>
      </c>
      <c r="I58" s="423">
        <v>11.268000000000001</v>
      </c>
      <c r="J58" s="424">
        <v>8.8540297271840007</v>
      </c>
      <c r="K58" s="431">
        <v>0.77797146930399996</v>
      </c>
    </row>
    <row r="59" spans="1:11" ht="14.4" customHeight="1" thickBot="1" x14ac:dyDescent="0.35">
      <c r="A59" s="439" t="s">
        <v>310</v>
      </c>
      <c r="B59" s="423">
        <v>0</v>
      </c>
      <c r="C59" s="423">
        <v>68.881</v>
      </c>
      <c r="D59" s="424">
        <v>68.881</v>
      </c>
      <c r="E59" s="425" t="s">
        <v>257</v>
      </c>
      <c r="F59" s="423">
        <v>0</v>
      </c>
      <c r="G59" s="424">
        <v>0</v>
      </c>
      <c r="H59" s="426">
        <v>5.5369999999999999</v>
      </c>
      <c r="I59" s="423">
        <v>11.268000000000001</v>
      </c>
      <c r="J59" s="424">
        <v>11.268000000000001</v>
      </c>
      <c r="K59" s="427" t="s">
        <v>257</v>
      </c>
    </row>
    <row r="60" spans="1:11" ht="14.4" customHeight="1" thickBot="1" x14ac:dyDescent="0.35">
      <c r="A60" s="440" t="s">
        <v>311</v>
      </c>
      <c r="B60" s="418">
        <v>0</v>
      </c>
      <c r="C60" s="418">
        <v>68.881</v>
      </c>
      <c r="D60" s="419">
        <v>68.881</v>
      </c>
      <c r="E60" s="428" t="s">
        <v>257</v>
      </c>
      <c r="F60" s="418">
        <v>0</v>
      </c>
      <c r="G60" s="419">
        <v>0</v>
      </c>
      <c r="H60" s="421">
        <v>5.5369999999999999</v>
      </c>
      <c r="I60" s="418">
        <v>11.268000000000001</v>
      </c>
      <c r="J60" s="419">
        <v>11.268000000000001</v>
      </c>
      <c r="K60" s="429" t="s">
        <v>257</v>
      </c>
    </row>
    <row r="61" spans="1:11" ht="14.4" customHeight="1" thickBot="1" x14ac:dyDescent="0.35">
      <c r="A61" s="439" t="s">
        <v>312</v>
      </c>
      <c r="B61" s="423">
        <v>0</v>
      </c>
      <c r="C61" s="423">
        <v>152.48624000000001</v>
      </c>
      <c r="D61" s="424">
        <v>152.48624000000001</v>
      </c>
      <c r="E61" s="425" t="s">
        <v>257</v>
      </c>
      <c r="F61" s="423">
        <v>14.483821636890999</v>
      </c>
      <c r="G61" s="424">
        <v>2.4139702728149999</v>
      </c>
      <c r="H61" s="426">
        <v>0</v>
      </c>
      <c r="I61" s="423">
        <v>0</v>
      </c>
      <c r="J61" s="424">
        <v>-2.4139702728149999</v>
      </c>
      <c r="K61" s="431">
        <v>0</v>
      </c>
    </row>
    <row r="62" spans="1:11" ht="14.4" customHeight="1" thickBot="1" x14ac:dyDescent="0.35">
      <c r="A62" s="440" t="s">
        <v>313</v>
      </c>
      <c r="B62" s="418">
        <v>0</v>
      </c>
      <c r="C62" s="418">
        <v>136.89400000000001</v>
      </c>
      <c r="D62" s="419">
        <v>136.89400000000001</v>
      </c>
      <c r="E62" s="428" t="s">
        <v>257</v>
      </c>
      <c r="F62" s="418">
        <v>0</v>
      </c>
      <c r="G62" s="419">
        <v>0</v>
      </c>
      <c r="H62" s="421">
        <v>0</v>
      </c>
      <c r="I62" s="418">
        <v>0</v>
      </c>
      <c r="J62" s="419">
        <v>0</v>
      </c>
      <c r="K62" s="429" t="s">
        <v>257</v>
      </c>
    </row>
    <row r="63" spans="1:11" ht="14.4" customHeight="1" thickBot="1" x14ac:dyDescent="0.35">
      <c r="A63" s="440" t="s">
        <v>314</v>
      </c>
      <c r="B63" s="418">
        <v>0</v>
      </c>
      <c r="C63" s="418">
        <v>15.59224</v>
      </c>
      <c r="D63" s="419">
        <v>15.59224</v>
      </c>
      <c r="E63" s="428" t="s">
        <v>267</v>
      </c>
      <c r="F63" s="418">
        <v>14.483821636890999</v>
      </c>
      <c r="G63" s="419">
        <v>2.4139702728149999</v>
      </c>
      <c r="H63" s="421">
        <v>0</v>
      </c>
      <c r="I63" s="418">
        <v>0</v>
      </c>
      <c r="J63" s="419">
        <v>-2.4139702728149999</v>
      </c>
      <c r="K63" s="422">
        <v>0</v>
      </c>
    </row>
    <row r="64" spans="1:11" ht="14.4" customHeight="1" thickBot="1" x14ac:dyDescent="0.35">
      <c r="A64" s="438" t="s">
        <v>47</v>
      </c>
      <c r="B64" s="418">
        <v>1177.5292089068801</v>
      </c>
      <c r="C64" s="418">
        <v>988.36800000000005</v>
      </c>
      <c r="D64" s="419">
        <v>-189.16120890688299</v>
      </c>
      <c r="E64" s="420">
        <v>0.83935752295900001</v>
      </c>
      <c r="F64" s="418">
        <v>1139.0059012478</v>
      </c>
      <c r="G64" s="419">
        <v>189.834316874633</v>
      </c>
      <c r="H64" s="421">
        <v>55.748699999999999</v>
      </c>
      <c r="I64" s="418">
        <v>117.06938</v>
      </c>
      <c r="J64" s="419">
        <v>-72.764936874632994</v>
      </c>
      <c r="K64" s="422">
        <v>0.102782066248</v>
      </c>
    </row>
    <row r="65" spans="1:11" ht="14.4" customHeight="1" thickBot="1" x14ac:dyDescent="0.35">
      <c r="A65" s="439" t="s">
        <v>315</v>
      </c>
      <c r="B65" s="423">
        <v>0.20973774570699999</v>
      </c>
      <c r="C65" s="423">
        <v>0</v>
      </c>
      <c r="D65" s="424">
        <v>-0.20973774570699999</v>
      </c>
      <c r="E65" s="430">
        <v>0</v>
      </c>
      <c r="F65" s="423">
        <v>0</v>
      </c>
      <c r="G65" s="424">
        <v>0</v>
      </c>
      <c r="H65" s="426">
        <v>0</v>
      </c>
      <c r="I65" s="423">
        <v>0</v>
      </c>
      <c r="J65" s="424">
        <v>0</v>
      </c>
      <c r="K65" s="431">
        <v>2</v>
      </c>
    </row>
    <row r="66" spans="1:11" ht="14.4" customHeight="1" thickBot="1" x14ac:dyDescent="0.35">
      <c r="A66" s="440" t="s">
        <v>316</v>
      </c>
      <c r="B66" s="418">
        <v>0.20973774570699999</v>
      </c>
      <c r="C66" s="418">
        <v>0</v>
      </c>
      <c r="D66" s="419">
        <v>-0.20973774570699999</v>
      </c>
      <c r="E66" s="420">
        <v>0</v>
      </c>
      <c r="F66" s="418">
        <v>0</v>
      </c>
      <c r="G66" s="419">
        <v>0</v>
      </c>
      <c r="H66" s="421">
        <v>0</v>
      </c>
      <c r="I66" s="418">
        <v>0</v>
      </c>
      <c r="J66" s="419">
        <v>0</v>
      </c>
      <c r="K66" s="422">
        <v>2</v>
      </c>
    </row>
    <row r="67" spans="1:11" ht="14.4" customHeight="1" thickBot="1" x14ac:dyDescent="0.35">
      <c r="A67" s="439" t="s">
        <v>317</v>
      </c>
      <c r="B67" s="423">
        <v>56.540991433949003</v>
      </c>
      <c r="C67" s="423">
        <v>31.502490000000002</v>
      </c>
      <c r="D67" s="424">
        <v>-25.038501433949001</v>
      </c>
      <c r="E67" s="430">
        <v>0.55716196693800002</v>
      </c>
      <c r="F67" s="423">
        <v>24.258582945118</v>
      </c>
      <c r="G67" s="424">
        <v>4.043097157519</v>
      </c>
      <c r="H67" s="426">
        <v>2.8897499999999998</v>
      </c>
      <c r="I67" s="423">
        <v>6.3853799999999996</v>
      </c>
      <c r="J67" s="424">
        <v>2.34228284248</v>
      </c>
      <c r="K67" s="431">
        <v>0.26322147564999998</v>
      </c>
    </row>
    <row r="68" spans="1:11" ht="14.4" customHeight="1" thickBot="1" x14ac:dyDescent="0.35">
      <c r="A68" s="440" t="s">
        <v>318</v>
      </c>
      <c r="B68" s="418">
        <v>37.165861453504</v>
      </c>
      <c r="C68" s="418">
        <v>23.976900000000001</v>
      </c>
      <c r="D68" s="419">
        <v>-13.188961453504</v>
      </c>
      <c r="E68" s="420">
        <v>0.64513236239600003</v>
      </c>
      <c r="F68" s="418">
        <v>15.982263055976</v>
      </c>
      <c r="G68" s="419">
        <v>2.6637105093289999</v>
      </c>
      <c r="H68" s="421">
        <v>2.1783999999999999</v>
      </c>
      <c r="I68" s="418">
        <v>5.1595000000000004</v>
      </c>
      <c r="J68" s="419">
        <v>2.49578949067</v>
      </c>
      <c r="K68" s="422">
        <v>0.32282662235800003</v>
      </c>
    </row>
    <row r="69" spans="1:11" ht="14.4" customHeight="1" thickBot="1" x14ac:dyDescent="0.35">
      <c r="A69" s="440" t="s">
        <v>319</v>
      </c>
      <c r="B69" s="418">
        <v>19.375129980444999</v>
      </c>
      <c r="C69" s="418">
        <v>7.5255900000000002</v>
      </c>
      <c r="D69" s="419">
        <v>-11.849539980445</v>
      </c>
      <c r="E69" s="420">
        <v>0.38841494263999998</v>
      </c>
      <c r="F69" s="418">
        <v>8.2763198891409999</v>
      </c>
      <c r="G69" s="419">
        <v>1.3793866481899999</v>
      </c>
      <c r="H69" s="421">
        <v>0.71135000000000004</v>
      </c>
      <c r="I69" s="418">
        <v>1.2258800000000001</v>
      </c>
      <c r="J69" s="419">
        <v>-0.15350664819000001</v>
      </c>
      <c r="K69" s="422">
        <v>0.14811897273399999</v>
      </c>
    </row>
    <row r="70" spans="1:11" ht="14.4" customHeight="1" thickBot="1" x14ac:dyDescent="0.35">
      <c r="A70" s="439" t="s">
        <v>320</v>
      </c>
      <c r="B70" s="423">
        <v>22.000411616270998</v>
      </c>
      <c r="C70" s="423">
        <v>32.546509999999998</v>
      </c>
      <c r="D70" s="424">
        <v>10.546098383727999</v>
      </c>
      <c r="E70" s="430">
        <v>1.4793591396229999</v>
      </c>
      <c r="F70" s="423">
        <v>37.030645591909</v>
      </c>
      <c r="G70" s="424">
        <v>6.1717742653179997</v>
      </c>
      <c r="H70" s="426">
        <v>0</v>
      </c>
      <c r="I70" s="423">
        <v>15.59834</v>
      </c>
      <c r="J70" s="424">
        <v>9.4265657346810006</v>
      </c>
      <c r="K70" s="431">
        <v>0.42122787088000002</v>
      </c>
    </row>
    <row r="71" spans="1:11" ht="14.4" customHeight="1" thickBot="1" x14ac:dyDescent="0.35">
      <c r="A71" s="440" t="s">
        <v>321</v>
      </c>
      <c r="B71" s="418">
        <v>3.0004122147249999</v>
      </c>
      <c r="C71" s="418">
        <v>2.7</v>
      </c>
      <c r="D71" s="419">
        <v>-0.30041221472500002</v>
      </c>
      <c r="E71" s="420">
        <v>0.89987635257200005</v>
      </c>
      <c r="F71" s="418">
        <v>3.0000008269670002</v>
      </c>
      <c r="G71" s="419">
        <v>0.50000013782700004</v>
      </c>
      <c r="H71" s="421">
        <v>0</v>
      </c>
      <c r="I71" s="418">
        <v>0.67500000000000004</v>
      </c>
      <c r="J71" s="419">
        <v>0.174999862172</v>
      </c>
      <c r="K71" s="422">
        <v>0.22499993797699999</v>
      </c>
    </row>
    <row r="72" spans="1:11" ht="14.4" customHeight="1" thickBot="1" x14ac:dyDescent="0.35">
      <c r="A72" s="440" t="s">
        <v>322</v>
      </c>
      <c r="B72" s="418">
        <v>18.999999401545001</v>
      </c>
      <c r="C72" s="418">
        <v>29.846509999999999</v>
      </c>
      <c r="D72" s="419">
        <v>10.846510598454</v>
      </c>
      <c r="E72" s="420">
        <v>1.570868996847</v>
      </c>
      <c r="F72" s="418">
        <v>34.030644764941997</v>
      </c>
      <c r="G72" s="419">
        <v>5.67177412749</v>
      </c>
      <c r="H72" s="421">
        <v>0</v>
      </c>
      <c r="I72" s="418">
        <v>14.92334</v>
      </c>
      <c r="J72" s="419">
        <v>9.2515658725089995</v>
      </c>
      <c r="K72" s="422">
        <v>0.438526513472</v>
      </c>
    </row>
    <row r="73" spans="1:11" ht="14.4" customHeight="1" thickBot="1" x14ac:dyDescent="0.35">
      <c r="A73" s="439" t="s">
        <v>323</v>
      </c>
      <c r="B73" s="423">
        <v>339.53962240085599</v>
      </c>
      <c r="C73" s="423">
        <v>261.39769000000001</v>
      </c>
      <c r="D73" s="424">
        <v>-78.141932400856007</v>
      </c>
      <c r="E73" s="430">
        <v>0.76985916445199998</v>
      </c>
      <c r="F73" s="423">
        <v>262.74603648262303</v>
      </c>
      <c r="G73" s="424">
        <v>43.791006080437</v>
      </c>
      <c r="H73" s="426">
        <v>22.027950000000001</v>
      </c>
      <c r="I73" s="423">
        <v>43.865659999999998</v>
      </c>
      <c r="J73" s="424">
        <v>7.4653919562000001E-2</v>
      </c>
      <c r="K73" s="431">
        <v>0.16695079624100001</v>
      </c>
    </row>
    <row r="74" spans="1:11" ht="14.4" customHeight="1" thickBot="1" x14ac:dyDescent="0.35">
      <c r="A74" s="440" t="s">
        <v>324</v>
      </c>
      <c r="B74" s="418">
        <v>300.521922908634</v>
      </c>
      <c r="C74" s="418">
        <v>221.89814999999999</v>
      </c>
      <c r="D74" s="419">
        <v>-78.623772908633995</v>
      </c>
      <c r="E74" s="420">
        <v>0.73837591564799998</v>
      </c>
      <c r="F74" s="418">
        <v>228.475804794737</v>
      </c>
      <c r="G74" s="419">
        <v>38.079300799122002</v>
      </c>
      <c r="H74" s="421">
        <v>19.01399</v>
      </c>
      <c r="I74" s="418">
        <v>38.027979999999999</v>
      </c>
      <c r="J74" s="419">
        <v>-5.1320799122000001E-2</v>
      </c>
      <c r="K74" s="422">
        <v>0.16644204419799999</v>
      </c>
    </row>
    <row r="75" spans="1:11" ht="14.4" customHeight="1" thickBot="1" x14ac:dyDescent="0.35">
      <c r="A75" s="440" t="s">
        <v>325</v>
      </c>
      <c r="B75" s="418">
        <v>1.6778072749749999</v>
      </c>
      <c r="C75" s="418">
        <v>0.36399999999999999</v>
      </c>
      <c r="D75" s="419">
        <v>-1.3138072749750001</v>
      </c>
      <c r="E75" s="420">
        <v>0.216949828165</v>
      </c>
      <c r="F75" s="418">
        <v>0.401876120989</v>
      </c>
      <c r="G75" s="419">
        <v>6.6979353497999994E-2</v>
      </c>
      <c r="H75" s="421">
        <v>0.182</v>
      </c>
      <c r="I75" s="418">
        <v>0.182</v>
      </c>
      <c r="J75" s="419">
        <v>0.115020646501</v>
      </c>
      <c r="K75" s="422">
        <v>0.45287587516200001</v>
      </c>
    </row>
    <row r="76" spans="1:11" ht="14.4" customHeight="1" thickBot="1" x14ac:dyDescent="0.35">
      <c r="A76" s="440" t="s">
        <v>326</v>
      </c>
      <c r="B76" s="418">
        <v>37.339892217246003</v>
      </c>
      <c r="C76" s="418">
        <v>39.135539999999999</v>
      </c>
      <c r="D76" s="419">
        <v>1.795647782753</v>
      </c>
      <c r="E76" s="420">
        <v>1.0480892599339999</v>
      </c>
      <c r="F76" s="418">
        <v>33.868355566896</v>
      </c>
      <c r="G76" s="419">
        <v>5.6447259278160002</v>
      </c>
      <c r="H76" s="421">
        <v>2.83196</v>
      </c>
      <c r="I76" s="418">
        <v>5.6556800000000003</v>
      </c>
      <c r="J76" s="419">
        <v>1.0954072182999999E-2</v>
      </c>
      <c r="K76" s="422">
        <v>0.16699009754999999</v>
      </c>
    </row>
    <row r="77" spans="1:11" ht="14.4" customHeight="1" thickBot="1" x14ac:dyDescent="0.35">
      <c r="A77" s="439" t="s">
        <v>327</v>
      </c>
      <c r="B77" s="423">
        <v>569.238451694638</v>
      </c>
      <c r="C77" s="423">
        <v>527.35258999999996</v>
      </c>
      <c r="D77" s="424">
        <v>-41.885861694638002</v>
      </c>
      <c r="E77" s="430">
        <v>0.92641772253700005</v>
      </c>
      <c r="F77" s="423">
        <v>404.170123643718</v>
      </c>
      <c r="G77" s="424">
        <v>67.361687273952995</v>
      </c>
      <c r="H77" s="426">
        <v>30.831</v>
      </c>
      <c r="I77" s="423">
        <v>51.22</v>
      </c>
      <c r="J77" s="424">
        <v>-16.141687273953</v>
      </c>
      <c r="K77" s="431">
        <v>0.126728812951</v>
      </c>
    </row>
    <row r="78" spans="1:11" ht="14.4" customHeight="1" thickBot="1" x14ac:dyDescent="0.35">
      <c r="A78" s="440" t="s">
        <v>328</v>
      </c>
      <c r="B78" s="418">
        <v>0</v>
      </c>
      <c r="C78" s="418">
        <v>19.54</v>
      </c>
      <c r="D78" s="419">
        <v>19.54</v>
      </c>
      <c r="E78" s="428" t="s">
        <v>267</v>
      </c>
      <c r="F78" s="418">
        <v>0</v>
      </c>
      <c r="G78" s="419">
        <v>0</v>
      </c>
      <c r="H78" s="421">
        <v>0</v>
      </c>
      <c r="I78" s="418">
        <v>0</v>
      </c>
      <c r="J78" s="419">
        <v>0</v>
      </c>
      <c r="K78" s="429" t="s">
        <v>257</v>
      </c>
    </row>
    <row r="79" spans="1:11" ht="14.4" customHeight="1" thickBot="1" x14ac:dyDescent="0.35">
      <c r="A79" s="440" t="s">
        <v>329</v>
      </c>
      <c r="B79" s="418">
        <v>325.21709860875001</v>
      </c>
      <c r="C79" s="418">
        <v>352.35059999999999</v>
      </c>
      <c r="D79" s="419">
        <v>27.13350139125</v>
      </c>
      <c r="E79" s="420">
        <v>1.0834319643929999</v>
      </c>
      <c r="F79" s="418">
        <v>236.79725335384899</v>
      </c>
      <c r="G79" s="419">
        <v>39.466208892308003</v>
      </c>
      <c r="H79" s="421">
        <v>30.831</v>
      </c>
      <c r="I79" s="418">
        <v>38.938000000000002</v>
      </c>
      <c r="J79" s="419">
        <v>-0.52820889230800006</v>
      </c>
      <c r="K79" s="422">
        <v>0.16443602891699999</v>
      </c>
    </row>
    <row r="80" spans="1:11" ht="14.4" customHeight="1" thickBot="1" x14ac:dyDescent="0.35">
      <c r="A80" s="440" t="s">
        <v>330</v>
      </c>
      <c r="B80" s="418">
        <v>31.999998992077</v>
      </c>
      <c r="C80" s="418">
        <v>16.598600000000001</v>
      </c>
      <c r="D80" s="419">
        <v>-15.401398992077</v>
      </c>
      <c r="E80" s="420">
        <v>0.51870626633700001</v>
      </c>
      <c r="F80" s="418">
        <v>15.000004134835001</v>
      </c>
      <c r="G80" s="419">
        <v>2.5000006891390001</v>
      </c>
      <c r="H80" s="421">
        <v>0</v>
      </c>
      <c r="I80" s="418">
        <v>1.089</v>
      </c>
      <c r="J80" s="419">
        <v>-1.4110006891389999</v>
      </c>
      <c r="K80" s="422">
        <v>7.2599979987000005E-2</v>
      </c>
    </row>
    <row r="81" spans="1:11" ht="14.4" customHeight="1" thickBot="1" x14ac:dyDescent="0.35">
      <c r="A81" s="440" t="s">
        <v>331</v>
      </c>
      <c r="B81" s="418">
        <v>210.09022643611701</v>
      </c>
      <c r="C81" s="418">
        <v>136.94917000000001</v>
      </c>
      <c r="D81" s="419">
        <v>-73.141056436116997</v>
      </c>
      <c r="E81" s="420">
        <v>0.65185883381200005</v>
      </c>
      <c r="F81" s="418">
        <v>149.35270764786901</v>
      </c>
      <c r="G81" s="419">
        <v>24.892117941311</v>
      </c>
      <c r="H81" s="421">
        <v>0</v>
      </c>
      <c r="I81" s="418">
        <v>11.193</v>
      </c>
      <c r="J81" s="419">
        <v>-13.699117941311</v>
      </c>
      <c r="K81" s="422">
        <v>7.4943401938999996E-2</v>
      </c>
    </row>
    <row r="82" spans="1:11" ht="14.4" customHeight="1" thickBot="1" x14ac:dyDescent="0.35">
      <c r="A82" s="440" t="s">
        <v>332</v>
      </c>
      <c r="B82" s="418">
        <v>1.9311276576930001</v>
      </c>
      <c r="C82" s="418">
        <v>1.91422</v>
      </c>
      <c r="D82" s="419">
        <v>-1.6907657693000001E-2</v>
      </c>
      <c r="E82" s="420">
        <v>0.99124467115000003</v>
      </c>
      <c r="F82" s="418">
        <v>3.020158507164</v>
      </c>
      <c r="G82" s="419">
        <v>0.503359751194</v>
      </c>
      <c r="H82" s="421">
        <v>0</v>
      </c>
      <c r="I82" s="418">
        <v>0</v>
      </c>
      <c r="J82" s="419">
        <v>-0.503359751194</v>
      </c>
      <c r="K82" s="422">
        <v>0</v>
      </c>
    </row>
    <row r="83" spans="1:11" ht="14.4" customHeight="1" thickBot="1" x14ac:dyDescent="0.35">
      <c r="A83" s="439" t="s">
        <v>333</v>
      </c>
      <c r="B83" s="423">
        <v>189.99999401546</v>
      </c>
      <c r="C83" s="423">
        <v>135.56872000000001</v>
      </c>
      <c r="D83" s="424">
        <v>-54.431274015459998</v>
      </c>
      <c r="E83" s="430">
        <v>0.71351960142100002</v>
      </c>
      <c r="F83" s="423">
        <v>410.80051258443098</v>
      </c>
      <c r="G83" s="424">
        <v>68.466752097405006</v>
      </c>
      <c r="H83" s="426">
        <v>0</v>
      </c>
      <c r="I83" s="423">
        <v>0</v>
      </c>
      <c r="J83" s="424">
        <v>-68.466752097405006</v>
      </c>
      <c r="K83" s="431">
        <v>0</v>
      </c>
    </row>
    <row r="84" spans="1:11" ht="14.4" customHeight="1" thickBot="1" x14ac:dyDescent="0.35">
      <c r="A84" s="440" t="s">
        <v>334</v>
      </c>
      <c r="B84" s="418">
        <v>0</v>
      </c>
      <c r="C84" s="418">
        <v>37.50318</v>
      </c>
      <c r="D84" s="419">
        <v>37.50318</v>
      </c>
      <c r="E84" s="428" t="s">
        <v>267</v>
      </c>
      <c r="F84" s="418">
        <v>19.680903830786999</v>
      </c>
      <c r="G84" s="419">
        <v>3.2801506384639998</v>
      </c>
      <c r="H84" s="421">
        <v>0</v>
      </c>
      <c r="I84" s="418">
        <v>0</v>
      </c>
      <c r="J84" s="419">
        <v>-3.2801506384639998</v>
      </c>
      <c r="K84" s="422">
        <v>0</v>
      </c>
    </row>
    <row r="85" spans="1:11" ht="14.4" customHeight="1" thickBot="1" x14ac:dyDescent="0.35">
      <c r="A85" s="440" t="s">
        <v>335</v>
      </c>
      <c r="B85" s="418">
        <v>99.999996850241999</v>
      </c>
      <c r="C85" s="418">
        <v>16.401140000000002</v>
      </c>
      <c r="D85" s="419">
        <v>-83.598856850242001</v>
      </c>
      <c r="E85" s="420">
        <v>0.16401140516500001</v>
      </c>
      <c r="F85" s="418">
        <v>231.119564648737</v>
      </c>
      <c r="G85" s="419">
        <v>38.519927441455998</v>
      </c>
      <c r="H85" s="421">
        <v>0</v>
      </c>
      <c r="I85" s="418">
        <v>0</v>
      </c>
      <c r="J85" s="419">
        <v>-38.519927441455998</v>
      </c>
      <c r="K85" s="422">
        <v>0</v>
      </c>
    </row>
    <row r="86" spans="1:11" ht="14.4" customHeight="1" thickBot="1" x14ac:dyDescent="0.35">
      <c r="A86" s="440" t="s">
        <v>336</v>
      </c>
      <c r="B86" s="418">
        <v>89.999997165218005</v>
      </c>
      <c r="C86" s="418">
        <v>81.664400000000001</v>
      </c>
      <c r="D86" s="419">
        <v>-8.3355971652179992</v>
      </c>
      <c r="E86" s="420">
        <v>0.90738225080199997</v>
      </c>
      <c r="F86" s="418">
        <v>160.000044104907</v>
      </c>
      <c r="G86" s="419">
        <v>26.666674017483999</v>
      </c>
      <c r="H86" s="421">
        <v>0</v>
      </c>
      <c r="I86" s="418">
        <v>0</v>
      </c>
      <c r="J86" s="419">
        <v>-26.666674017483999</v>
      </c>
      <c r="K86" s="422">
        <v>0</v>
      </c>
    </row>
    <row r="87" spans="1:11" ht="14.4" customHeight="1" thickBot="1" x14ac:dyDescent="0.35">
      <c r="A87" s="437" t="s">
        <v>48</v>
      </c>
      <c r="B87" s="418">
        <v>14899.9995306861</v>
      </c>
      <c r="C87" s="418">
        <v>14548.511909999999</v>
      </c>
      <c r="D87" s="419">
        <v>-351.48762068611398</v>
      </c>
      <c r="E87" s="420">
        <v>0.97641022605600003</v>
      </c>
      <c r="F87" s="418">
        <v>14901.004107545299</v>
      </c>
      <c r="G87" s="419">
        <v>2483.5006845908802</v>
      </c>
      <c r="H87" s="421">
        <v>1298.1050600000001</v>
      </c>
      <c r="I87" s="418">
        <v>2574.4253199999998</v>
      </c>
      <c r="J87" s="419">
        <v>90.924635409117997</v>
      </c>
      <c r="K87" s="422">
        <v>0.172768579984</v>
      </c>
    </row>
    <row r="88" spans="1:11" ht="14.4" customHeight="1" thickBot="1" x14ac:dyDescent="0.35">
      <c r="A88" s="443" t="s">
        <v>337</v>
      </c>
      <c r="B88" s="423">
        <v>11048.9996519833</v>
      </c>
      <c r="C88" s="423">
        <v>10789.688</v>
      </c>
      <c r="D88" s="424">
        <v>-259.31165198328</v>
      </c>
      <c r="E88" s="430">
        <v>0.97653075751999996</v>
      </c>
      <c r="F88" s="423">
        <v>11031.0030407578</v>
      </c>
      <c r="G88" s="424">
        <v>1838.5005067929701</v>
      </c>
      <c r="H88" s="426">
        <v>958.16899999999998</v>
      </c>
      <c r="I88" s="423">
        <v>1900.232</v>
      </c>
      <c r="J88" s="424">
        <v>61.731493207031001</v>
      </c>
      <c r="K88" s="431">
        <v>0.172262847991</v>
      </c>
    </row>
    <row r="89" spans="1:11" ht="14.4" customHeight="1" thickBot="1" x14ac:dyDescent="0.35">
      <c r="A89" s="439" t="s">
        <v>338</v>
      </c>
      <c r="B89" s="423">
        <v>10999.9996535267</v>
      </c>
      <c r="C89" s="423">
        <v>10708.985000000001</v>
      </c>
      <c r="D89" s="424">
        <v>-291.01465352666099</v>
      </c>
      <c r="E89" s="430">
        <v>0.97354412157299997</v>
      </c>
      <c r="F89" s="423">
        <v>10900.0030046469</v>
      </c>
      <c r="G89" s="424">
        <v>1816.66716744115</v>
      </c>
      <c r="H89" s="426">
        <v>944.16899999999998</v>
      </c>
      <c r="I89" s="423">
        <v>1874.6320000000001</v>
      </c>
      <c r="J89" s="424">
        <v>57.964832558847</v>
      </c>
      <c r="K89" s="431">
        <v>0.17198453974700001</v>
      </c>
    </row>
    <row r="90" spans="1:11" ht="14.4" customHeight="1" thickBot="1" x14ac:dyDescent="0.35">
      <c r="A90" s="440" t="s">
        <v>339</v>
      </c>
      <c r="B90" s="418">
        <v>10999.9996535267</v>
      </c>
      <c r="C90" s="418">
        <v>10708.985000000001</v>
      </c>
      <c r="D90" s="419">
        <v>-291.01465352666099</v>
      </c>
      <c r="E90" s="420">
        <v>0.97354412157299997</v>
      </c>
      <c r="F90" s="418">
        <v>10900.0030046469</v>
      </c>
      <c r="G90" s="419">
        <v>1816.66716744115</v>
      </c>
      <c r="H90" s="421">
        <v>944.16899999999998</v>
      </c>
      <c r="I90" s="418">
        <v>1874.6320000000001</v>
      </c>
      <c r="J90" s="419">
        <v>57.964832558847</v>
      </c>
      <c r="K90" s="422">
        <v>0.17198453974700001</v>
      </c>
    </row>
    <row r="91" spans="1:11" ht="14.4" customHeight="1" thickBot="1" x14ac:dyDescent="0.35">
      <c r="A91" s="439" t="s">
        <v>340</v>
      </c>
      <c r="B91" s="423">
        <v>14.999999527536</v>
      </c>
      <c r="C91" s="423">
        <v>70.8</v>
      </c>
      <c r="D91" s="424">
        <v>55.800000472462997</v>
      </c>
      <c r="E91" s="430">
        <v>4.7200001486680003</v>
      </c>
      <c r="F91" s="423">
        <v>100.000027565568</v>
      </c>
      <c r="G91" s="424">
        <v>16.666671260927998</v>
      </c>
      <c r="H91" s="426">
        <v>14</v>
      </c>
      <c r="I91" s="423">
        <v>25.6</v>
      </c>
      <c r="J91" s="424">
        <v>8.9333287390719995</v>
      </c>
      <c r="K91" s="431">
        <v>0.25599992943200001</v>
      </c>
    </row>
    <row r="92" spans="1:11" ht="14.4" customHeight="1" thickBot="1" x14ac:dyDescent="0.35">
      <c r="A92" s="440" t="s">
        <v>341</v>
      </c>
      <c r="B92" s="418">
        <v>14.999999527536</v>
      </c>
      <c r="C92" s="418">
        <v>70.8</v>
      </c>
      <c r="D92" s="419">
        <v>55.800000472462997</v>
      </c>
      <c r="E92" s="420">
        <v>4.7200001486680003</v>
      </c>
      <c r="F92" s="418">
        <v>100.000027565568</v>
      </c>
      <c r="G92" s="419">
        <v>16.666671260927998</v>
      </c>
      <c r="H92" s="421">
        <v>14</v>
      </c>
      <c r="I92" s="418">
        <v>25.6</v>
      </c>
      <c r="J92" s="419">
        <v>8.9333287390719995</v>
      </c>
      <c r="K92" s="422">
        <v>0.25599992943200001</v>
      </c>
    </row>
    <row r="93" spans="1:11" ht="14.4" customHeight="1" thickBot="1" x14ac:dyDescent="0.35">
      <c r="A93" s="439" t="s">
        <v>342</v>
      </c>
      <c r="B93" s="423">
        <v>33.999998929081997</v>
      </c>
      <c r="C93" s="423">
        <v>9.9030000000000005</v>
      </c>
      <c r="D93" s="424">
        <v>-24.096998929082002</v>
      </c>
      <c r="E93" s="430">
        <v>0.29126471505599999</v>
      </c>
      <c r="F93" s="423">
        <v>31.000008545326001</v>
      </c>
      <c r="G93" s="424">
        <v>5.1666680908869997</v>
      </c>
      <c r="H93" s="426">
        <v>0</v>
      </c>
      <c r="I93" s="423">
        <v>0</v>
      </c>
      <c r="J93" s="424">
        <v>-5.1666680908869997</v>
      </c>
      <c r="K93" s="431">
        <v>0</v>
      </c>
    </row>
    <row r="94" spans="1:11" ht="14.4" customHeight="1" thickBot="1" x14ac:dyDescent="0.35">
      <c r="A94" s="440" t="s">
        <v>343</v>
      </c>
      <c r="B94" s="418">
        <v>33.999998929081997</v>
      </c>
      <c r="C94" s="418">
        <v>9.9030000000000005</v>
      </c>
      <c r="D94" s="419">
        <v>-24.096998929082002</v>
      </c>
      <c r="E94" s="420">
        <v>0.29126471505599999</v>
      </c>
      <c r="F94" s="418">
        <v>31.000008545326001</v>
      </c>
      <c r="G94" s="419">
        <v>5.1666680908869997</v>
      </c>
      <c r="H94" s="421">
        <v>0</v>
      </c>
      <c r="I94" s="418">
        <v>0</v>
      </c>
      <c r="J94" s="419">
        <v>-5.1666680908869997</v>
      </c>
      <c r="K94" s="422">
        <v>0</v>
      </c>
    </row>
    <row r="95" spans="1:11" ht="14.4" customHeight="1" thickBot="1" x14ac:dyDescent="0.35">
      <c r="A95" s="438" t="s">
        <v>344</v>
      </c>
      <c r="B95" s="418">
        <v>3740.9998821675699</v>
      </c>
      <c r="C95" s="418">
        <v>3651.6333</v>
      </c>
      <c r="D95" s="419">
        <v>-89.366582167565994</v>
      </c>
      <c r="E95" s="420">
        <v>0.97611157845899998</v>
      </c>
      <c r="F95" s="418">
        <v>3706.0010215799498</v>
      </c>
      <c r="G95" s="419">
        <v>617.66683692999197</v>
      </c>
      <c r="H95" s="421">
        <v>325.77562</v>
      </c>
      <c r="I95" s="418">
        <v>646.07506999999998</v>
      </c>
      <c r="J95" s="419">
        <v>28.408233070007999</v>
      </c>
      <c r="K95" s="422">
        <v>0.17433213488999999</v>
      </c>
    </row>
    <row r="96" spans="1:11" ht="14.4" customHeight="1" thickBot="1" x14ac:dyDescent="0.35">
      <c r="A96" s="439" t="s">
        <v>345</v>
      </c>
      <c r="B96" s="423">
        <v>990.99996878590196</v>
      </c>
      <c r="C96" s="423">
        <v>967.45506</v>
      </c>
      <c r="D96" s="424">
        <v>-23.544908785901001</v>
      </c>
      <c r="E96" s="430">
        <v>0.97624126182799997</v>
      </c>
      <c r="F96" s="423">
        <v>981.00027041822204</v>
      </c>
      <c r="G96" s="424">
        <v>163.50004506970399</v>
      </c>
      <c r="H96" s="426">
        <v>86.233369999999994</v>
      </c>
      <c r="I96" s="423">
        <v>171.01706999999999</v>
      </c>
      <c r="J96" s="424">
        <v>7.5170249302960004</v>
      </c>
      <c r="K96" s="431">
        <v>0.174329279162</v>
      </c>
    </row>
    <row r="97" spans="1:11" ht="14.4" customHeight="1" thickBot="1" x14ac:dyDescent="0.35">
      <c r="A97" s="440" t="s">
        <v>346</v>
      </c>
      <c r="B97" s="418">
        <v>990.99996878590196</v>
      </c>
      <c r="C97" s="418">
        <v>967.45506</v>
      </c>
      <c r="D97" s="419">
        <v>-23.544908785901001</v>
      </c>
      <c r="E97" s="420">
        <v>0.97624126182799997</v>
      </c>
      <c r="F97" s="418">
        <v>981.00027041822204</v>
      </c>
      <c r="G97" s="419">
        <v>163.50004506970399</v>
      </c>
      <c r="H97" s="421">
        <v>86.233369999999994</v>
      </c>
      <c r="I97" s="418">
        <v>171.01706999999999</v>
      </c>
      <c r="J97" s="419">
        <v>7.5170249302960004</v>
      </c>
      <c r="K97" s="422">
        <v>0.174329279162</v>
      </c>
    </row>
    <row r="98" spans="1:11" ht="14.4" customHeight="1" thickBot="1" x14ac:dyDescent="0.35">
      <c r="A98" s="439" t="s">
        <v>347</v>
      </c>
      <c r="B98" s="423">
        <v>2749.99991338167</v>
      </c>
      <c r="C98" s="423">
        <v>2684.1782400000002</v>
      </c>
      <c r="D98" s="424">
        <v>-65.821673381664993</v>
      </c>
      <c r="E98" s="430">
        <v>0.97606484528899995</v>
      </c>
      <c r="F98" s="423">
        <v>2725.00075116173</v>
      </c>
      <c r="G98" s="424">
        <v>454.16679186028801</v>
      </c>
      <c r="H98" s="426">
        <v>239.54225</v>
      </c>
      <c r="I98" s="423">
        <v>475.05799999999999</v>
      </c>
      <c r="J98" s="424">
        <v>20.891208139711001</v>
      </c>
      <c r="K98" s="431">
        <v>0.174333162953</v>
      </c>
    </row>
    <row r="99" spans="1:11" ht="14.4" customHeight="1" thickBot="1" x14ac:dyDescent="0.35">
      <c r="A99" s="440" t="s">
        <v>348</v>
      </c>
      <c r="B99" s="418">
        <v>2749.99991338167</v>
      </c>
      <c r="C99" s="418">
        <v>2684.1782400000002</v>
      </c>
      <c r="D99" s="419">
        <v>-65.821673381664993</v>
      </c>
      <c r="E99" s="420">
        <v>0.97606484528899995</v>
      </c>
      <c r="F99" s="418">
        <v>2725.00075116173</v>
      </c>
      <c r="G99" s="419">
        <v>454.16679186028801</v>
      </c>
      <c r="H99" s="421">
        <v>239.54225</v>
      </c>
      <c r="I99" s="418">
        <v>475.05799999999999</v>
      </c>
      <c r="J99" s="419">
        <v>20.891208139711001</v>
      </c>
      <c r="K99" s="422">
        <v>0.174333162953</v>
      </c>
    </row>
    <row r="100" spans="1:11" ht="14.4" customHeight="1" thickBot="1" x14ac:dyDescent="0.35">
      <c r="A100" s="438" t="s">
        <v>349</v>
      </c>
      <c r="B100" s="418">
        <v>109.999996535267</v>
      </c>
      <c r="C100" s="418">
        <v>107.19061000000001</v>
      </c>
      <c r="D100" s="419">
        <v>-2.8093865352659999</v>
      </c>
      <c r="E100" s="420">
        <v>0.97446012160200002</v>
      </c>
      <c r="F100" s="418">
        <v>164.000045207532</v>
      </c>
      <c r="G100" s="419">
        <v>27.333340867920999</v>
      </c>
      <c r="H100" s="421">
        <v>14.160439999999999</v>
      </c>
      <c r="I100" s="418">
        <v>28.11825</v>
      </c>
      <c r="J100" s="419">
        <v>0.78490913207799995</v>
      </c>
      <c r="K100" s="422">
        <v>0.17145269664000001</v>
      </c>
    </row>
    <row r="101" spans="1:11" ht="14.4" customHeight="1" thickBot="1" x14ac:dyDescent="0.35">
      <c r="A101" s="439" t="s">
        <v>350</v>
      </c>
      <c r="B101" s="423">
        <v>109.999996535267</v>
      </c>
      <c r="C101" s="423">
        <v>107.19061000000001</v>
      </c>
      <c r="D101" s="424">
        <v>-2.8093865352659999</v>
      </c>
      <c r="E101" s="430">
        <v>0.97446012160200002</v>
      </c>
      <c r="F101" s="423">
        <v>164.000045207532</v>
      </c>
      <c r="G101" s="424">
        <v>27.333340867920999</v>
      </c>
      <c r="H101" s="426">
        <v>14.160439999999999</v>
      </c>
      <c r="I101" s="423">
        <v>28.11825</v>
      </c>
      <c r="J101" s="424">
        <v>0.78490913207799995</v>
      </c>
      <c r="K101" s="431">
        <v>0.17145269664000001</v>
      </c>
    </row>
    <row r="102" spans="1:11" ht="14.4" customHeight="1" thickBot="1" x14ac:dyDescent="0.35">
      <c r="A102" s="440" t="s">
        <v>351</v>
      </c>
      <c r="B102" s="418">
        <v>109.999996535267</v>
      </c>
      <c r="C102" s="418">
        <v>107.19061000000001</v>
      </c>
      <c r="D102" s="419">
        <v>-2.8093865352659999</v>
      </c>
      <c r="E102" s="420">
        <v>0.97446012160200002</v>
      </c>
      <c r="F102" s="418">
        <v>164.000045207532</v>
      </c>
      <c r="G102" s="419">
        <v>27.333340867920999</v>
      </c>
      <c r="H102" s="421">
        <v>14.160439999999999</v>
      </c>
      <c r="I102" s="418">
        <v>28.11825</v>
      </c>
      <c r="J102" s="419">
        <v>0.78490913207799995</v>
      </c>
      <c r="K102" s="422">
        <v>0.17145269664000001</v>
      </c>
    </row>
    <row r="103" spans="1:11" ht="14.4" customHeight="1" thickBot="1" x14ac:dyDescent="0.35">
      <c r="A103" s="437" t="s">
        <v>352</v>
      </c>
      <c r="B103" s="418">
        <v>0</v>
      </c>
      <c r="C103" s="418">
        <v>106.84538000000001</v>
      </c>
      <c r="D103" s="419">
        <v>106.84538000000001</v>
      </c>
      <c r="E103" s="428" t="s">
        <v>257</v>
      </c>
      <c r="F103" s="418">
        <v>124.718878410923</v>
      </c>
      <c r="G103" s="419">
        <v>20.786479735153002</v>
      </c>
      <c r="H103" s="421">
        <v>5.7</v>
      </c>
      <c r="I103" s="418">
        <v>14.6</v>
      </c>
      <c r="J103" s="419">
        <v>-6.1864797351530001</v>
      </c>
      <c r="K103" s="422">
        <v>0.117063272104</v>
      </c>
    </row>
    <row r="104" spans="1:11" ht="14.4" customHeight="1" thickBot="1" x14ac:dyDescent="0.35">
      <c r="A104" s="438" t="s">
        <v>353</v>
      </c>
      <c r="B104" s="418">
        <v>0</v>
      </c>
      <c r="C104" s="418">
        <v>106.84538000000001</v>
      </c>
      <c r="D104" s="419">
        <v>106.84538000000001</v>
      </c>
      <c r="E104" s="428" t="s">
        <v>257</v>
      </c>
      <c r="F104" s="418">
        <v>124.718878410923</v>
      </c>
      <c r="G104" s="419">
        <v>20.786479735153002</v>
      </c>
      <c r="H104" s="421">
        <v>5.7</v>
      </c>
      <c r="I104" s="418">
        <v>14.6</v>
      </c>
      <c r="J104" s="419">
        <v>-6.1864797351530001</v>
      </c>
      <c r="K104" s="422">
        <v>0.117063272104</v>
      </c>
    </row>
    <row r="105" spans="1:11" ht="14.4" customHeight="1" thickBot="1" x14ac:dyDescent="0.35">
      <c r="A105" s="439" t="s">
        <v>354</v>
      </c>
      <c r="B105" s="423">
        <v>0</v>
      </c>
      <c r="C105" s="423">
        <v>47.507379999999998</v>
      </c>
      <c r="D105" s="424">
        <v>47.507379999999998</v>
      </c>
      <c r="E105" s="425" t="s">
        <v>257</v>
      </c>
      <c r="F105" s="423">
        <v>52.084766418634999</v>
      </c>
      <c r="G105" s="424">
        <v>8.6807944031050006</v>
      </c>
      <c r="H105" s="426">
        <v>3.3</v>
      </c>
      <c r="I105" s="423">
        <v>12.2</v>
      </c>
      <c r="J105" s="424">
        <v>3.5192055968939999</v>
      </c>
      <c r="K105" s="431">
        <v>0.234233555008</v>
      </c>
    </row>
    <row r="106" spans="1:11" ht="14.4" customHeight="1" thickBot="1" x14ac:dyDescent="0.35">
      <c r="A106" s="440" t="s">
        <v>355</v>
      </c>
      <c r="B106" s="418">
        <v>0</v>
      </c>
      <c r="C106" s="418">
        <v>0.59075</v>
      </c>
      <c r="D106" s="419">
        <v>0.59075</v>
      </c>
      <c r="E106" s="428" t="s">
        <v>257</v>
      </c>
      <c r="F106" s="418">
        <v>0</v>
      </c>
      <c r="G106" s="419">
        <v>0</v>
      </c>
      <c r="H106" s="421">
        <v>0</v>
      </c>
      <c r="I106" s="418">
        <v>0</v>
      </c>
      <c r="J106" s="419">
        <v>0</v>
      </c>
      <c r="K106" s="429" t="s">
        <v>257</v>
      </c>
    </row>
    <row r="107" spans="1:11" ht="14.4" customHeight="1" thickBot="1" x14ac:dyDescent="0.35">
      <c r="A107" s="440" t="s">
        <v>356</v>
      </c>
      <c r="B107" s="418">
        <v>0</v>
      </c>
      <c r="C107" s="418">
        <v>4.1666299999999996</v>
      </c>
      <c r="D107" s="419">
        <v>4.1666299999999996</v>
      </c>
      <c r="E107" s="428" t="s">
        <v>257</v>
      </c>
      <c r="F107" s="418">
        <v>4.9821576869069997</v>
      </c>
      <c r="G107" s="419">
        <v>0.83035961448399997</v>
      </c>
      <c r="H107" s="421">
        <v>0</v>
      </c>
      <c r="I107" s="418">
        <v>0</v>
      </c>
      <c r="J107" s="419">
        <v>-0.83035961448399997</v>
      </c>
      <c r="K107" s="422">
        <v>0</v>
      </c>
    </row>
    <row r="108" spans="1:11" ht="14.4" customHeight="1" thickBot="1" x14ac:dyDescent="0.35">
      <c r="A108" s="440" t="s">
        <v>357</v>
      </c>
      <c r="B108" s="418">
        <v>0</v>
      </c>
      <c r="C108" s="418">
        <v>42.75</v>
      </c>
      <c r="D108" s="419">
        <v>42.75</v>
      </c>
      <c r="E108" s="428" t="s">
        <v>257</v>
      </c>
      <c r="F108" s="418">
        <v>47.102608731727997</v>
      </c>
      <c r="G108" s="419">
        <v>7.8504347886210004</v>
      </c>
      <c r="H108" s="421">
        <v>3.3</v>
      </c>
      <c r="I108" s="418">
        <v>12.2</v>
      </c>
      <c r="J108" s="419">
        <v>4.3495652113779997</v>
      </c>
      <c r="K108" s="422">
        <v>0.25900900881</v>
      </c>
    </row>
    <row r="109" spans="1:11" ht="14.4" customHeight="1" thickBot="1" x14ac:dyDescent="0.35">
      <c r="A109" s="442" t="s">
        <v>358</v>
      </c>
      <c r="B109" s="418">
        <v>0</v>
      </c>
      <c r="C109" s="418">
        <v>12.8</v>
      </c>
      <c r="D109" s="419">
        <v>12.8</v>
      </c>
      <c r="E109" s="428" t="s">
        <v>257</v>
      </c>
      <c r="F109" s="418">
        <v>10.163345220781</v>
      </c>
      <c r="G109" s="419">
        <v>1.6938908701299999</v>
      </c>
      <c r="H109" s="421">
        <v>2.2000000000000002</v>
      </c>
      <c r="I109" s="418">
        <v>2.2000000000000002</v>
      </c>
      <c r="J109" s="419">
        <v>0.50610912986900003</v>
      </c>
      <c r="K109" s="422">
        <v>0.216464161376</v>
      </c>
    </row>
    <row r="110" spans="1:11" ht="14.4" customHeight="1" thickBot="1" x14ac:dyDescent="0.35">
      <c r="A110" s="440" t="s">
        <v>359</v>
      </c>
      <c r="B110" s="418">
        <v>0</v>
      </c>
      <c r="C110" s="418">
        <v>12.8</v>
      </c>
      <c r="D110" s="419">
        <v>12.8</v>
      </c>
      <c r="E110" s="428" t="s">
        <v>257</v>
      </c>
      <c r="F110" s="418">
        <v>10.163345220781</v>
      </c>
      <c r="G110" s="419">
        <v>1.6938908701299999</v>
      </c>
      <c r="H110" s="421">
        <v>2.2000000000000002</v>
      </c>
      <c r="I110" s="418">
        <v>2.2000000000000002</v>
      </c>
      <c r="J110" s="419">
        <v>0.50610912986900003</v>
      </c>
      <c r="K110" s="422">
        <v>0.216464161376</v>
      </c>
    </row>
    <row r="111" spans="1:11" ht="14.4" customHeight="1" thickBot="1" x14ac:dyDescent="0.35">
      <c r="A111" s="442" t="s">
        <v>360</v>
      </c>
      <c r="B111" s="418">
        <v>0</v>
      </c>
      <c r="C111" s="418">
        <v>13.4</v>
      </c>
      <c r="D111" s="419">
        <v>13.4</v>
      </c>
      <c r="E111" s="428" t="s">
        <v>257</v>
      </c>
      <c r="F111" s="418">
        <v>10.807002827198</v>
      </c>
      <c r="G111" s="419">
        <v>1.8011671378659999</v>
      </c>
      <c r="H111" s="421">
        <v>0.2</v>
      </c>
      <c r="I111" s="418">
        <v>0.2</v>
      </c>
      <c r="J111" s="419">
        <v>-1.601167137866</v>
      </c>
      <c r="K111" s="422">
        <v>1.8506518707999998E-2</v>
      </c>
    </row>
    <row r="112" spans="1:11" ht="14.4" customHeight="1" thickBot="1" x14ac:dyDescent="0.35">
      <c r="A112" s="440" t="s">
        <v>361</v>
      </c>
      <c r="B112" s="418">
        <v>0</v>
      </c>
      <c r="C112" s="418">
        <v>13.4</v>
      </c>
      <c r="D112" s="419">
        <v>13.4</v>
      </c>
      <c r="E112" s="428" t="s">
        <v>257</v>
      </c>
      <c r="F112" s="418">
        <v>10.807002827198</v>
      </c>
      <c r="G112" s="419">
        <v>1.8011671378659999</v>
      </c>
      <c r="H112" s="421">
        <v>0.2</v>
      </c>
      <c r="I112" s="418">
        <v>0.2</v>
      </c>
      <c r="J112" s="419">
        <v>-1.601167137866</v>
      </c>
      <c r="K112" s="422">
        <v>1.8506518707999998E-2</v>
      </c>
    </row>
    <row r="113" spans="1:11" ht="14.4" customHeight="1" thickBot="1" x14ac:dyDescent="0.35">
      <c r="A113" s="442" t="s">
        <v>362</v>
      </c>
      <c r="B113" s="418">
        <v>0</v>
      </c>
      <c r="C113" s="418">
        <v>33.137999999999998</v>
      </c>
      <c r="D113" s="419">
        <v>33.137999999999998</v>
      </c>
      <c r="E113" s="428" t="s">
        <v>257</v>
      </c>
      <c r="F113" s="418">
        <v>51.663763944307</v>
      </c>
      <c r="G113" s="419">
        <v>8.6106273240510003</v>
      </c>
      <c r="H113" s="421">
        <v>0</v>
      </c>
      <c r="I113" s="418">
        <v>0</v>
      </c>
      <c r="J113" s="419">
        <v>-8.6106273240510003</v>
      </c>
      <c r="K113" s="422">
        <v>0</v>
      </c>
    </row>
    <row r="114" spans="1:11" ht="14.4" customHeight="1" thickBot="1" x14ac:dyDescent="0.35">
      <c r="A114" s="440" t="s">
        <v>363</v>
      </c>
      <c r="B114" s="418">
        <v>0</v>
      </c>
      <c r="C114" s="418">
        <v>33.137999999999998</v>
      </c>
      <c r="D114" s="419">
        <v>33.137999999999998</v>
      </c>
      <c r="E114" s="428" t="s">
        <v>257</v>
      </c>
      <c r="F114" s="418">
        <v>51.663763944307</v>
      </c>
      <c r="G114" s="419">
        <v>8.6106273240510003</v>
      </c>
      <c r="H114" s="421">
        <v>0</v>
      </c>
      <c r="I114" s="418">
        <v>0</v>
      </c>
      <c r="J114" s="419">
        <v>-8.6106273240510003</v>
      </c>
      <c r="K114" s="422">
        <v>0</v>
      </c>
    </row>
    <row r="115" spans="1:11" ht="14.4" customHeight="1" thickBot="1" x14ac:dyDescent="0.35">
      <c r="A115" s="437" t="s">
        <v>364</v>
      </c>
      <c r="B115" s="418">
        <v>2050.9998984448798</v>
      </c>
      <c r="C115" s="418">
        <v>2114.5818399999998</v>
      </c>
      <c r="D115" s="419">
        <v>63.581941555116998</v>
      </c>
      <c r="E115" s="420">
        <v>1.0310004606059999</v>
      </c>
      <c r="F115" s="418">
        <v>1825.8925915499799</v>
      </c>
      <c r="G115" s="419">
        <v>304.31543192499697</v>
      </c>
      <c r="H115" s="421">
        <v>175.10400000000001</v>
      </c>
      <c r="I115" s="418">
        <v>350.20800000000003</v>
      </c>
      <c r="J115" s="419">
        <v>45.892568075002998</v>
      </c>
      <c r="K115" s="422">
        <v>0.191800986334</v>
      </c>
    </row>
    <row r="116" spans="1:11" ht="14.4" customHeight="1" thickBot="1" x14ac:dyDescent="0.35">
      <c r="A116" s="438" t="s">
        <v>365</v>
      </c>
      <c r="B116" s="418">
        <v>2050.9998984448798</v>
      </c>
      <c r="C116" s="418">
        <v>2075.7510000000002</v>
      </c>
      <c r="D116" s="419">
        <v>24.751101555117</v>
      </c>
      <c r="E116" s="420">
        <v>1.012067821931</v>
      </c>
      <c r="F116" s="418">
        <v>1781.00444294717</v>
      </c>
      <c r="G116" s="419">
        <v>296.83407382452702</v>
      </c>
      <c r="H116" s="421">
        <v>175.10400000000001</v>
      </c>
      <c r="I116" s="418">
        <v>350.20800000000003</v>
      </c>
      <c r="J116" s="419">
        <v>53.373926175472</v>
      </c>
      <c r="K116" s="422">
        <v>0.19663510744500001</v>
      </c>
    </row>
    <row r="117" spans="1:11" ht="14.4" customHeight="1" thickBot="1" x14ac:dyDescent="0.35">
      <c r="A117" s="439" t="s">
        <v>366</v>
      </c>
      <c r="B117" s="423">
        <v>2050.9998984448798</v>
      </c>
      <c r="C117" s="423">
        <v>2075.7510000000002</v>
      </c>
      <c r="D117" s="424">
        <v>24.751101555117</v>
      </c>
      <c r="E117" s="430">
        <v>1.012067821931</v>
      </c>
      <c r="F117" s="423">
        <v>1781.00444294717</v>
      </c>
      <c r="G117" s="424">
        <v>296.83407382452702</v>
      </c>
      <c r="H117" s="426">
        <v>175.10400000000001</v>
      </c>
      <c r="I117" s="423">
        <v>350.20800000000003</v>
      </c>
      <c r="J117" s="424">
        <v>53.373926175472</v>
      </c>
      <c r="K117" s="431">
        <v>0.19663510744500001</v>
      </c>
    </row>
    <row r="118" spans="1:11" ht="14.4" customHeight="1" thickBot="1" x14ac:dyDescent="0.35">
      <c r="A118" s="440" t="s">
        <v>367</v>
      </c>
      <c r="B118" s="418">
        <v>41.999998677100002</v>
      </c>
      <c r="C118" s="418">
        <v>42.335999999999999</v>
      </c>
      <c r="D118" s="419">
        <v>0.33600132289899998</v>
      </c>
      <c r="E118" s="420">
        <v>1.0080000317490001</v>
      </c>
      <c r="F118" s="418">
        <v>42.000104774721997</v>
      </c>
      <c r="G118" s="419">
        <v>7.0000174624530001</v>
      </c>
      <c r="H118" s="421">
        <v>3.528</v>
      </c>
      <c r="I118" s="418">
        <v>7.056</v>
      </c>
      <c r="J118" s="419">
        <v>5.5982537546000001E-2</v>
      </c>
      <c r="K118" s="422">
        <v>0.16799958090200001</v>
      </c>
    </row>
    <row r="119" spans="1:11" ht="14.4" customHeight="1" thickBot="1" x14ac:dyDescent="0.35">
      <c r="A119" s="440" t="s">
        <v>368</v>
      </c>
      <c r="B119" s="418">
        <v>420.999986739512</v>
      </c>
      <c r="C119" s="418">
        <v>421.584</v>
      </c>
      <c r="D119" s="419">
        <v>0.58401326048699997</v>
      </c>
      <c r="E119" s="420">
        <v>1.0013872049370001</v>
      </c>
      <c r="F119" s="418">
        <v>421.001050241862</v>
      </c>
      <c r="G119" s="419">
        <v>70.166841706976996</v>
      </c>
      <c r="H119" s="421">
        <v>35.131999999999998</v>
      </c>
      <c r="I119" s="418">
        <v>70.263999999999996</v>
      </c>
      <c r="J119" s="419">
        <v>9.7158293022000006E-2</v>
      </c>
      <c r="K119" s="422">
        <v>0.16689744588399999</v>
      </c>
    </row>
    <row r="120" spans="1:11" ht="14.4" customHeight="1" thickBot="1" x14ac:dyDescent="0.35">
      <c r="A120" s="440" t="s">
        <v>369</v>
      </c>
      <c r="B120" s="418">
        <v>1583.99995010781</v>
      </c>
      <c r="C120" s="418">
        <v>1607.1389999999999</v>
      </c>
      <c r="D120" s="419">
        <v>23.139049892191</v>
      </c>
      <c r="E120" s="420">
        <v>1.014607986503</v>
      </c>
      <c r="F120" s="418">
        <v>1314.00327795204</v>
      </c>
      <c r="G120" s="419">
        <v>219.000546325339</v>
      </c>
      <c r="H120" s="421">
        <v>136.053</v>
      </c>
      <c r="I120" s="418">
        <v>272.10599999999999</v>
      </c>
      <c r="J120" s="419">
        <v>53.105453674659998</v>
      </c>
      <c r="K120" s="422">
        <v>0.20708167518699999</v>
      </c>
    </row>
    <row r="121" spans="1:11" ht="14.4" customHeight="1" thickBot="1" x14ac:dyDescent="0.35">
      <c r="A121" s="440" t="s">
        <v>370</v>
      </c>
      <c r="B121" s="418">
        <v>3.9999629204609999</v>
      </c>
      <c r="C121" s="418">
        <v>4.6920000000000002</v>
      </c>
      <c r="D121" s="419">
        <v>0.69203707953799998</v>
      </c>
      <c r="E121" s="420">
        <v>1.173010873675</v>
      </c>
      <c r="F121" s="418">
        <v>4.0000099785450001</v>
      </c>
      <c r="G121" s="419">
        <v>0.66666832975699997</v>
      </c>
      <c r="H121" s="421">
        <v>0.39100000000000001</v>
      </c>
      <c r="I121" s="418">
        <v>0.78200000000000003</v>
      </c>
      <c r="J121" s="419">
        <v>0.115331670242</v>
      </c>
      <c r="K121" s="422">
        <v>0.19549951229900001</v>
      </c>
    </row>
    <row r="122" spans="1:11" ht="14.4" customHeight="1" thickBot="1" x14ac:dyDescent="0.35">
      <c r="A122" s="438" t="s">
        <v>371</v>
      </c>
      <c r="B122" s="418">
        <v>0</v>
      </c>
      <c r="C122" s="418">
        <v>38.830840000000002</v>
      </c>
      <c r="D122" s="419">
        <v>38.830840000000002</v>
      </c>
      <c r="E122" s="428" t="s">
        <v>257</v>
      </c>
      <c r="F122" s="418">
        <v>44.888148602816997</v>
      </c>
      <c r="G122" s="419">
        <v>7.4813581004690004</v>
      </c>
      <c r="H122" s="421">
        <v>0</v>
      </c>
      <c r="I122" s="418">
        <v>0</v>
      </c>
      <c r="J122" s="419">
        <v>-7.4813581004690004</v>
      </c>
      <c r="K122" s="422">
        <v>0</v>
      </c>
    </row>
    <row r="123" spans="1:11" ht="14.4" customHeight="1" thickBot="1" x14ac:dyDescent="0.35">
      <c r="A123" s="439" t="s">
        <v>372</v>
      </c>
      <c r="B123" s="423">
        <v>0</v>
      </c>
      <c r="C123" s="423">
        <v>20.68084</v>
      </c>
      <c r="D123" s="424">
        <v>20.68084</v>
      </c>
      <c r="E123" s="425" t="s">
        <v>257</v>
      </c>
      <c r="F123" s="423">
        <v>0</v>
      </c>
      <c r="G123" s="424">
        <v>0</v>
      </c>
      <c r="H123" s="426">
        <v>0</v>
      </c>
      <c r="I123" s="423">
        <v>0</v>
      </c>
      <c r="J123" s="424">
        <v>0</v>
      </c>
      <c r="K123" s="431">
        <v>2</v>
      </c>
    </row>
    <row r="124" spans="1:11" ht="14.4" customHeight="1" thickBot="1" x14ac:dyDescent="0.35">
      <c r="A124" s="440" t="s">
        <v>373</v>
      </c>
      <c r="B124" s="418">
        <v>0</v>
      </c>
      <c r="C124" s="418">
        <v>20.68084</v>
      </c>
      <c r="D124" s="419">
        <v>20.68084</v>
      </c>
      <c r="E124" s="428" t="s">
        <v>257</v>
      </c>
      <c r="F124" s="418">
        <v>0</v>
      </c>
      <c r="G124" s="419">
        <v>0</v>
      </c>
      <c r="H124" s="421">
        <v>0</v>
      </c>
      <c r="I124" s="418">
        <v>0</v>
      </c>
      <c r="J124" s="419">
        <v>0</v>
      </c>
      <c r="K124" s="422">
        <v>2</v>
      </c>
    </row>
    <row r="125" spans="1:11" ht="14.4" customHeight="1" thickBot="1" x14ac:dyDescent="0.35">
      <c r="A125" s="439" t="s">
        <v>374</v>
      </c>
      <c r="B125" s="423">
        <v>0</v>
      </c>
      <c r="C125" s="423">
        <v>18.149999999999999</v>
      </c>
      <c r="D125" s="424">
        <v>18.149999999999999</v>
      </c>
      <c r="E125" s="425" t="s">
        <v>257</v>
      </c>
      <c r="F125" s="423">
        <v>44.888148602816997</v>
      </c>
      <c r="G125" s="424">
        <v>7.4813581004690004</v>
      </c>
      <c r="H125" s="426">
        <v>0</v>
      </c>
      <c r="I125" s="423">
        <v>0</v>
      </c>
      <c r="J125" s="424">
        <v>-7.4813581004690004</v>
      </c>
      <c r="K125" s="431">
        <v>0</v>
      </c>
    </row>
    <row r="126" spans="1:11" ht="14.4" customHeight="1" thickBot="1" x14ac:dyDescent="0.35">
      <c r="A126" s="440" t="s">
        <v>375</v>
      </c>
      <c r="B126" s="418">
        <v>0</v>
      </c>
      <c r="C126" s="418">
        <v>18.149999999999999</v>
      </c>
      <c r="D126" s="419">
        <v>18.149999999999999</v>
      </c>
      <c r="E126" s="428" t="s">
        <v>267</v>
      </c>
      <c r="F126" s="418">
        <v>44.888148602816997</v>
      </c>
      <c r="G126" s="419">
        <v>7.4813581004690004</v>
      </c>
      <c r="H126" s="421">
        <v>0</v>
      </c>
      <c r="I126" s="418">
        <v>0</v>
      </c>
      <c r="J126" s="419">
        <v>-7.4813581004690004</v>
      </c>
      <c r="K126" s="422">
        <v>0</v>
      </c>
    </row>
    <row r="127" spans="1:11" ht="14.4" customHeight="1" thickBot="1" x14ac:dyDescent="0.35">
      <c r="A127" s="437" t="s">
        <v>376</v>
      </c>
      <c r="B127" s="418">
        <v>0</v>
      </c>
      <c r="C127" s="418">
        <v>1.20431</v>
      </c>
      <c r="D127" s="419">
        <v>1.20431</v>
      </c>
      <c r="E127" s="428" t="s">
        <v>257</v>
      </c>
      <c r="F127" s="418">
        <v>0</v>
      </c>
      <c r="G127" s="419">
        <v>0</v>
      </c>
      <c r="H127" s="421">
        <v>0</v>
      </c>
      <c r="I127" s="418">
        <v>0</v>
      </c>
      <c r="J127" s="419">
        <v>0</v>
      </c>
      <c r="K127" s="429" t="s">
        <v>257</v>
      </c>
    </row>
    <row r="128" spans="1:11" ht="14.4" customHeight="1" thickBot="1" x14ac:dyDescent="0.35">
      <c r="A128" s="438" t="s">
        <v>377</v>
      </c>
      <c r="B128" s="418">
        <v>0</v>
      </c>
      <c r="C128" s="418">
        <v>1.20431</v>
      </c>
      <c r="D128" s="419">
        <v>1.20431</v>
      </c>
      <c r="E128" s="428" t="s">
        <v>257</v>
      </c>
      <c r="F128" s="418">
        <v>0</v>
      </c>
      <c r="G128" s="419">
        <v>0</v>
      </c>
      <c r="H128" s="421">
        <v>0</v>
      </c>
      <c r="I128" s="418">
        <v>0</v>
      </c>
      <c r="J128" s="419">
        <v>0</v>
      </c>
      <c r="K128" s="429" t="s">
        <v>257</v>
      </c>
    </row>
    <row r="129" spans="1:11" ht="14.4" customHeight="1" thickBot="1" x14ac:dyDescent="0.35">
      <c r="A129" s="439" t="s">
        <v>378</v>
      </c>
      <c r="B129" s="423">
        <v>0</v>
      </c>
      <c r="C129" s="423">
        <v>1.20431</v>
      </c>
      <c r="D129" s="424">
        <v>1.20431</v>
      </c>
      <c r="E129" s="425" t="s">
        <v>257</v>
      </c>
      <c r="F129" s="423">
        <v>0</v>
      </c>
      <c r="G129" s="424">
        <v>0</v>
      </c>
      <c r="H129" s="426">
        <v>0</v>
      </c>
      <c r="I129" s="423">
        <v>0</v>
      </c>
      <c r="J129" s="424">
        <v>0</v>
      </c>
      <c r="K129" s="427" t="s">
        <v>257</v>
      </c>
    </row>
    <row r="130" spans="1:11" ht="14.4" customHeight="1" thickBot="1" x14ac:dyDescent="0.35">
      <c r="A130" s="440" t="s">
        <v>379</v>
      </c>
      <c r="B130" s="418">
        <v>0</v>
      </c>
      <c r="C130" s="418">
        <v>1.20431</v>
      </c>
      <c r="D130" s="419">
        <v>1.20431</v>
      </c>
      <c r="E130" s="428" t="s">
        <v>257</v>
      </c>
      <c r="F130" s="418">
        <v>0</v>
      </c>
      <c r="G130" s="419">
        <v>0</v>
      </c>
      <c r="H130" s="421">
        <v>0</v>
      </c>
      <c r="I130" s="418">
        <v>0</v>
      </c>
      <c r="J130" s="419">
        <v>0</v>
      </c>
      <c r="K130" s="429" t="s">
        <v>257</v>
      </c>
    </row>
    <row r="131" spans="1:11" ht="14.4" customHeight="1" thickBot="1" x14ac:dyDescent="0.35">
      <c r="A131" s="436" t="s">
        <v>380</v>
      </c>
      <c r="B131" s="418">
        <v>59224.982298911498</v>
      </c>
      <c r="C131" s="418">
        <v>76503.901259999999</v>
      </c>
      <c r="D131" s="419">
        <v>17278.918961088501</v>
      </c>
      <c r="E131" s="420">
        <v>1.2917505128810001</v>
      </c>
      <c r="F131" s="418">
        <v>77975.375342428</v>
      </c>
      <c r="G131" s="419">
        <v>12995.895890404699</v>
      </c>
      <c r="H131" s="421">
        <v>7468.4419200000002</v>
      </c>
      <c r="I131" s="418">
        <v>19246.82216</v>
      </c>
      <c r="J131" s="419">
        <v>6250.9262695953403</v>
      </c>
      <c r="K131" s="422">
        <v>0.24683205531800001</v>
      </c>
    </row>
    <row r="132" spans="1:11" ht="14.4" customHeight="1" thickBot="1" x14ac:dyDescent="0.35">
      <c r="A132" s="437" t="s">
        <v>381</v>
      </c>
      <c r="B132" s="418">
        <v>59201.982298911498</v>
      </c>
      <c r="C132" s="418">
        <v>76495.840389999998</v>
      </c>
      <c r="D132" s="419">
        <v>17293.858091088499</v>
      </c>
      <c r="E132" s="420">
        <v>1.2921161998220001</v>
      </c>
      <c r="F132" s="418">
        <v>77972.989929304094</v>
      </c>
      <c r="G132" s="419">
        <v>12995.4983215507</v>
      </c>
      <c r="H132" s="421">
        <v>7468.4419200000002</v>
      </c>
      <c r="I132" s="418">
        <v>19246.82216</v>
      </c>
      <c r="J132" s="419">
        <v>6251.3238384493197</v>
      </c>
      <c r="K132" s="422">
        <v>0.24683960660500001</v>
      </c>
    </row>
    <row r="133" spans="1:11" ht="14.4" customHeight="1" thickBot="1" x14ac:dyDescent="0.35">
      <c r="A133" s="438" t="s">
        <v>382</v>
      </c>
      <c r="B133" s="418">
        <v>59201.982298911498</v>
      </c>
      <c r="C133" s="418">
        <v>76495.840389999998</v>
      </c>
      <c r="D133" s="419">
        <v>17293.858091088499</v>
      </c>
      <c r="E133" s="420">
        <v>1.2921161998220001</v>
      </c>
      <c r="F133" s="418">
        <v>77972.989929304094</v>
      </c>
      <c r="G133" s="419">
        <v>12995.4983215507</v>
      </c>
      <c r="H133" s="421">
        <v>7468.4419200000002</v>
      </c>
      <c r="I133" s="418">
        <v>19246.82216</v>
      </c>
      <c r="J133" s="419">
        <v>6251.3238384493197</v>
      </c>
      <c r="K133" s="422">
        <v>0.24683960660500001</v>
      </c>
    </row>
    <row r="134" spans="1:11" ht="14.4" customHeight="1" thickBot="1" x14ac:dyDescent="0.35">
      <c r="A134" s="439" t="s">
        <v>383</v>
      </c>
      <c r="B134" s="423">
        <v>347.62220521387701</v>
      </c>
      <c r="C134" s="423">
        <v>51.708939999999998</v>
      </c>
      <c r="D134" s="424">
        <v>-295.91326521387703</v>
      </c>
      <c r="E134" s="430">
        <v>0.14875039403199999</v>
      </c>
      <c r="F134" s="423">
        <v>37.225029770150996</v>
      </c>
      <c r="G134" s="424">
        <v>6.204171628358</v>
      </c>
      <c r="H134" s="426">
        <v>6.4428000000000001</v>
      </c>
      <c r="I134" s="423">
        <v>6.4428000000000001</v>
      </c>
      <c r="J134" s="424">
        <v>0.23862837164100001</v>
      </c>
      <c r="K134" s="431">
        <v>0.17307709462599999</v>
      </c>
    </row>
    <row r="135" spans="1:11" ht="14.4" customHeight="1" thickBot="1" x14ac:dyDescent="0.35">
      <c r="A135" s="440" t="s">
        <v>384</v>
      </c>
      <c r="B135" s="418">
        <v>165.40040387859099</v>
      </c>
      <c r="C135" s="418">
        <v>15.486000000000001</v>
      </c>
      <c r="D135" s="419">
        <v>-149.914403878591</v>
      </c>
      <c r="E135" s="420">
        <v>9.3627340906000001E-2</v>
      </c>
      <c r="F135" s="418">
        <v>15.901642664125999</v>
      </c>
      <c r="G135" s="419">
        <v>2.6502737773540002</v>
      </c>
      <c r="H135" s="421">
        <v>4.2708000000000004</v>
      </c>
      <c r="I135" s="418">
        <v>4.2708000000000004</v>
      </c>
      <c r="J135" s="419">
        <v>1.6205262226449999</v>
      </c>
      <c r="K135" s="422">
        <v>0.26857602640200001</v>
      </c>
    </row>
    <row r="136" spans="1:11" ht="14.4" customHeight="1" thickBot="1" x14ac:dyDescent="0.35">
      <c r="A136" s="440" t="s">
        <v>385</v>
      </c>
      <c r="B136" s="418">
        <v>0</v>
      </c>
      <c r="C136" s="418">
        <v>11.2112</v>
      </c>
      <c r="D136" s="419">
        <v>11.2112</v>
      </c>
      <c r="E136" s="428" t="s">
        <v>267</v>
      </c>
      <c r="F136" s="418">
        <v>0.59907563200900005</v>
      </c>
      <c r="G136" s="419">
        <v>9.9845938667999998E-2</v>
      </c>
      <c r="H136" s="421">
        <v>0</v>
      </c>
      <c r="I136" s="418">
        <v>0</v>
      </c>
      <c r="J136" s="419">
        <v>-9.9845938667999998E-2</v>
      </c>
      <c r="K136" s="422">
        <v>0</v>
      </c>
    </row>
    <row r="137" spans="1:11" ht="14.4" customHeight="1" thickBot="1" x14ac:dyDescent="0.35">
      <c r="A137" s="440" t="s">
        <v>386</v>
      </c>
      <c r="B137" s="418">
        <v>182.22180133528499</v>
      </c>
      <c r="C137" s="418">
        <v>25.01174</v>
      </c>
      <c r="D137" s="419">
        <v>-157.21006133528499</v>
      </c>
      <c r="E137" s="420">
        <v>0.13725986581499999</v>
      </c>
      <c r="F137" s="418">
        <v>20.724311474015</v>
      </c>
      <c r="G137" s="419">
        <v>3.4540519123350002</v>
      </c>
      <c r="H137" s="421">
        <v>2.1720000000000002</v>
      </c>
      <c r="I137" s="418">
        <v>2.1720000000000002</v>
      </c>
      <c r="J137" s="419">
        <v>-1.282051912335</v>
      </c>
      <c r="K137" s="422">
        <v>0.104804446831</v>
      </c>
    </row>
    <row r="138" spans="1:11" ht="14.4" customHeight="1" thickBot="1" x14ac:dyDescent="0.35">
      <c r="A138" s="439" t="s">
        <v>387</v>
      </c>
      <c r="B138" s="423">
        <v>5.1116973209059999</v>
      </c>
      <c r="C138" s="423">
        <v>211.09623999999999</v>
      </c>
      <c r="D138" s="424">
        <v>205.98454267909401</v>
      </c>
      <c r="E138" s="430">
        <v>41.296701809129999</v>
      </c>
      <c r="F138" s="423">
        <v>176.757102743438</v>
      </c>
      <c r="G138" s="424">
        <v>29.459517123906</v>
      </c>
      <c r="H138" s="426">
        <v>0.34137000000000001</v>
      </c>
      <c r="I138" s="423">
        <v>0.34137000000000001</v>
      </c>
      <c r="J138" s="424">
        <v>-29.118147123905999</v>
      </c>
      <c r="K138" s="431">
        <v>1.931294384E-3</v>
      </c>
    </row>
    <row r="139" spans="1:11" ht="14.4" customHeight="1" thickBot="1" x14ac:dyDescent="0.35">
      <c r="A139" s="440" t="s">
        <v>388</v>
      </c>
      <c r="B139" s="418">
        <v>5.1116973209059999</v>
      </c>
      <c r="C139" s="418">
        <v>71.515839999999997</v>
      </c>
      <c r="D139" s="419">
        <v>66.404142679092999</v>
      </c>
      <c r="E139" s="420">
        <v>13.990624935382</v>
      </c>
      <c r="F139" s="418">
        <v>2.0000002005369999</v>
      </c>
      <c r="G139" s="419">
        <v>0.333333366756</v>
      </c>
      <c r="H139" s="421">
        <v>1.96417</v>
      </c>
      <c r="I139" s="418">
        <v>1.96417</v>
      </c>
      <c r="J139" s="419">
        <v>1.630836633243</v>
      </c>
      <c r="K139" s="422">
        <v>0.98208490152700001</v>
      </c>
    </row>
    <row r="140" spans="1:11" ht="14.4" customHeight="1" thickBot="1" x14ac:dyDescent="0.35">
      <c r="A140" s="440" t="s">
        <v>389</v>
      </c>
      <c r="B140" s="418">
        <v>0</v>
      </c>
      <c r="C140" s="418">
        <v>139.5804</v>
      </c>
      <c r="D140" s="419">
        <v>139.5804</v>
      </c>
      <c r="E140" s="428" t="s">
        <v>267</v>
      </c>
      <c r="F140" s="418">
        <v>174.75710254290101</v>
      </c>
      <c r="G140" s="419">
        <v>29.126183757149999</v>
      </c>
      <c r="H140" s="421">
        <v>-1.6228</v>
      </c>
      <c r="I140" s="418">
        <v>-1.6228</v>
      </c>
      <c r="J140" s="419">
        <v>-30.74898375715</v>
      </c>
      <c r="K140" s="422">
        <v>-9.2860317339999998E-3</v>
      </c>
    </row>
    <row r="141" spans="1:11" ht="14.4" customHeight="1" thickBot="1" x14ac:dyDescent="0.35">
      <c r="A141" s="439" t="s">
        <v>390</v>
      </c>
      <c r="B141" s="423">
        <v>112.248396361396</v>
      </c>
      <c r="C141" s="423">
        <v>0</v>
      </c>
      <c r="D141" s="424">
        <v>-112.248396361396</v>
      </c>
      <c r="E141" s="430">
        <v>0</v>
      </c>
      <c r="F141" s="423">
        <v>0</v>
      </c>
      <c r="G141" s="424">
        <v>0</v>
      </c>
      <c r="H141" s="426">
        <v>0</v>
      </c>
      <c r="I141" s="423">
        <v>0</v>
      </c>
      <c r="J141" s="424">
        <v>0</v>
      </c>
      <c r="K141" s="427" t="s">
        <v>257</v>
      </c>
    </row>
    <row r="142" spans="1:11" ht="14.4" customHeight="1" thickBot="1" x14ac:dyDescent="0.35">
      <c r="A142" s="440" t="s">
        <v>391</v>
      </c>
      <c r="B142" s="418">
        <v>4.2483963613669999</v>
      </c>
      <c r="C142" s="418">
        <v>0</v>
      </c>
      <c r="D142" s="419">
        <v>-4.2483963613669999</v>
      </c>
      <c r="E142" s="420">
        <v>0</v>
      </c>
      <c r="F142" s="418">
        <v>0</v>
      </c>
      <c r="G142" s="419">
        <v>0</v>
      </c>
      <c r="H142" s="421">
        <v>0</v>
      </c>
      <c r="I142" s="418">
        <v>0</v>
      </c>
      <c r="J142" s="419">
        <v>0</v>
      </c>
      <c r="K142" s="422">
        <v>2</v>
      </c>
    </row>
    <row r="143" spans="1:11" ht="14.4" customHeight="1" thickBot="1" x14ac:dyDescent="0.35">
      <c r="A143" s="440" t="s">
        <v>392</v>
      </c>
      <c r="B143" s="418">
        <v>108.000000000028</v>
      </c>
      <c r="C143" s="418">
        <v>0</v>
      </c>
      <c r="D143" s="419">
        <v>-108.000000000028</v>
      </c>
      <c r="E143" s="420">
        <v>0</v>
      </c>
      <c r="F143" s="418">
        <v>0</v>
      </c>
      <c r="G143" s="419">
        <v>0</v>
      </c>
      <c r="H143" s="421">
        <v>0</v>
      </c>
      <c r="I143" s="418">
        <v>0</v>
      </c>
      <c r="J143" s="419">
        <v>0</v>
      </c>
      <c r="K143" s="429" t="s">
        <v>257</v>
      </c>
    </row>
    <row r="144" spans="1:11" ht="14.4" customHeight="1" thickBot="1" x14ac:dyDescent="0.35">
      <c r="A144" s="439" t="s">
        <v>393</v>
      </c>
      <c r="B144" s="423">
        <v>58737.000000015301</v>
      </c>
      <c r="C144" s="423">
        <v>73008.479760000002</v>
      </c>
      <c r="D144" s="424">
        <v>14271.479759984701</v>
      </c>
      <c r="E144" s="430">
        <v>1.242972568568</v>
      </c>
      <c r="F144" s="423">
        <v>77759.007796790494</v>
      </c>
      <c r="G144" s="424">
        <v>12959.8346327984</v>
      </c>
      <c r="H144" s="426">
        <v>7461.6121400000002</v>
      </c>
      <c r="I144" s="423">
        <v>19239.99238</v>
      </c>
      <c r="J144" s="424">
        <v>6280.1577472015797</v>
      </c>
      <c r="K144" s="431">
        <v>0.24743104271899999</v>
      </c>
    </row>
    <row r="145" spans="1:11" ht="14.4" customHeight="1" thickBot="1" x14ac:dyDescent="0.35">
      <c r="A145" s="440" t="s">
        <v>394</v>
      </c>
      <c r="B145" s="418">
        <v>23672.000000006199</v>
      </c>
      <c r="C145" s="418">
        <v>26036.730459999999</v>
      </c>
      <c r="D145" s="419">
        <v>2364.7304599938202</v>
      </c>
      <c r="E145" s="420">
        <v>1.0998956767479999</v>
      </c>
      <c r="F145" s="418">
        <v>30513.0030594975</v>
      </c>
      <c r="G145" s="419">
        <v>5085.5005099162599</v>
      </c>
      <c r="H145" s="421">
        <v>1703.14221</v>
      </c>
      <c r="I145" s="418">
        <v>5305.4448199999997</v>
      </c>
      <c r="J145" s="419">
        <v>219.94431008374201</v>
      </c>
      <c r="K145" s="422">
        <v>0.17387488244400001</v>
      </c>
    </row>
    <row r="146" spans="1:11" ht="14.4" customHeight="1" thickBot="1" x14ac:dyDescent="0.35">
      <c r="A146" s="440" t="s">
        <v>395</v>
      </c>
      <c r="B146" s="418">
        <v>35065.000000009197</v>
      </c>
      <c r="C146" s="418">
        <v>46971.749300000003</v>
      </c>
      <c r="D146" s="419">
        <v>11906.749299990801</v>
      </c>
      <c r="E146" s="420">
        <v>1.3395622215880001</v>
      </c>
      <c r="F146" s="418">
        <v>47246.004737292998</v>
      </c>
      <c r="G146" s="419">
        <v>7874.33412288216</v>
      </c>
      <c r="H146" s="421">
        <v>5758.4699300000002</v>
      </c>
      <c r="I146" s="418">
        <v>13934.547560000001</v>
      </c>
      <c r="J146" s="419">
        <v>6060.2134371178399</v>
      </c>
      <c r="K146" s="422">
        <v>0.29493599802699999</v>
      </c>
    </row>
    <row r="147" spans="1:11" ht="14.4" customHeight="1" thickBot="1" x14ac:dyDescent="0.35">
      <c r="A147" s="439" t="s">
        <v>396</v>
      </c>
      <c r="B147" s="423">
        <v>0</v>
      </c>
      <c r="C147" s="423">
        <v>3224.5554499999998</v>
      </c>
      <c r="D147" s="424">
        <v>3224.5554499999998</v>
      </c>
      <c r="E147" s="425" t="s">
        <v>257</v>
      </c>
      <c r="F147" s="423">
        <v>0</v>
      </c>
      <c r="G147" s="424">
        <v>0</v>
      </c>
      <c r="H147" s="426">
        <v>4.5609999999999998E-2</v>
      </c>
      <c r="I147" s="423">
        <v>4.5609999999999998E-2</v>
      </c>
      <c r="J147" s="424">
        <v>4.5609999999999998E-2</v>
      </c>
      <c r="K147" s="427" t="s">
        <v>257</v>
      </c>
    </row>
    <row r="148" spans="1:11" ht="14.4" customHeight="1" thickBot="1" x14ac:dyDescent="0.35">
      <c r="A148" s="440" t="s">
        <v>397</v>
      </c>
      <c r="B148" s="418">
        <v>0</v>
      </c>
      <c r="C148" s="418">
        <v>576.49708999999996</v>
      </c>
      <c r="D148" s="419">
        <v>576.49708999999996</v>
      </c>
      <c r="E148" s="428" t="s">
        <v>257</v>
      </c>
      <c r="F148" s="418">
        <v>0</v>
      </c>
      <c r="G148" s="419">
        <v>0</v>
      </c>
      <c r="H148" s="421">
        <v>0</v>
      </c>
      <c r="I148" s="418">
        <v>0</v>
      </c>
      <c r="J148" s="419">
        <v>0</v>
      </c>
      <c r="K148" s="429" t="s">
        <v>257</v>
      </c>
    </row>
    <row r="149" spans="1:11" ht="14.4" customHeight="1" thickBot="1" x14ac:dyDescent="0.35">
      <c r="A149" s="440" t="s">
        <v>398</v>
      </c>
      <c r="B149" s="418">
        <v>0</v>
      </c>
      <c r="C149" s="418">
        <v>2648.05836</v>
      </c>
      <c r="D149" s="419">
        <v>2648.05836</v>
      </c>
      <c r="E149" s="428" t="s">
        <v>257</v>
      </c>
      <c r="F149" s="418">
        <v>0</v>
      </c>
      <c r="G149" s="419">
        <v>0</v>
      </c>
      <c r="H149" s="421">
        <v>4.5609999999999998E-2</v>
      </c>
      <c r="I149" s="418">
        <v>4.5609999999999998E-2</v>
      </c>
      <c r="J149" s="419">
        <v>4.5609999999999998E-2</v>
      </c>
      <c r="K149" s="429" t="s">
        <v>257</v>
      </c>
    </row>
    <row r="150" spans="1:11" ht="14.4" customHeight="1" thickBot="1" x14ac:dyDescent="0.35">
      <c r="A150" s="437" t="s">
        <v>399</v>
      </c>
      <c r="B150" s="418">
        <v>23</v>
      </c>
      <c r="C150" s="418">
        <v>8.0608699999999995</v>
      </c>
      <c r="D150" s="419">
        <v>-14.93913</v>
      </c>
      <c r="E150" s="420">
        <v>0.35047260869500002</v>
      </c>
      <c r="F150" s="418">
        <v>2.3854131238740002</v>
      </c>
      <c r="G150" s="419">
        <v>0.39756885397899999</v>
      </c>
      <c r="H150" s="421">
        <v>0</v>
      </c>
      <c r="I150" s="418">
        <v>0</v>
      </c>
      <c r="J150" s="419">
        <v>-0.39756885397899999</v>
      </c>
      <c r="K150" s="422">
        <v>0</v>
      </c>
    </row>
    <row r="151" spans="1:11" ht="14.4" customHeight="1" thickBot="1" x14ac:dyDescent="0.35">
      <c r="A151" s="443" t="s">
        <v>400</v>
      </c>
      <c r="B151" s="423">
        <v>23</v>
      </c>
      <c r="C151" s="423">
        <v>8.0608699999999995</v>
      </c>
      <c r="D151" s="424">
        <v>-14.93913</v>
      </c>
      <c r="E151" s="430">
        <v>0.35047260869500002</v>
      </c>
      <c r="F151" s="423">
        <v>2.3854131238740002</v>
      </c>
      <c r="G151" s="424">
        <v>0.39756885397899999</v>
      </c>
      <c r="H151" s="426">
        <v>0</v>
      </c>
      <c r="I151" s="423">
        <v>0</v>
      </c>
      <c r="J151" s="424">
        <v>-0.39756885397899999</v>
      </c>
      <c r="K151" s="431">
        <v>0</v>
      </c>
    </row>
    <row r="152" spans="1:11" ht="14.4" customHeight="1" thickBot="1" x14ac:dyDescent="0.35">
      <c r="A152" s="439" t="s">
        <v>401</v>
      </c>
      <c r="B152" s="423">
        <v>0</v>
      </c>
      <c r="C152" s="423">
        <v>6.5547899999999997</v>
      </c>
      <c r="D152" s="424">
        <v>6.5547899999999997</v>
      </c>
      <c r="E152" s="425" t="s">
        <v>257</v>
      </c>
      <c r="F152" s="423">
        <v>0</v>
      </c>
      <c r="G152" s="424">
        <v>0</v>
      </c>
      <c r="H152" s="426">
        <v>0</v>
      </c>
      <c r="I152" s="423">
        <v>0</v>
      </c>
      <c r="J152" s="424">
        <v>0</v>
      </c>
      <c r="K152" s="427" t="s">
        <v>257</v>
      </c>
    </row>
    <row r="153" spans="1:11" ht="14.4" customHeight="1" thickBot="1" x14ac:dyDescent="0.35">
      <c r="A153" s="440" t="s">
        <v>402</v>
      </c>
      <c r="B153" s="418">
        <v>0</v>
      </c>
      <c r="C153" s="418">
        <v>-2.1000000000000001E-4</v>
      </c>
      <c r="D153" s="419">
        <v>-2.1000000000000001E-4</v>
      </c>
      <c r="E153" s="428" t="s">
        <v>257</v>
      </c>
      <c r="F153" s="418">
        <v>0</v>
      </c>
      <c r="G153" s="419">
        <v>0</v>
      </c>
      <c r="H153" s="421">
        <v>0</v>
      </c>
      <c r="I153" s="418">
        <v>0</v>
      </c>
      <c r="J153" s="419">
        <v>0</v>
      </c>
      <c r="K153" s="429" t="s">
        <v>257</v>
      </c>
    </row>
    <row r="154" spans="1:11" ht="14.4" customHeight="1" thickBot="1" x14ac:dyDescent="0.35">
      <c r="A154" s="440" t="s">
        <v>403</v>
      </c>
      <c r="B154" s="418">
        <v>0</v>
      </c>
      <c r="C154" s="418">
        <v>6.5549999999999997</v>
      </c>
      <c r="D154" s="419">
        <v>6.5549999999999997</v>
      </c>
      <c r="E154" s="428" t="s">
        <v>267</v>
      </c>
      <c r="F154" s="418">
        <v>0</v>
      </c>
      <c r="G154" s="419">
        <v>0</v>
      </c>
      <c r="H154" s="421">
        <v>0</v>
      </c>
      <c r="I154" s="418">
        <v>0</v>
      </c>
      <c r="J154" s="419">
        <v>0</v>
      </c>
      <c r="K154" s="429" t="s">
        <v>257</v>
      </c>
    </row>
    <row r="155" spans="1:11" ht="14.4" customHeight="1" thickBot="1" x14ac:dyDescent="0.35">
      <c r="A155" s="439" t="s">
        <v>404</v>
      </c>
      <c r="B155" s="423">
        <v>23</v>
      </c>
      <c r="C155" s="423">
        <v>1.5060800000000001</v>
      </c>
      <c r="D155" s="424">
        <v>-21.493919999999999</v>
      </c>
      <c r="E155" s="430">
        <v>6.5481739129999994E-2</v>
      </c>
      <c r="F155" s="423">
        <v>2.3854131238740002</v>
      </c>
      <c r="G155" s="424">
        <v>0.39756885397899999</v>
      </c>
      <c r="H155" s="426">
        <v>0</v>
      </c>
      <c r="I155" s="423">
        <v>0</v>
      </c>
      <c r="J155" s="424">
        <v>-0.39756885397899999</v>
      </c>
      <c r="K155" s="431">
        <v>0</v>
      </c>
    </row>
    <row r="156" spans="1:11" ht="14.4" customHeight="1" thickBot="1" x14ac:dyDescent="0.35">
      <c r="A156" s="440" t="s">
        <v>405</v>
      </c>
      <c r="B156" s="418">
        <v>0</v>
      </c>
      <c r="C156" s="418">
        <v>3.5000000000000003E-2</v>
      </c>
      <c r="D156" s="419">
        <v>3.5000000000000003E-2</v>
      </c>
      <c r="E156" s="428" t="s">
        <v>257</v>
      </c>
      <c r="F156" s="418">
        <v>1.9868212925999999E-2</v>
      </c>
      <c r="G156" s="419">
        <v>3.3113688210000001E-3</v>
      </c>
      <c r="H156" s="421">
        <v>0</v>
      </c>
      <c r="I156" s="418">
        <v>0</v>
      </c>
      <c r="J156" s="419">
        <v>-3.3113688210000001E-3</v>
      </c>
      <c r="K156" s="422">
        <v>0</v>
      </c>
    </row>
    <row r="157" spans="1:11" ht="14.4" customHeight="1" thickBot="1" x14ac:dyDescent="0.35">
      <c r="A157" s="440" t="s">
        <v>406</v>
      </c>
      <c r="B157" s="418">
        <v>23</v>
      </c>
      <c r="C157" s="418">
        <v>1.4710799999999999</v>
      </c>
      <c r="D157" s="419">
        <v>-21.528919999999999</v>
      </c>
      <c r="E157" s="420">
        <v>6.3960000000000003E-2</v>
      </c>
      <c r="F157" s="418">
        <v>2.365544910948</v>
      </c>
      <c r="G157" s="419">
        <v>0.39425748515800002</v>
      </c>
      <c r="H157" s="421">
        <v>0</v>
      </c>
      <c r="I157" s="418">
        <v>0</v>
      </c>
      <c r="J157" s="419">
        <v>-0.39425748515800002</v>
      </c>
      <c r="K157" s="422">
        <v>0</v>
      </c>
    </row>
    <row r="158" spans="1:11" ht="14.4" customHeight="1" thickBot="1" x14ac:dyDescent="0.35">
      <c r="A158" s="436" t="s">
        <v>407</v>
      </c>
      <c r="B158" s="418">
        <v>2585.1075248492298</v>
      </c>
      <c r="C158" s="418">
        <v>2401.95534</v>
      </c>
      <c r="D158" s="419">
        <v>-183.15218484923301</v>
      </c>
      <c r="E158" s="420">
        <v>0.92915103797800003</v>
      </c>
      <c r="F158" s="418">
        <v>0</v>
      </c>
      <c r="G158" s="419">
        <v>0</v>
      </c>
      <c r="H158" s="421">
        <v>190.32977</v>
      </c>
      <c r="I158" s="418">
        <v>392.83328999999998</v>
      </c>
      <c r="J158" s="419">
        <v>392.83328999999998</v>
      </c>
      <c r="K158" s="429" t="s">
        <v>267</v>
      </c>
    </row>
    <row r="159" spans="1:11" ht="14.4" customHeight="1" thickBot="1" x14ac:dyDescent="0.35">
      <c r="A159" s="441" t="s">
        <v>408</v>
      </c>
      <c r="B159" s="423">
        <v>2585.1075248492298</v>
      </c>
      <c r="C159" s="423">
        <v>2401.95534</v>
      </c>
      <c r="D159" s="424">
        <v>-183.15218484923301</v>
      </c>
      <c r="E159" s="430">
        <v>0.92915103797800003</v>
      </c>
      <c r="F159" s="423">
        <v>0</v>
      </c>
      <c r="G159" s="424">
        <v>0</v>
      </c>
      <c r="H159" s="426">
        <v>190.32977</v>
      </c>
      <c r="I159" s="423">
        <v>392.83328999999998</v>
      </c>
      <c r="J159" s="424">
        <v>392.83328999999998</v>
      </c>
      <c r="K159" s="427" t="s">
        <v>267</v>
      </c>
    </row>
    <row r="160" spans="1:11" ht="14.4" customHeight="1" thickBot="1" x14ac:dyDescent="0.35">
      <c r="A160" s="443" t="s">
        <v>54</v>
      </c>
      <c r="B160" s="423">
        <v>2585.1075248492298</v>
      </c>
      <c r="C160" s="423">
        <v>2401.95534</v>
      </c>
      <c r="D160" s="424">
        <v>-183.15218484923301</v>
      </c>
      <c r="E160" s="430">
        <v>0.92915103797800003</v>
      </c>
      <c r="F160" s="423">
        <v>0</v>
      </c>
      <c r="G160" s="424">
        <v>0</v>
      </c>
      <c r="H160" s="426">
        <v>190.32977</v>
      </c>
      <c r="I160" s="423">
        <v>392.83328999999998</v>
      </c>
      <c r="J160" s="424">
        <v>392.83328999999998</v>
      </c>
      <c r="K160" s="427" t="s">
        <v>267</v>
      </c>
    </row>
    <row r="161" spans="1:11" ht="14.4" customHeight="1" thickBot="1" x14ac:dyDescent="0.35">
      <c r="A161" s="439" t="s">
        <v>409</v>
      </c>
      <c r="B161" s="423">
        <v>43.651651418348003</v>
      </c>
      <c r="C161" s="423">
        <v>40.521250000000002</v>
      </c>
      <c r="D161" s="424">
        <v>-3.1304014183479998</v>
      </c>
      <c r="E161" s="430">
        <v>0.92828675853800002</v>
      </c>
      <c r="F161" s="423">
        <v>0</v>
      </c>
      <c r="G161" s="424">
        <v>0</v>
      </c>
      <c r="H161" s="426">
        <v>3.3959999999999999</v>
      </c>
      <c r="I161" s="423">
        <v>6.7919999999999998</v>
      </c>
      <c r="J161" s="424">
        <v>6.7919999999999998</v>
      </c>
      <c r="K161" s="427" t="s">
        <v>267</v>
      </c>
    </row>
    <row r="162" spans="1:11" ht="14.4" customHeight="1" thickBot="1" x14ac:dyDescent="0.35">
      <c r="A162" s="440" t="s">
        <v>410</v>
      </c>
      <c r="B162" s="418">
        <v>43.651651418348003</v>
      </c>
      <c r="C162" s="418">
        <v>40.521250000000002</v>
      </c>
      <c r="D162" s="419">
        <v>-3.1304014183479998</v>
      </c>
      <c r="E162" s="420">
        <v>0.92828675853800002</v>
      </c>
      <c r="F162" s="418">
        <v>0</v>
      </c>
      <c r="G162" s="419">
        <v>0</v>
      </c>
      <c r="H162" s="421">
        <v>3.3959999999999999</v>
      </c>
      <c r="I162" s="418">
        <v>6.7919999999999998</v>
      </c>
      <c r="J162" s="419">
        <v>6.7919999999999998</v>
      </c>
      <c r="K162" s="429" t="s">
        <v>267</v>
      </c>
    </row>
    <row r="163" spans="1:11" ht="14.4" customHeight="1" thickBot="1" x14ac:dyDescent="0.35">
      <c r="A163" s="439" t="s">
        <v>411</v>
      </c>
      <c r="B163" s="423">
        <v>5.3044056967920001</v>
      </c>
      <c r="C163" s="423">
        <v>5.0025399999999998</v>
      </c>
      <c r="D163" s="424">
        <v>-0.30186569679199998</v>
      </c>
      <c r="E163" s="430">
        <v>0.94309151410199998</v>
      </c>
      <c r="F163" s="423">
        <v>0</v>
      </c>
      <c r="G163" s="424">
        <v>0</v>
      </c>
      <c r="H163" s="426">
        <v>0.58799999999999997</v>
      </c>
      <c r="I163" s="423">
        <v>0.68501999999999996</v>
      </c>
      <c r="J163" s="424">
        <v>0.68501999999999996</v>
      </c>
      <c r="K163" s="427" t="s">
        <v>267</v>
      </c>
    </row>
    <row r="164" spans="1:11" ht="14.4" customHeight="1" thickBot="1" x14ac:dyDescent="0.35">
      <c r="A164" s="440" t="s">
        <v>412</v>
      </c>
      <c r="B164" s="418">
        <v>0</v>
      </c>
      <c r="C164" s="418">
        <v>0.58960000000000001</v>
      </c>
      <c r="D164" s="419">
        <v>0.58960000000000001</v>
      </c>
      <c r="E164" s="428" t="s">
        <v>257</v>
      </c>
      <c r="F164" s="418">
        <v>0</v>
      </c>
      <c r="G164" s="419">
        <v>0</v>
      </c>
      <c r="H164" s="421">
        <v>0</v>
      </c>
      <c r="I164" s="418">
        <v>0</v>
      </c>
      <c r="J164" s="419">
        <v>0</v>
      </c>
      <c r="K164" s="422">
        <v>2</v>
      </c>
    </row>
    <row r="165" spans="1:11" ht="14.4" customHeight="1" thickBot="1" x14ac:dyDescent="0.35">
      <c r="A165" s="440" t="s">
        <v>413</v>
      </c>
      <c r="B165" s="418">
        <v>5.3044056967920001</v>
      </c>
      <c r="C165" s="418">
        <v>4.4129399999999999</v>
      </c>
      <c r="D165" s="419">
        <v>-0.89146569679200005</v>
      </c>
      <c r="E165" s="420">
        <v>0.83193862842499999</v>
      </c>
      <c r="F165" s="418">
        <v>0</v>
      </c>
      <c r="G165" s="419">
        <v>0</v>
      </c>
      <c r="H165" s="421">
        <v>0.58799999999999997</v>
      </c>
      <c r="I165" s="418">
        <v>0.68501999999999996</v>
      </c>
      <c r="J165" s="419">
        <v>0.68501999999999996</v>
      </c>
      <c r="K165" s="429" t="s">
        <v>267</v>
      </c>
    </row>
    <row r="166" spans="1:11" ht="14.4" customHeight="1" thickBot="1" x14ac:dyDescent="0.35">
      <c r="A166" s="439" t="s">
        <v>414</v>
      </c>
      <c r="B166" s="423">
        <v>30.036696195190999</v>
      </c>
      <c r="C166" s="423">
        <v>27.74344</v>
      </c>
      <c r="D166" s="424">
        <v>-2.2932561951910002</v>
      </c>
      <c r="E166" s="430">
        <v>0.92365151678799995</v>
      </c>
      <c r="F166" s="423">
        <v>0</v>
      </c>
      <c r="G166" s="424">
        <v>0</v>
      </c>
      <c r="H166" s="426">
        <v>2.2168000000000001</v>
      </c>
      <c r="I166" s="423">
        <v>4.3864000000000001</v>
      </c>
      <c r="J166" s="424">
        <v>4.3864000000000001</v>
      </c>
      <c r="K166" s="427" t="s">
        <v>267</v>
      </c>
    </row>
    <row r="167" spans="1:11" ht="14.4" customHeight="1" thickBot="1" x14ac:dyDescent="0.35">
      <c r="A167" s="440" t="s">
        <v>415</v>
      </c>
      <c r="B167" s="418">
        <v>30.036696195190999</v>
      </c>
      <c r="C167" s="418">
        <v>27.74344</v>
      </c>
      <c r="D167" s="419">
        <v>-2.2932561951910002</v>
      </c>
      <c r="E167" s="420">
        <v>0.92365151678799995</v>
      </c>
      <c r="F167" s="418">
        <v>0</v>
      </c>
      <c r="G167" s="419">
        <v>0</v>
      </c>
      <c r="H167" s="421">
        <v>2.2168000000000001</v>
      </c>
      <c r="I167" s="418">
        <v>4.3864000000000001</v>
      </c>
      <c r="J167" s="419">
        <v>4.3864000000000001</v>
      </c>
      <c r="K167" s="429" t="s">
        <v>267</v>
      </c>
    </row>
    <row r="168" spans="1:11" ht="14.4" customHeight="1" thickBot="1" x14ac:dyDescent="0.35">
      <c r="A168" s="439" t="s">
        <v>416</v>
      </c>
      <c r="B168" s="423">
        <v>876</v>
      </c>
      <c r="C168" s="423">
        <v>800.08550000000105</v>
      </c>
      <c r="D168" s="424">
        <v>-75.914499999998995</v>
      </c>
      <c r="E168" s="430">
        <v>0.91333961187199997</v>
      </c>
      <c r="F168" s="423">
        <v>0</v>
      </c>
      <c r="G168" s="424">
        <v>0</v>
      </c>
      <c r="H168" s="426">
        <v>73.949569999999994</v>
      </c>
      <c r="I168" s="423">
        <v>129.03621000000001</v>
      </c>
      <c r="J168" s="424">
        <v>129.03621000000001</v>
      </c>
      <c r="K168" s="427" t="s">
        <v>267</v>
      </c>
    </row>
    <row r="169" spans="1:11" ht="14.4" customHeight="1" thickBot="1" x14ac:dyDescent="0.35">
      <c r="A169" s="440" t="s">
        <v>417</v>
      </c>
      <c r="B169" s="418">
        <v>876</v>
      </c>
      <c r="C169" s="418">
        <v>800.08550000000105</v>
      </c>
      <c r="D169" s="419">
        <v>-75.914499999998995</v>
      </c>
      <c r="E169" s="420">
        <v>0.91333961187199997</v>
      </c>
      <c r="F169" s="418">
        <v>0</v>
      </c>
      <c r="G169" s="419">
        <v>0</v>
      </c>
      <c r="H169" s="421">
        <v>73.949569999999994</v>
      </c>
      <c r="I169" s="418">
        <v>129.03621000000001</v>
      </c>
      <c r="J169" s="419">
        <v>129.03621000000001</v>
      </c>
      <c r="K169" s="429" t="s">
        <v>267</v>
      </c>
    </row>
    <row r="170" spans="1:11" ht="14.4" customHeight="1" thickBot="1" x14ac:dyDescent="0.35">
      <c r="A170" s="439" t="s">
        <v>418</v>
      </c>
      <c r="B170" s="423">
        <v>1630.1147715389</v>
      </c>
      <c r="C170" s="423">
        <v>1528.6026099999999</v>
      </c>
      <c r="D170" s="424">
        <v>-101.512161538901</v>
      </c>
      <c r="E170" s="430">
        <v>0.93772698504899998</v>
      </c>
      <c r="F170" s="423">
        <v>0</v>
      </c>
      <c r="G170" s="424">
        <v>0</v>
      </c>
      <c r="H170" s="426">
        <v>110.1794</v>
      </c>
      <c r="I170" s="423">
        <v>251.93366</v>
      </c>
      <c r="J170" s="424">
        <v>251.93366</v>
      </c>
      <c r="K170" s="427" t="s">
        <v>267</v>
      </c>
    </row>
    <row r="171" spans="1:11" ht="14.4" customHeight="1" thickBot="1" x14ac:dyDescent="0.35">
      <c r="A171" s="440" t="s">
        <v>419</v>
      </c>
      <c r="B171" s="418">
        <v>1630.1147715389</v>
      </c>
      <c r="C171" s="418">
        <v>1528.6026099999999</v>
      </c>
      <c r="D171" s="419">
        <v>-101.512161538901</v>
      </c>
      <c r="E171" s="420">
        <v>0.93772698504899998</v>
      </c>
      <c r="F171" s="418">
        <v>0</v>
      </c>
      <c r="G171" s="419">
        <v>0</v>
      </c>
      <c r="H171" s="421">
        <v>110.1794</v>
      </c>
      <c r="I171" s="418">
        <v>251.93366</v>
      </c>
      <c r="J171" s="419">
        <v>251.93366</v>
      </c>
      <c r="K171" s="429" t="s">
        <v>267</v>
      </c>
    </row>
    <row r="172" spans="1:11" ht="14.4" customHeight="1" thickBot="1" x14ac:dyDescent="0.35">
      <c r="A172" s="444"/>
      <c r="B172" s="418">
        <v>32441.908648399101</v>
      </c>
      <c r="C172" s="418">
        <v>51348.499069999998</v>
      </c>
      <c r="D172" s="419">
        <v>18906.5904216009</v>
      </c>
      <c r="E172" s="420">
        <v>1.582782925212</v>
      </c>
      <c r="F172" s="418">
        <v>54748.382710914302</v>
      </c>
      <c r="G172" s="419">
        <v>9124.7304518190394</v>
      </c>
      <c r="H172" s="421">
        <v>5238.7657399999998</v>
      </c>
      <c r="I172" s="418">
        <v>14641.53282</v>
      </c>
      <c r="J172" s="419">
        <v>5516.80236818096</v>
      </c>
      <c r="K172" s="422">
        <v>0.26743315683500002</v>
      </c>
    </row>
    <row r="173" spans="1:11" ht="14.4" customHeight="1" thickBot="1" x14ac:dyDescent="0.35">
      <c r="A173" s="445" t="s">
        <v>66</v>
      </c>
      <c r="B173" s="432">
        <v>32441.908648399101</v>
      </c>
      <c r="C173" s="432">
        <v>51348.499069999998</v>
      </c>
      <c r="D173" s="433">
        <v>18906.5904216009</v>
      </c>
      <c r="E173" s="434">
        <v>-0.57770462883200002</v>
      </c>
      <c r="F173" s="432">
        <v>54748.382710914302</v>
      </c>
      <c r="G173" s="433">
        <v>9124.7304518190394</v>
      </c>
      <c r="H173" s="432">
        <v>5238.7657399999998</v>
      </c>
      <c r="I173" s="432">
        <v>14641.53282</v>
      </c>
      <c r="J173" s="433">
        <v>5516.80236818096</v>
      </c>
      <c r="K173" s="435">
        <v>0.26743315683500002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211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6" t="s">
        <v>420</v>
      </c>
      <c r="B5" s="447" t="s">
        <v>421</v>
      </c>
      <c r="C5" s="448" t="s">
        <v>422</v>
      </c>
      <c r="D5" s="448" t="s">
        <v>422</v>
      </c>
      <c r="E5" s="448"/>
      <c r="F5" s="448" t="s">
        <v>422</v>
      </c>
      <c r="G5" s="448" t="s">
        <v>422</v>
      </c>
      <c r="H5" s="448" t="s">
        <v>422</v>
      </c>
      <c r="I5" s="449" t="s">
        <v>422</v>
      </c>
      <c r="J5" s="450" t="s">
        <v>69</v>
      </c>
    </row>
    <row r="6" spans="1:10" ht="14.4" customHeight="1" x14ac:dyDescent="0.3">
      <c r="A6" s="446" t="s">
        <v>420</v>
      </c>
      <c r="B6" s="447" t="s">
        <v>265</v>
      </c>
      <c r="C6" s="448">
        <v>11.18417</v>
      </c>
      <c r="D6" s="448">
        <v>4.7029200000000007</v>
      </c>
      <c r="E6" s="448"/>
      <c r="F6" s="448">
        <v>4.56839</v>
      </c>
      <c r="G6" s="448">
        <v>9.8333360439473338</v>
      </c>
      <c r="H6" s="448">
        <v>-5.2649460439473339</v>
      </c>
      <c r="I6" s="449">
        <v>0.4645819058336727</v>
      </c>
      <c r="J6" s="450" t="s">
        <v>1</v>
      </c>
    </row>
    <row r="7" spans="1:10" ht="14.4" customHeight="1" x14ac:dyDescent="0.3">
      <c r="A7" s="446" t="s">
        <v>420</v>
      </c>
      <c r="B7" s="447" t="s">
        <v>266</v>
      </c>
      <c r="C7" s="448">
        <v>0</v>
      </c>
      <c r="D7" s="448" t="s">
        <v>422</v>
      </c>
      <c r="E7" s="448"/>
      <c r="F7" s="448">
        <v>0.19051999999999999</v>
      </c>
      <c r="G7" s="448">
        <v>0</v>
      </c>
      <c r="H7" s="448">
        <v>0.19051999999999999</v>
      </c>
      <c r="I7" s="449" t="s">
        <v>422</v>
      </c>
      <c r="J7" s="450" t="s">
        <v>1</v>
      </c>
    </row>
    <row r="8" spans="1:10" ht="14.4" customHeight="1" x14ac:dyDescent="0.3">
      <c r="A8" s="446" t="s">
        <v>420</v>
      </c>
      <c r="B8" s="447" t="s">
        <v>268</v>
      </c>
      <c r="C8" s="448">
        <v>0.88571999999999995</v>
      </c>
      <c r="D8" s="448">
        <v>0</v>
      </c>
      <c r="E8" s="448"/>
      <c r="F8" s="448">
        <v>0</v>
      </c>
      <c r="G8" s="448">
        <v>0.33333342521850001</v>
      </c>
      <c r="H8" s="448">
        <v>-0.33333342521850001</v>
      </c>
      <c r="I8" s="449">
        <v>0</v>
      </c>
      <c r="J8" s="450" t="s">
        <v>1</v>
      </c>
    </row>
    <row r="9" spans="1:10" ht="14.4" customHeight="1" x14ac:dyDescent="0.3">
      <c r="A9" s="446" t="s">
        <v>420</v>
      </c>
      <c r="B9" s="447" t="s">
        <v>423</v>
      </c>
      <c r="C9" s="448">
        <v>12.069889999999999</v>
      </c>
      <c r="D9" s="448">
        <v>4.7029200000000007</v>
      </c>
      <c r="E9" s="448"/>
      <c r="F9" s="448">
        <v>4.7589100000000002</v>
      </c>
      <c r="G9" s="448">
        <v>10.166669469165834</v>
      </c>
      <c r="H9" s="448">
        <v>-5.4077594691658337</v>
      </c>
      <c r="I9" s="449">
        <v>0.46808937916523652</v>
      </c>
      <c r="J9" s="450" t="s">
        <v>424</v>
      </c>
    </row>
    <row r="11" spans="1:10" ht="14.4" customHeight="1" x14ac:dyDescent="0.3">
      <c r="A11" s="446" t="s">
        <v>420</v>
      </c>
      <c r="B11" s="447" t="s">
        <v>421</v>
      </c>
      <c r="C11" s="448" t="s">
        <v>422</v>
      </c>
      <c r="D11" s="448" t="s">
        <v>422</v>
      </c>
      <c r="E11" s="448"/>
      <c r="F11" s="448" t="s">
        <v>422</v>
      </c>
      <c r="G11" s="448" t="s">
        <v>422</v>
      </c>
      <c r="H11" s="448" t="s">
        <v>422</v>
      </c>
      <c r="I11" s="449" t="s">
        <v>422</v>
      </c>
      <c r="J11" s="450" t="s">
        <v>69</v>
      </c>
    </row>
    <row r="12" spans="1:10" ht="14.4" customHeight="1" x14ac:dyDescent="0.3">
      <c r="A12" s="446" t="s">
        <v>425</v>
      </c>
      <c r="B12" s="447" t="s">
        <v>426</v>
      </c>
      <c r="C12" s="448" t="s">
        <v>422</v>
      </c>
      <c r="D12" s="448" t="s">
        <v>422</v>
      </c>
      <c r="E12" s="448"/>
      <c r="F12" s="448" t="s">
        <v>422</v>
      </c>
      <c r="G12" s="448" t="s">
        <v>422</v>
      </c>
      <c r="H12" s="448" t="s">
        <v>422</v>
      </c>
      <c r="I12" s="449" t="s">
        <v>422</v>
      </c>
      <c r="J12" s="450" t="s">
        <v>0</v>
      </c>
    </row>
    <row r="13" spans="1:10" ht="14.4" customHeight="1" x14ac:dyDescent="0.3">
      <c r="A13" s="446" t="s">
        <v>425</v>
      </c>
      <c r="B13" s="447" t="s">
        <v>265</v>
      </c>
      <c r="C13" s="448">
        <v>7.5594900000000003</v>
      </c>
      <c r="D13" s="448">
        <v>0</v>
      </c>
      <c r="E13" s="448"/>
      <c r="F13" s="448">
        <v>0.18948999999999999</v>
      </c>
      <c r="G13" s="448">
        <v>0.35040538762833334</v>
      </c>
      <c r="H13" s="448">
        <v>-0.16091538762833335</v>
      </c>
      <c r="I13" s="449">
        <v>0.54077364872308276</v>
      </c>
      <c r="J13" s="450" t="s">
        <v>1</v>
      </c>
    </row>
    <row r="14" spans="1:10" ht="14.4" customHeight="1" x14ac:dyDescent="0.3">
      <c r="A14" s="446" t="s">
        <v>425</v>
      </c>
      <c r="B14" s="447" t="s">
        <v>266</v>
      </c>
      <c r="C14" s="448">
        <v>0</v>
      </c>
      <c r="D14" s="448" t="s">
        <v>422</v>
      </c>
      <c r="E14" s="448"/>
      <c r="F14" s="448" t="s">
        <v>422</v>
      </c>
      <c r="G14" s="448" t="s">
        <v>422</v>
      </c>
      <c r="H14" s="448" t="s">
        <v>422</v>
      </c>
      <c r="I14" s="449" t="s">
        <v>422</v>
      </c>
      <c r="J14" s="450" t="s">
        <v>1</v>
      </c>
    </row>
    <row r="15" spans="1:10" ht="14.4" customHeight="1" x14ac:dyDescent="0.3">
      <c r="A15" s="446" t="s">
        <v>425</v>
      </c>
      <c r="B15" s="447" t="s">
        <v>427</v>
      </c>
      <c r="C15" s="448">
        <v>7.5594900000000003</v>
      </c>
      <c r="D15" s="448">
        <v>0</v>
      </c>
      <c r="E15" s="448"/>
      <c r="F15" s="448">
        <v>0.18948999999999999</v>
      </c>
      <c r="G15" s="448">
        <v>0.35040538762833334</v>
      </c>
      <c r="H15" s="448">
        <v>-0.16091538762833335</v>
      </c>
      <c r="I15" s="449">
        <v>0.54077364872308276</v>
      </c>
      <c r="J15" s="450" t="s">
        <v>428</v>
      </c>
    </row>
    <row r="16" spans="1:10" ht="14.4" customHeight="1" x14ac:dyDescent="0.3">
      <c r="A16" s="446" t="s">
        <v>422</v>
      </c>
      <c r="B16" s="447" t="s">
        <v>422</v>
      </c>
      <c r="C16" s="448" t="s">
        <v>422</v>
      </c>
      <c r="D16" s="448" t="s">
        <v>422</v>
      </c>
      <c r="E16" s="448"/>
      <c r="F16" s="448" t="s">
        <v>422</v>
      </c>
      <c r="G16" s="448" t="s">
        <v>422</v>
      </c>
      <c r="H16" s="448" t="s">
        <v>422</v>
      </c>
      <c r="I16" s="449" t="s">
        <v>422</v>
      </c>
      <c r="J16" s="450" t="s">
        <v>429</v>
      </c>
    </row>
    <row r="17" spans="1:10" ht="14.4" customHeight="1" x14ac:dyDescent="0.3">
      <c r="A17" s="446" t="s">
        <v>430</v>
      </c>
      <c r="B17" s="447" t="s">
        <v>431</v>
      </c>
      <c r="C17" s="448" t="s">
        <v>422</v>
      </c>
      <c r="D17" s="448" t="s">
        <v>422</v>
      </c>
      <c r="E17" s="448"/>
      <c r="F17" s="448" t="s">
        <v>422</v>
      </c>
      <c r="G17" s="448" t="s">
        <v>422</v>
      </c>
      <c r="H17" s="448" t="s">
        <v>422</v>
      </c>
      <c r="I17" s="449" t="s">
        <v>422</v>
      </c>
      <c r="J17" s="450" t="s">
        <v>0</v>
      </c>
    </row>
    <row r="18" spans="1:10" ht="14.4" customHeight="1" x14ac:dyDescent="0.3">
      <c r="A18" s="446" t="s">
        <v>430</v>
      </c>
      <c r="B18" s="447" t="s">
        <v>265</v>
      </c>
      <c r="C18" s="448">
        <v>3.6246799999999997</v>
      </c>
      <c r="D18" s="448">
        <v>4.7029200000000007</v>
      </c>
      <c r="E18" s="448"/>
      <c r="F18" s="448">
        <v>4.3788999999999998</v>
      </c>
      <c r="G18" s="448">
        <v>9.4829306563190006</v>
      </c>
      <c r="H18" s="448">
        <v>-5.1040306563190008</v>
      </c>
      <c r="I18" s="449">
        <v>0.46176653175061411</v>
      </c>
      <c r="J18" s="450" t="s">
        <v>1</v>
      </c>
    </row>
    <row r="19" spans="1:10" ht="14.4" customHeight="1" x14ac:dyDescent="0.3">
      <c r="A19" s="446" t="s">
        <v>430</v>
      </c>
      <c r="B19" s="447" t="s">
        <v>266</v>
      </c>
      <c r="C19" s="448">
        <v>0</v>
      </c>
      <c r="D19" s="448" t="s">
        <v>422</v>
      </c>
      <c r="E19" s="448"/>
      <c r="F19" s="448">
        <v>0.19051999999999999</v>
      </c>
      <c r="G19" s="448">
        <v>0</v>
      </c>
      <c r="H19" s="448">
        <v>0.19051999999999999</v>
      </c>
      <c r="I19" s="449" t="s">
        <v>422</v>
      </c>
      <c r="J19" s="450" t="s">
        <v>1</v>
      </c>
    </row>
    <row r="20" spans="1:10" ht="14.4" customHeight="1" x14ac:dyDescent="0.3">
      <c r="A20" s="446" t="s">
        <v>430</v>
      </c>
      <c r="B20" s="447" t="s">
        <v>268</v>
      </c>
      <c r="C20" s="448">
        <v>0.88571999999999995</v>
      </c>
      <c r="D20" s="448">
        <v>0</v>
      </c>
      <c r="E20" s="448"/>
      <c r="F20" s="448">
        <v>0</v>
      </c>
      <c r="G20" s="448">
        <v>0.33333342521850001</v>
      </c>
      <c r="H20" s="448">
        <v>-0.33333342521850001</v>
      </c>
      <c r="I20" s="449">
        <v>0</v>
      </c>
      <c r="J20" s="450" t="s">
        <v>1</v>
      </c>
    </row>
    <row r="21" spans="1:10" ht="14.4" customHeight="1" x14ac:dyDescent="0.3">
      <c r="A21" s="446" t="s">
        <v>430</v>
      </c>
      <c r="B21" s="447" t="s">
        <v>432</v>
      </c>
      <c r="C21" s="448">
        <v>4.5103999999999997</v>
      </c>
      <c r="D21" s="448">
        <v>4.7029200000000007</v>
      </c>
      <c r="E21" s="448"/>
      <c r="F21" s="448">
        <v>4.56942</v>
      </c>
      <c r="G21" s="448">
        <v>9.8162640815375006</v>
      </c>
      <c r="H21" s="448">
        <v>-5.2468440815375006</v>
      </c>
      <c r="I21" s="449">
        <v>0.46549481167628709</v>
      </c>
      <c r="J21" s="450" t="s">
        <v>428</v>
      </c>
    </row>
    <row r="22" spans="1:10" ht="14.4" customHeight="1" x14ac:dyDescent="0.3">
      <c r="A22" s="446" t="s">
        <v>422</v>
      </c>
      <c r="B22" s="447" t="s">
        <v>422</v>
      </c>
      <c r="C22" s="448" t="s">
        <v>422</v>
      </c>
      <c r="D22" s="448" t="s">
        <v>422</v>
      </c>
      <c r="E22" s="448"/>
      <c r="F22" s="448" t="s">
        <v>422</v>
      </c>
      <c r="G22" s="448" t="s">
        <v>422</v>
      </c>
      <c r="H22" s="448" t="s">
        <v>422</v>
      </c>
      <c r="I22" s="449" t="s">
        <v>422</v>
      </c>
      <c r="J22" s="450" t="s">
        <v>429</v>
      </c>
    </row>
    <row r="23" spans="1:10" ht="14.4" customHeight="1" x14ac:dyDescent="0.3">
      <c r="A23" s="446" t="s">
        <v>420</v>
      </c>
      <c r="B23" s="447" t="s">
        <v>423</v>
      </c>
      <c r="C23" s="448">
        <v>12.069889999999999</v>
      </c>
      <c r="D23" s="448">
        <v>4.7029200000000007</v>
      </c>
      <c r="E23" s="448"/>
      <c r="F23" s="448">
        <v>4.7589100000000002</v>
      </c>
      <c r="G23" s="448">
        <v>10.166669469165834</v>
      </c>
      <c r="H23" s="448">
        <v>-5.4077594691658337</v>
      </c>
      <c r="I23" s="449">
        <v>0.46808937916523652</v>
      </c>
      <c r="J23" s="450" t="s">
        <v>424</v>
      </c>
    </row>
  </sheetData>
  <mergeCells count="3">
    <mergeCell ref="F3:I3"/>
    <mergeCell ref="C4:D4"/>
    <mergeCell ref="A1:I1"/>
  </mergeCells>
  <conditionalFormatting sqref="F10 F24:F65537">
    <cfRule type="cellIs" dxfId="58" priority="18" stopIfTrue="1" operator="greaterThan">
      <formula>1</formula>
    </cfRule>
  </conditionalFormatting>
  <conditionalFormatting sqref="H5:H9">
    <cfRule type="expression" dxfId="57" priority="14">
      <formula>$H5&gt;0</formula>
    </cfRule>
  </conditionalFormatting>
  <conditionalFormatting sqref="I5:I9">
    <cfRule type="expression" dxfId="56" priority="15">
      <formula>$I5&gt;1</formula>
    </cfRule>
  </conditionalFormatting>
  <conditionalFormatting sqref="B5:B9">
    <cfRule type="expression" dxfId="55" priority="11">
      <formula>OR($J5="NS",$J5="SumaNS",$J5="Účet")</formula>
    </cfRule>
  </conditionalFormatting>
  <conditionalFormatting sqref="B5:D9 F5:I9">
    <cfRule type="expression" dxfId="54" priority="17">
      <formula>AND($J5&lt;&gt;"",$J5&lt;&gt;"mezeraKL")</formula>
    </cfRule>
  </conditionalFormatting>
  <conditionalFormatting sqref="B5:D9 F5:I9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2" priority="13">
      <formula>OR($J5="SumaNS",$J5="NS")</formula>
    </cfRule>
  </conditionalFormatting>
  <conditionalFormatting sqref="A5:A9">
    <cfRule type="expression" dxfId="51" priority="9">
      <formula>AND($J5&lt;&gt;"mezeraKL",$J5&lt;&gt;"")</formula>
    </cfRule>
  </conditionalFormatting>
  <conditionalFormatting sqref="A5:A9">
    <cfRule type="expression" dxfId="50" priority="10">
      <formula>AND($J5&lt;&gt;"",$J5&lt;&gt;"mezeraKL")</formula>
    </cfRule>
  </conditionalFormatting>
  <conditionalFormatting sqref="H11:H23">
    <cfRule type="expression" dxfId="49" priority="5">
      <formula>$H11&gt;0</formula>
    </cfRule>
  </conditionalFormatting>
  <conditionalFormatting sqref="A11:A23">
    <cfRule type="expression" dxfId="48" priority="2">
      <formula>AND($J11&lt;&gt;"mezeraKL",$J11&lt;&gt;"")</formula>
    </cfRule>
  </conditionalFormatting>
  <conditionalFormatting sqref="I11:I23">
    <cfRule type="expression" dxfId="47" priority="6">
      <formula>$I11&gt;1</formula>
    </cfRule>
  </conditionalFormatting>
  <conditionalFormatting sqref="B11:B23">
    <cfRule type="expression" dxfId="46" priority="1">
      <formula>OR($J11="NS",$J11="SumaNS",$J11="Účet")</formula>
    </cfRule>
  </conditionalFormatting>
  <conditionalFormatting sqref="A11:D23 F11:I23">
    <cfRule type="expression" dxfId="45" priority="8">
      <formula>AND($J11&lt;&gt;"",$J11&lt;&gt;"mezeraKL")</formula>
    </cfRule>
  </conditionalFormatting>
  <conditionalFormatting sqref="B11:D23 F11:I23">
    <cfRule type="expression" dxfId="44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43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256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143.21849587424387</v>
      </c>
      <c r="M3" s="98">
        <f>SUBTOTAL(9,M5:M1048576)</f>
        <v>10.25</v>
      </c>
      <c r="N3" s="99">
        <f>SUBTOTAL(9,N5:N1048576)</f>
        <v>1467.9895827109997</v>
      </c>
    </row>
    <row r="4" spans="1:14" s="208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143</v>
      </c>
      <c r="M4" s="454" t="s">
        <v>13</v>
      </c>
      <c r="N4" s="455" t="s">
        <v>160</v>
      </c>
    </row>
    <row r="5" spans="1:14" ht="14.4" customHeight="1" x14ac:dyDescent="0.3">
      <c r="A5" s="458" t="s">
        <v>420</v>
      </c>
      <c r="B5" s="459" t="s">
        <v>454</v>
      </c>
      <c r="C5" s="460" t="s">
        <v>425</v>
      </c>
      <c r="D5" s="461" t="s">
        <v>455</v>
      </c>
      <c r="E5" s="460" t="s">
        <v>433</v>
      </c>
      <c r="F5" s="461" t="s">
        <v>457</v>
      </c>
      <c r="G5" s="460" t="s">
        <v>434</v>
      </c>
      <c r="H5" s="460" t="s">
        <v>435</v>
      </c>
      <c r="I5" s="460" t="s">
        <v>436</v>
      </c>
      <c r="J5" s="460" t="s">
        <v>437</v>
      </c>
      <c r="K5" s="460"/>
      <c r="L5" s="462">
        <v>94.742999999999995</v>
      </c>
      <c r="M5" s="462">
        <v>2</v>
      </c>
      <c r="N5" s="463">
        <v>189.48599999999999</v>
      </c>
    </row>
    <row r="6" spans="1:14" ht="14.4" customHeight="1" x14ac:dyDescent="0.3">
      <c r="A6" s="464" t="s">
        <v>420</v>
      </c>
      <c r="B6" s="465" t="s">
        <v>454</v>
      </c>
      <c r="C6" s="466" t="s">
        <v>430</v>
      </c>
      <c r="D6" s="467" t="s">
        <v>456</v>
      </c>
      <c r="E6" s="466" t="s">
        <v>433</v>
      </c>
      <c r="F6" s="467" t="s">
        <v>457</v>
      </c>
      <c r="G6" s="466" t="s">
        <v>434</v>
      </c>
      <c r="H6" s="466" t="s">
        <v>438</v>
      </c>
      <c r="I6" s="466" t="s">
        <v>438</v>
      </c>
      <c r="J6" s="466" t="s">
        <v>439</v>
      </c>
      <c r="K6" s="466" t="s">
        <v>440</v>
      </c>
      <c r="L6" s="468">
        <v>171.60121286739982</v>
      </c>
      <c r="M6" s="468">
        <v>0.25</v>
      </c>
      <c r="N6" s="469">
        <v>42.900303216849956</v>
      </c>
    </row>
    <row r="7" spans="1:14" ht="14.4" customHeight="1" x14ac:dyDescent="0.3">
      <c r="A7" s="464" t="s">
        <v>420</v>
      </c>
      <c r="B7" s="465" t="s">
        <v>454</v>
      </c>
      <c r="C7" s="466" t="s">
        <v>430</v>
      </c>
      <c r="D7" s="467" t="s">
        <v>456</v>
      </c>
      <c r="E7" s="466" t="s">
        <v>433</v>
      </c>
      <c r="F7" s="467" t="s">
        <v>457</v>
      </c>
      <c r="G7" s="466" t="s">
        <v>434</v>
      </c>
      <c r="H7" s="466" t="s">
        <v>441</v>
      </c>
      <c r="I7" s="466" t="s">
        <v>436</v>
      </c>
      <c r="J7" s="466" t="s">
        <v>442</v>
      </c>
      <c r="K7" s="466" t="s">
        <v>443</v>
      </c>
      <c r="L7" s="468">
        <v>75.020028178425932</v>
      </c>
      <c r="M7" s="468">
        <v>2</v>
      </c>
      <c r="N7" s="469">
        <v>150.04005635685186</v>
      </c>
    </row>
    <row r="8" spans="1:14" ht="14.4" customHeight="1" x14ac:dyDescent="0.3">
      <c r="A8" s="464" t="s">
        <v>420</v>
      </c>
      <c r="B8" s="465" t="s">
        <v>454</v>
      </c>
      <c r="C8" s="466" t="s">
        <v>430</v>
      </c>
      <c r="D8" s="467" t="s">
        <v>456</v>
      </c>
      <c r="E8" s="466" t="s">
        <v>433</v>
      </c>
      <c r="F8" s="467" t="s">
        <v>457</v>
      </c>
      <c r="G8" s="466" t="s">
        <v>434</v>
      </c>
      <c r="H8" s="466" t="s">
        <v>444</v>
      </c>
      <c r="I8" s="466" t="s">
        <v>436</v>
      </c>
      <c r="J8" s="466" t="s">
        <v>445</v>
      </c>
      <c r="K8" s="466"/>
      <c r="L8" s="468">
        <v>182.71145462854832</v>
      </c>
      <c r="M8" s="468">
        <v>4</v>
      </c>
      <c r="N8" s="469">
        <v>730.8458185141933</v>
      </c>
    </row>
    <row r="9" spans="1:14" ht="14.4" customHeight="1" x14ac:dyDescent="0.3">
      <c r="A9" s="464" t="s">
        <v>420</v>
      </c>
      <c r="B9" s="465" t="s">
        <v>454</v>
      </c>
      <c r="C9" s="466" t="s">
        <v>430</v>
      </c>
      <c r="D9" s="467" t="s">
        <v>456</v>
      </c>
      <c r="E9" s="466" t="s">
        <v>433</v>
      </c>
      <c r="F9" s="467" t="s">
        <v>457</v>
      </c>
      <c r="G9" s="466" t="s">
        <v>434</v>
      </c>
      <c r="H9" s="466" t="s">
        <v>446</v>
      </c>
      <c r="I9" s="466" t="s">
        <v>436</v>
      </c>
      <c r="J9" s="466" t="s">
        <v>447</v>
      </c>
      <c r="K9" s="466" t="s">
        <v>448</v>
      </c>
      <c r="L9" s="468">
        <v>164.19740462310469</v>
      </c>
      <c r="M9" s="468">
        <v>1</v>
      </c>
      <c r="N9" s="469">
        <v>164.19740462310469</v>
      </c>
    </row>
    <row r="10" spans="1:14" ht="14.4" customHeight="1" thickBot="1" x14ac:dyDescent="0.35">
      <c r="A10" s="470" t="s">
        <v>420</v>
      </c>
      <c r="B10" s="471" t="s">
        <v>454</v>
      </c>
      <c r="C10" s="472" t="s">
        <v>430</v>
      </c>
      <c r="D10" s="473" t="s">
        <v>456</v>
      </c>
      <c r="E10" s="472" t="s">
        <v>449</v>
      </c>
      <c r="F10" s="473" t="s">
        <v>458</v>
      </c>
      <c r="G10" s="472" t="s">
        <v>450</v>
      </c>
      <c r="H10" s="472" t="s">
        <v>451</v>
      </c>
      <c r="I10" s="472" t="s">
        <v>451</v>
      </c>
      <c r="J10" s="472" t="s">
        <v>452</v>
      </c>
      <c r="K10" s="472" t="s">
        <v>453</v>
      </c>
      <c r="L10" s="474">
        <v>190.52</v>
      </c>
      <c r="M10" s="474">
        <v>1</v>
      </c>
      <c r="N10" s="475">
        <v>190.52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165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6" t="s">
        <v>144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thickBot="1" x14ac:dyDescent="0.35">
      <c r="A5" s="490" t="s">
        <v>459</v>
      </c>
      <c r="B5" s="456"/>
      <c r="C5" s="480">
        <v>0</v>
      </c>
      <c r="D5" s="456">
        <v>190.52</v>
      </c>
      <c r="E5" s="480">
        <v>1</v>
      </c>
      <c r="F5" s="457">
        <v>190.52</v>
      </c>
    </row>
    <row r="6" spans="1:6" ht="14.4" customHeight="1" thickBot="1" x14ac:dyDescent="0.35">
      <c r="A6" s="486" t="s">
        <v>3</v>
      </c>
      <c r="B6" s="487"/>
      <c r="C6" s="488">
        <v>0</v>
      </c>
      <c r="D6" s="487">
        <v>190.52</v>
      </c>
      <c r="E6" s="488">
        <v>1</v>
      </c>
      <c r="F6" s="489">
        <v>190.52</v>
      </c>
    </row>
    <row r="7" spans="1:6" ht="14.4" customHeight="1" thickBot="1" x14ac:dyDescent="0.35"/>
    <row r="8" spans="1:6" ht="14.4" customHeight="1" thickBot="1" x14ac:dyDescent="0.35">
      <c r="A8" s="490" t="s">
        <v>460</v>
      </c>
      <c r="B8" s="456"/>
      <c r="C8" s="480">
        <v>0</v>
      </c>
      <c r="D8" s="456">
        <v>190.52</v>
      </c>
      <c r="E8" s="480">
        <v>1</v>
      </c>
      <c r="F8" s="457">
        <v>190.52</v>
      </c>
    </row>
    <row r="9" spans="1:6" ht="14.4" customHeight="1" thickBot="1" x14ac:dyDescent="0.35">
      <c r="A9" s="486" t="s">
        <v>3</v>
      </c>
      <c r="B9" s="487"/>
      <c r="C9" s="488">
        <v>0</v>
      </c>
      <c r="D9" s="487">
        <v>190.52</v>
      </c>
      <c r="E9" s="488">
        <v>1</v>
      </c>
      <c r="F9" s="489">
        <v>190.52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2016-03-30T20:39:13Z</dcterms:modified>
</cp:coreProperties>
</file>