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L26" i="419" l="1"/>
  <c r="L27" i="419" s="1"/>
  <c r="L25" i="419"/>
  <c r="F26" i="419"/>
  <c r="L28" i="419" l="1"/>
  <c r="F25" i="419"/>
  <c r="C25" i="419"/>
  <c r="L20" i="419"/>
  <c r="K20" i="419"/>
  <c r="L19" i="419"/>
  <c r="K19" i="419"/>
  <c r="L17" i="419"/>
  <c r="K17" i="419"/>
  <c r="L16" i="419"/>
  <c r="K16" i="419"/>
  <c r="L14" i="419"/>
  <c r="K14" i="419"/>
  <c r="L13" i="419"/>
  <c r="K13" i="419"/>
  <c r="L12" i="419"/>
  <c r="K12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I22" i="419" s="1"/>
  <c r="H21" i="419"/>
  <c r="H22" i="419" s="1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F18" i="419" l="1"/>
  <c r="F23" i="419"/>
  <c r="G18" i="419"/>
  <c r="H23" i="419"/>
  <c r="H18" i="419"/>
  <c r="I18" i="419"/>
  <c r="J23" i="419"/>
  <c r="G23" i="419"/>
  <c r="I23" i="419"/>
  <c r="J18" i="419"/>
  <c r="F22" i="419"/>
  <c r="J22" i="419"/>
  <c r="G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H6" i="419"/>
  <c r="G6" i="419"/>
  <c r="J6" i="419"/>
  <c r="F6" i="419"/>
  <c r="I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C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L3" i="387"/>
  <c r="J3" i="387"/>
  <c r="I3" i="387"/>
  <c r="G3" i="387"/>
  <c r="H3" i="387" s="1"/>
  <c r="F3" i="387"/>
  <c r="N3" i="220"/>
  <c r="L3" i="220" s="1"/>
  <c r="D22" i="414"/>
  <c r="C22" i="414"/>
  <c r="H3" i="390" l="1"/>
  <c r="K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<sst xmlns="http://schemas.openxmlformats.org/spreadsheetml/2006/main" count="3625" uniqueCount="1160">
  <si>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</si>
  <si>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</si>
  <si>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</si>
  <si>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</si>
  <si>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</si>
  <si>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</si>
  <si>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</si>
  <si>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</si>
  <si>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</si>
  <si>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</si>
  <si>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</si>
  <si>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</si>
  <si>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</si>
  <si>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</si>
  <si>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</si>
  <si>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</si>
  <si>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</si>
  <si>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</si>
  <si>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</si>
  <si>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</si>
  <si>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</si>
  <si>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</si>
  <si>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</si>
  <si>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</si>
  <si>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</si>
  <si>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</si>
  <si>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</si>
  <si>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</si>
  <si>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</si>
  <si>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</si>
  <si>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</si>
  <si>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</si>
  <si>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</si>
  <si>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</si>
  <si>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</si>
  <si>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</si>
  <si>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</si>
  <si>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</si>
  <si>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</si>
  <si>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</si>
  <si>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</si>
  <si>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</si>
  <si>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</si>
  <si>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</si>
  <si>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</si>
  <si>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</si>
  <si>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</si>
  <si>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</si>
  <si>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</si>
  <si>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</si>
  <si>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</si>
  <si>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</si>
  <si>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</si>
  <si>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</si>
  <si>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</si>
  <si>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</si>
  <si>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</si>
  <si>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</si>
  <si>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</si>
  <si>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</si>
  <si>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</si>
  <si>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</si>
  <si>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</si>
  <si>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</si>
  <si>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</si>
  <si>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</si>
  <si>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</si>
  <si>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</si>
  <si>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</si>
  <si>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</si>
  <si>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</si>
  <si>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</si>
  <si>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</si>
  <si>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</si>
  <si>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</si>
  <si>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</si>
  <si>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</si>
  <si>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</si>
  <si>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</si>
  <si>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</si>
  <si>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</si>
  <si>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</si>
  <si>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</si>
  <si>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</si>
  <si>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</si>
  <si>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</si>
  <si>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</si>
  <si>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</si>
  <si>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</si>
  <si>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</si>
  <si>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</si>
  <si>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</si>
  <si>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</si>
  <si>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</si>
  <si>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</si>
  <si>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</si>
  <si>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</si>
  <si>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</si>
  <si>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</si>
  <si>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</si>
  <si>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</si>
  <si>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</si>
  <si>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</si>
  <si>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</si>
  <si>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</si>
  <si>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</si>
  <si>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</si>
  <si>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</si>
  <si>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</si>
  <si>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</si>
  <si>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</si>
  <si>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</si>
  <si>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</si>
  <si>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</si>
  <si>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</si>
  <si>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</si>
  <si>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</si>
  <si>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</si>
  <si>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</si>
  <si>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</si>
  <si>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</si>
  <si>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</si>
  <si>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</si>
  <si>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</si>
  <si>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</si>
  <si>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</si>
  <si>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</si>
  <si>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</si>
  <si>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</si>
  <si>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</si>
  <si>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</si>
  <si>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</si>
  <si>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</si>
  <si>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</si>
  <si>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</si>
  <si>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</si>
  <si>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</si>
  <si>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</si>
  <si>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</si>
  <si>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</si>
  <si>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</si>
  <si>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</si>
  <si>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</si>
  <si>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</si>
  <si>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</si>
  <si>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</si>
  <si>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</si>
  <si>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</si>
  <si>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</si>
  <si>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</si>
  <si>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</si>
  <si>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</si>
  <si>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</si>
  <si>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</si>
  <si>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</si>
  <si>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</si>
  <si>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</si>
  <si>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</si>
  <si>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</si>
  <si>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</si>
  <si>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</si>
  <si>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</si>
  <si>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</si>
  <si>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</si>
  <si>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</si>
  <si>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</si>
  <si>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</si>
  <si>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</si>
  <si>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</si>
  <si>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</si>
  <si>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</si>
  <si>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</si>
  <si>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</si>
  <si>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</si>
  <si>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</si>
  <si>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</si>
  <si>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</si>
  <si>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</si>
  <si>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</si>
  <si>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</si>
  <si>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</si>
  <si>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</si>
  <si>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</si>
  <si>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</si>
  <si>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</si>
  <si>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</si>
  <si>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</si>
  <si>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</si>
  <si>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</si>
  <si>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</si>
  <si>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</si>
  <si>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</si>
  <si>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</si>
  <si>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</si>
  <si>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</si>
  <si>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</si>
  <si>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</si>
  <si>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</si>
  <si>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</si>
  <si>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</si>
  <si>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</si>
  <si>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</si>
  <si>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</si>
  <si>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</si>
  <si>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</si>
  <si>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</si>
  <si>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</si>
  <si>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</si>
  <si>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</si>
  <si>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</si>
  <si>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</si>
  <si>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</si>
  <si>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</si>
  <si>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</si>
  <si>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</si>
  <si>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</si>
  <si>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</si>
  <si>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</si>
  <si>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</si>
  <si>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</si>
  <si>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</si>
  <si>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</si>
  <si>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</si>
  <si>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</si>
  <si>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</si>
  <si>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</si>
  <si>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</si>
  <si>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</si>
  <si>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</si>
  <si>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</si>
  <si>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</si>
  <si>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</si>
  <si>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</si>
  <si>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</si>
  <si>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</si>
  <si>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</si>
  <si>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</si>
  <si>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</si>
  <si>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</si>
  <si>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</si>
  <si>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</si>
  <si>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</si>
  <si>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</si>
  <si>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</si>
  <si>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</si>
  <si>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</si>
  <si>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</si>
  <si>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</si>
  <si>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</si>
  <si>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</si>
  <si>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</si>
  <si>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</si>
  <si>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</si>
  <si>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</si>
  <si>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</si>
  <si>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</si>
  <si>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</si>
  <si>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</si>
  <si>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</si>
  <si>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</si>
  <si>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</si>
  <si>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</si>
  <si>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</si>
  <si>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</si>
  <si>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</si>
  <si>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</si>
  <si>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</si>
  <si>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</si>
  <si>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</si>
  <si>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</si>
  <si>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</si>
  <si>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</si>
  <si>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</si>
  <si>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</si>
  <si>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</si>
  <si>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</si>
  <si>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</si>
  <si>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</si>
  <si>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</si>
  <si>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</si>
  <si>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</si>
  <si>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</si>
  <si>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</si>
  <si>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</si>
  <si>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</si>
  <si>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</si>
  <si>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</si>
  <si>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</si>
  <si>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</si>
  <si>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</si>
  <si>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</si>
  <si>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</si>
  <si>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</si>
  <si>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</si>
  <si>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</si>
  <si>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</si>
  <si>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</si>
  <si>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</si>
  <si>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</si>
  <si>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</si>
  <si>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</si>
  <si>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</si>
  <si>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</si>
  <si>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</si>
  <si>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</si>
  <si>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</si>
  <si>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</si>
  <si>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</si>
  <si>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</si>
  <si>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</si>
  <si>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</si>
  <si>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</si>
  <si>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</si>
  <si>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</si>
  <si>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</si>
  <si>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</si>
  <si>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</si>
  <si>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</si>
  <si>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</si>
  <si>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</si>
  <si>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</si>
  <si>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</si>
  <si>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</si>
  <si>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</si>
  <si>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</si>
  <si>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</si>
  <si>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</si>
  <si>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</si>
  <si>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</si>
  <si>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</si>
  <si>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</si>
  <si>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</si>
  <si>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</si>
  <si>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</si>
  <si>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</si>
  <si>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</si>
  <si>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</si>
  <si>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</si>
  <si>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</si>
  <si>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</si>
  <si>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</si>
  <si>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</si>
  <si>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</si>
  <si>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</si>
  <si>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</si>
  <si>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</si>
  <si>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</si>
  <si>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</si>
  <si>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</si>
  <si>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</si>
  <si>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</si>
  <si>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</si>
  <si>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</si>
  <si>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</si>
  <si>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</si>
  <si>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</si>
  <si>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</si>
  <si>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</si>
  <si>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</si>
  <si>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</si>
  <si>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</si>
  <si>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</si>
  <si>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</si>
  <si>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</si>
  <si>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</si>
  <si>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</si>
  <si>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</si>
  <si>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</si>
  <si>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</si>
  <si>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</si>
  <si>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</si>
  <si>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</si>
  <si>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</si>
  <si>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</si>
  <si>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</si>
  <si>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</si>
  <si>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</si>
  <si>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</si>
  <si>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</si>
  <si>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</si>
  <si>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</si>
  <si>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</si>
  <si>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</si>
  <si>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</si>
  <si>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</si>
  <si>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</si>
  <si>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</si>
  <si>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</si>
  <si>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</si>
  <si>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</si>
  <si>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</si>
  <si>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</si>
  <si>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</si>
  <si>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</si>
  <si>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</si>
  <si>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</si>
  <si>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</si>
  <si>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</si>
  <si>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</si>
  <si>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</si>
  <si>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</si>
  <si>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</si>
  <si>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</si>
  <si>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</si>
  <si>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</si>
  <si>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</si>
  <si>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</si>
  <si>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</si>
  <si>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</si>
  <si>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</si>
  <si>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</si>
  <si>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</si>
  <si>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</si>
  <si>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</si>
  <si>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</si>
  <si>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</si>
  <si>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</si>
  <si>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</si>
  <si>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</si>
  <si>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</si>
  <si>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</si>
  <si>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</si>
  <si>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</si>
  <si>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</si>
  <si>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</si>
  <si>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</si>
  <si>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</si>
  <si>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</si>
  <si>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</si>
  <si>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</si>
  <si>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</si>
  <si>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</si>
  <si>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</si>
  <si>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</si>
  <si>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</si>
  <si>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</si>
  <si>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</si>
  <si>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</si>
  <si>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</si>
  <si>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</si>
  <si>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</si>
  <si>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</si>
  <si>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</si>
  <si>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</si>
  <si>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</si>
  <si>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</si>
  <si>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</si>
  <si>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</si>
  <si>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100362</t>
  </si>
  <si>
    <t>362</t>
  </si>
  <si>
    <t>ADRENALIN LECIVA</t>
  </si>
  <si>
    <t>INJ 5X1ML/1MG</t>
  </si>
  <si>
    <t>102478</t>
  </si>
  <si>
    <t>2478</t>
  </si>
  <si>
    <t>DIAZEPAM SLOVAKOFARMA</t>
  </si>
  <si>
    <t>TBL 20X10MG</t>
  </si>
  <si>
    <t>109159</t>
  </si>
  <si>
    <t>9159</t>
  </si>
  <si>
    <t>HYLAK FORTE</t>
  </si>
  <si>
    <t>GTT 1X100ML</t>
  </si>
  <si>
    <t>111063</t>
  </si>
  <si>
    <t>11063</t>
  </si>
  <si>
    <t>IBALGIN 600 (IBUPROFEN 600)</t>
  </si>
  <si>
    <t>TBL OBD 30X600MG</t>
  </si>
  <si>
    <t>132082</t>
  </si>
  <si>
    <t>32082</t>
  </si>
  <si>
    <t>IBALGIN 400 (IBUPROFEN 400)</t>
  </si>
  <si>
    <t>TBL OBD 100X400MG</t>
  </si>
  <si>
    <t>198054</t>
  </si>
  <si>
    <t>SANVAL 10 MG</t>
  </si>
  <si>
    <t>POR TBL FLM 20X10MG</t>
  </si>
  <si>
    <t>185546</t>
  </si>
  <si>
    <t>BRUFEDOL 400 MG ŠUMIVÉ GRANULE</t>
  </si>
  <si>
    <t>POR GRA EFF 30X400MG</t>
  </si>
  <si>
    <t>51366</t>
  </si>
  <si>
    <t>CHLORID SODNÝ 0,9% BRAUN</t>
  </si>
  <si>
    <t>INF SOL 20X100MLPELAH</t>
  </si>
  <si>
    <t>930589</t>
  </si>
  <si>
    <t>0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</si>
  <si>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</si>
  <si>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</si>
  <si>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</si>
  <si>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</si>
  <si>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</si>
  <si>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</si>
  <si>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</si>
  <si>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50113013</t>
  </si>
  <si>
    <t>201974</t>
  </si>
  <si>
    <t>PENICILIN G 1,0 DRASELNÁ SO. BIOTIKA</t>
  </si>
  <si>
    <t>INJ PLV SOL 10X1MU</t>
  </si>
  <si>
    <t>Ústav lékařské genetiky a fet.med.</t>
  </si>
  <si>
    <t>GEN: ambulance</t>
  </si>
  <si>
    <t>GEN: laboratoř</t>
  </si>
  <si>
    <t>Lékárna - léčiva</t>
  </si>
  <si>
    <t>Lékárna - antibiotika</t>
  </si>
  <si>
    <t>2841 - GEN: laboratoř</t>
  </si>
  <si>
    <t>J01CE01 - Benzylpenicilin</t>
  </si>
  <si>
    <t>J01CE01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</si>
  <si>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</si>
  <si>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</si>
  <si>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</si>
  <si>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</si>
  <si>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</si>
  <si>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</si>
  <si>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</si>
  <si>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</si>
  <si>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</si>
  <si>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</si>
  <si>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</si>
  <si>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Curtisová Václava</t>
  </si>
  <si>
    <t>Marková Ivana</t>
  </si>
  <si>
    <t>Mracká Enkhjargal</t>
  </si>
  <si>
    <t>Procházka Martin</t>
  </si>
  <si>
    <t>Punová Lucia</t>
  </si>
  <si>
    <t>Štellmachová Júlia</t>
  </si>
  <si>
    <t>Veberová Tereza</t>
  </si>
  <si>
    <t>Vejvalková Šárka</t>
  </si>
  <si>
    <t>Amlodipin</t>
  </si>
  <si>
    <t>125053</t>
  </si>
  <si>
    <t>APO-AMLO 10</t>
  </si>
  <si>
    <t>TBL NOB 100X10MG</t>
  </si>
  <si>
    <t>Cefprozil</t>
  </si>
  <si>
    <t>53134</t>
  </si>
  <si>
    <t>CEFZIL 500 MG</t>
  </si>
  <si>
    <t>TBL FLM 20X500MG</t>
  </si>
  <si>
    <t>Cetirizin</t>
  </si>
  <si>
    <t>99600</t>
  </si>
  <si>
    <t>ZODAC</t>
  </si>
  <si>
    <t>TBL FLM 90X10MG</t>
  </si>
  <si>
    <t>Diazepam</t>
  </si>
  <si>
    <t>DIAZEPAM SLOVAKOFARMA 10 MG</t>
  </si>
  <si>
    <t>TBL NOB 20(2X10)X10MG</t>
  </si>
  <si>
    <t>Chondroitin-sulfát</t>
  </si>
  <si>
    <t>176921</t>
  </si>
  <si>
    <t>CONDROSULF 400 MG</t>
  </si>
  <si>
    <t>CPS DUR 180X400MG</t>
  </si>
  <si>
    <t>Salbutamol</t>
  </si>
  <si>
    <t>31934</t>
  </si>
  <si>
    <t>VENTOLIN INHALER N</t>
  </si>
  <si>
    <t>INH SUS PSS 200DÁVX100RG/DÁV</t>
  </si>
  <si>
    <t>Valsartan</t>
  </si>
  <si>
    <t>182111</t>
  </si>
  <si>
    <t>VALSARTAN KRKA 160 MG</t>
  </si>
  <si>
    <t>TBL FLM 90X160MG</t>
  </si>
  <si>
    <t>Zolpidem</t>
  </si>
  <si>
    <t>16286</t>
  </si>
  <si>
    <t>STILNOX</t>
  </si>
  <si>
    <t>TBL FLM 20X10MG</t>
  </si>
  <si>
    <t>Dexamethason a antiinfektiva</t>
  </si>
  <si>
    <t>2546</t>
  </si>
  <si>
    <t>MAXITROL</t>
  </si>
  <si>
    <t>OPH GTT SUS 1X5ML</t>
  </si>
  <si>
    <t>2547</t>
  </si>
  <si>
    <t>OPH UNG 1X3,5GM</t>
  </si>
  <si>
    <t>Flukonazol</t>
  </si>
  <si>
    <t>64941</t>
  </si>
  <si>
    <t>DIFLUCAN 150 MG</t>
  </si>
  <si>
    <t>CPS DUR 1X150MG I</t>
  </si>
  <si>
    <t>Jiná antiinfektiva</t>
  </si>
  <si>
    <t>200863</t>
  </si>
  <si>
    <t>OPHTHALMO-SEPTONEX</t>
  </si>
  <si>
    <t>OPH GTT SOL 1X10ML PLAST</t>
  </si>
  <si>
    <t>Telmisartan a amlodipin</t>
  </si>
  <si>
    <t>167862</t>
  </si>
  <si>
    <t>TWYNSTA 80 MG/10 MG</t>
  </si>
  <si>
    <t>TBL NOB 90X1X80MG/10MG</t>
  </si>
  <si>
    <t>Anti-D (Rh) imunoglobulin</t>
  </si>
  <si>
    <t>88354</t>
  </si>
  <si>
    <t>RHESONATIV 625 IU/ML</t>
  </si>
  <si>
    <t>INJ SOL 1X2MLX625IU/ML</t>
  </si>
  <si>
    <t>Jiná antibiotika pro lokální aplikaci</t>
  </si>
  <si>
    <t>55759</t>
  </si>
  <si>
    <t>PAMYCON NA PŘÍPRAVU KAPEK</t>
  </si>
  <si>
    <t>DRM PLV SOL 1</t>
  </si>
  <si>
    <t>Kyselina acetylsalicylová</t>
  </si>
  <si>
    <t>163426</t>
  </si>
  <si>
    <t>ASPIRIN PROTECT 100</t>
  </si>
  <si>
    <t>TBL ENT 100X100MG</t>
  </si>
  <si>
    <t>Rosuvastatin</t>
  </si>
  <si>
    <t>148078</t>
  </si>
  <si>
    <t>ROSUCARD 40 MG POTAHOVANÉ TABLETY</t>
  </si>
  <si>
    <t>TBL FLM 90X40MG</t>
  </si>
  <si>
    <t>Aciklovir</t>
  </si>
  <si>
    <t>155937</t>
  </si>
  <si>
    <t>HERPESIN 400</t>
  </si>
  <si>
    <t>TBL NOB 50X400MG</t>
  </si>
  <si>
    <t>Amoxicilin</t>
  </si>
  <si>
    <t>32559</t>
  </si>
  <si>
    <t>OSPAMOX 1000 MG</t>
  </si>
  <si>
    <t>TBL FLM 14X1000MG</t>
  </si>
  <si>
    <t>Antibiotika v kombinaci s ostatními léčivy</t>
  </si>
  <si>
    <t>1077</t>
  </si>
  <si>
    <t>OPHTHALMO-FRAMYKOIN COMP.</t>
  </si>
  <si>
    <t>OPH UNG 1X5GM</t>
  </si>
  <si>
    <t>Avokádový a sójový olej, nezmýdelnitelné</t>
  </si>
  <si>
    <t>49688</t>
  </si>
  <si>
    <t>PIASCLEDINE 300</t>
  </si>
  <si>
    <t>CPS DUR 30X100MG/200MG</t>
  </si>
  <si>
    <t>Azithromycin</t>
  </si>
  <si>
    <t>45010</t>
  </si>
  <si>
    <t>AZITROMYCIN SANDOZ 500 MG</t>
  </si>
  <si>
    <t>TBL FLM 3X500MG</t>
  </si>
  <si>
    <t>Betamethason a antibiotika</t>
  </si>
  <si>
    <t>83973</t>
  </si>
  <si>
    <t>FUCICORT</t>
  </si>
  <si>
    <t>CRM 15GMX20MG/1MG/1G</t>
  </si>
  <si>
    <t>1066</t>
  </si>
  <si>
    <t>FRAMYKOIN</t>
  </si>
  <si>
    <t>UNG 10GMX250IU/100IU/GM</t>
  </si>
  <si>
    <t>Klarithromycin</t>
  </si>
  <si>
    <t>203854</t>
  </si>
  <si>
    <t>KLACID 500</t>
  </si>
  <si>
    <t>TBL FLM 14X500MG</t>
  </si>
  <si>
    <t>Klindamycin</t>
  </si>
  <si>
    <t>100339</t>
  </si>
  <si>
    <t>DALACIN C 300 MG</t>
  </si>
  <si>
    <t>CPS DUR 16X300MG</t>
  </si>
  <si>
    <t>Kortikosteroidy</t>
  </si>
  <si>
    <t>84700</t>
  </si>
  <si>
    <t>OTOBACID N</t>
  </si>
  <si>
    <t>AUR GTT SOL 1X5ML</t>
  </si>
  <si>
    <t>Metoklopramid</t>
  </si>
  <si>
    <t>93104</t>
  </si>
  <si>
    <t>DEGAN 10 MG TABLETY</t>
  </si>
  <si>
    <t>TBL NOB 40X10MG</t>
  </si>
  <si>
    <t>Omeprazol</t>
  </si>
  <si>
    <t>25366</t>
  </si>
  <si>
    <t>HELICID 20 ZENTIVA</t>
  </si>
  <si>
    <t>CPS ETD 90X20MG</t>
  </si>
  <si>
    <t>215609</t>
  </si>
  <si>
    <t>HELICID 10 ZENTIVA</t>
  </si>
  <si>
    <t>CPS ETD 90X10MG</t>
  </si>
  <si>
    <t>Prednison</t>
  </si>
  <si>
    <t>269</t>
  </si>
  <si>
    <t>PREDNISON 5 LÉČIVA</t>
  </si>
  <si>
    <t>TBL NOB 20X5MG</t>
  </si>
  <si>
    <t>Sulfamethoxazol a trimethoprim</t>
  </si>
  <si>
    <t>203954</t>
  </si>
  <si>
    <t>BISEPTOL 480</t>
  </si>
  <si>
    <t>TBL NOB 28X400MG/80MG</t>
  </si>
  <si>
    <t>3377</t>
  </si>
  <si>
    <t>TBL NOB 20X400MG/80MG</t>
  </si>
  <si>
    <t>48261</t>
  </si>
  <si>
    <t>DRM PLV ADS 1X20GM</t>
  </si>
  <si>
    <t>Nimesulid</t>
  </si>
  <si>
    <t>12895</t>
  </si>
  <si>
    <t>AULIN</t>
  </si>
  <si>
    <t>POR GRA SUS 30X100MG I</t>
  </si>
  <si>
    <t>Alprazolam</t>
  </si>
  <si>
    <t>83099</t>
  </si>
  <si>
    <t>XANAX SR 0,5 MG</t>
  </si>
  <si>
    <t>TBL PRO 30X0,5MG</t>
  </si>
  <si>
    <t>90957</t>
  </si>
  <si>
    <t>XANAX 0,25 MG</t>
  </si>
  <si>
    <t>TBL NOB 30X0,25MG</t>
  </si>
  <si>
    <t>Jiná antihistaminika pro systémovou aplikaci</t>
  </si>
  <si>
    <t>2479</t>
  </si>
  <si>
    <t>DITHIADEN</t>
  </si>
  <si>
    <t>TBL NOB 20X2MG</t>
  </si>
  <si>
    <t>Nifuroxazid</t>
  </si>
  <si>
    <t>155871</t>
  </si>
  <si>
    <t>ERCEFURYL 200 MG CPS.</t>
  </si>
  <si>
    <t>CPS DUR 14X200MG</t>
  </si>
  <si>
    <t>Paracetamol, kombinace kromě psycholeptik</t>
  </si>
  <si>
    <t>206926</t>
  </si>
  <si>
    <t>PARALEN GRIP HORKÝ NÁPOJ ECHINACEA A ŠÍPKY 500 MG/10 MG</t>
  </si>
  <si>
    <t>POR GRA SOL SCC 6X500MG/10MG</t>
  </si>
  <si>
    <t>Pitofenon a analgetika</t>
  </si>
  <si>
    <t>176954</t>
  </si>
  <si>
    <t>ALGIFEN NEO</t>
  </si>
  <si>
    <t>POR GTT SOL 1X50ML</t>
  </si>
  <si>
    <t>88708</t>
  </si>
  <si>
    <t>ALGIFEN</t>
  </si>
  <si>
    <t>TBL NOB 20</t>
  </si>
  <si>
    <t>Různé jiné kombinace železa</t>
  </si>
  <si>
    <t>3423</t>
  </si>
  <si>
    <t>AKTIFERRIN COMPOSITUM</t>
  </si>
  <si>
    <t>POR CPS MOL 30</t>
  </si>
  <si>
    <t>Sertralin</t>
  </si>
  <si>
    <t>53950</t>
  </si>
  <si>
    <t>ZOLOFT 50 MG</t>
  </si>
  <si>
    <t>TBL FLM 28X50MG</t>
  </si>
  <si>
    <t>2963</t>
  </si>
  <si>
    <t>PREDNISON 20 LÉČIVA</t>
  </si>
  <si>
    <t>TBL NOB 20X20MG</t>
  </si>
  <si>
    <t>Takrolimus</t>
  </si>
  <si>
    <t>27312</t>
  </si>
  <si>
    <t>PROTOPIC 0,1%</t>
  </si>
  <si>
    <t>UNG 30GMX0,1%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</si>
  <si>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</si>
  <si>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</si>
  <si>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</si>
  <si>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</si>
  <si>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</si>
  <si>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R03AC02 - Salbutamol</t>
  </si>
  <si>
    <t>N06AB06 - Sertralin</t>
  </si>
  <si>
    <t>J01FA10 - Azithromycin</t>
  </si>
  <si>
    <t>R06AE07 - Cetirizin</t>
  </si>
  <si>
    <t>J02AC01 - Flukonazol</t>
  </si>
  <si>
    <t>N05BA12 - Alprazolam</t>
  </si>
  <si>
    <t>C10AA07</t>
  </si>
  <si>
    <t>R03AC02</t>
  </si>
  <si>
    <t>R06AE07</t>
  </si>
  <si>
    <t>J02AC01</t>
  </si>
  <si>
    <t>J01FA10</t>
  </si>
  <si>
    <t>N05BA12</t>
  </si>
  <si>
    <t>N06AB06</t>
  </si>
  <si>
    <t>Přehled plnění PL - Preskripce léčivých přípravků - orientační přehled</t>
  </si>
  <si>
    <t>ZA411</t>
  </si>
  <si>
    <t>Gáza přířezy 30 cm x 30 cm 17 nití 07004</t>
  </si>
  <si>
    <t>ZA446</t>
  </si>
  <si>
    <t>Vata buničitá přířezy 20 x 30 cm 1230200129</t>
  </si>
  <si>
    <t>ZA593</t>
  </si>
  <si>
    <t>Tampon sterilní stáčený 20 x 20 cm / 5 ks 28003+</t>
  </si>
  <si>
    <t>ZC100</t>
  </si>
  <si>
    <t>Vata buničitá dělená 2 role / 500 ks 40 x 50 mm 1230200310</t>
  </si>
  <si>
    <t>ZA808</t>
  </si>
  <si>
    <t>Kanyla venofix safety 23G modrá 4056353</t>
  </si>
  <si>
    <t>ZB597</t>
  </si>
  <si>
    <t>Hadička spojovací HS 3,0 x 150LL bal. á 30 ks 606321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</si>
  <si>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</si>
  <si>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</si>
  <si>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</si>
  <si>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</si>
  <si>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</si>
  <si>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</si>
  <si>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</si>
  <si>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</si>
  <si>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</si>
  <si>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</si>
  <si>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</si>
  <si>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</si>
  <si>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</si>
  <si>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</si>
  <si>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</si>
  <si>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</si>
  <si>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</si>
  <si>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</si>
  <si>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ZB775</t>
  </si>
  <si>
    <t>Zkumavka koagulace 4 ml modrá 454329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</si>
  <si>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</si>
  <si>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</si>
  <si>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</si>
  <si>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</si>
  <si>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</si>
  <si>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</si>
  <si>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</si>
  <si>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</si>
  <si>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</si>
  <si>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</si>
  <si>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ZJ672</t>
  </si>
  <si>
    <t>Pohár na moč 250 ml UH GAMA204809</t>
  </si>
  <si>
    <t>ZJ673</t>
  </si>
  <si>
    <t>Pohár na moč 100 ml UH GAMA204808</t>
  </si>
  <si>
    <t>ZB966</t>
  </si>
  <si>
    <t>Nůžky rovné chirurgické hrotnaté 150 mm B397113920005</t>
  </si>
  <si>
    <t>ZN206</t>
  </si>
  <si>
    <t>Lopatka ústní dřevěná lékařská sterilní 150 x 17 mm bal. á 500 ks 4002/SG/CS/L</t>
  </si>
  <si>
    <t>ZN299</t>
  </si>
  <si>
    <t>Hadička spojovací Gamaplus 1,8 x 1800 UNIV NO DOP (606307) 686412</t>
  </si>
  <si>
    <t>ZB963</t>
  </si>
  <si>
    <t>Pinzeta anatomická úzká 145 mm B397114920019</t>
  </si>
  <si>
    <t>ZA832</t>
  </si>
  <si>
    <t>Jehla injekční 0,9 x 40 mm žlutá 4657519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</si>
  <si>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</si>
  <si>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</si>
  <si>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</si>
  <si>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</si>
  <si>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</si>
  <si>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</si>
  <si>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</si>
  <si>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</si>
  <si>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ZA557</t>
  </si>
  <si>
    <t>Kompresa gáza 10 x 20 cm/5 ks sterilní 26013</t>
  </si>
  <si>
    <t>ZD104</t>
  </si>
  <si>
    <t>Náplast omniplast 10,0 cm x 10,0 m 9004472 (900535)</t>
  </si>
  <si>
    <t>ZA789</t>
  </si>
  <si>
    <t>Stříkačka injekční 2-dílná 2 ml L Inject Solo 4606027V</t>
  </si>
  <si>
    <t>ZA790</t>
  </si>
  <si>
    <t>Stříkačka injekční 2-dílná 5 ml L Inject Solo4606051V</t>
  </si>
  <si>
    <t>ZA817</t>
  </si>
  <si>
    <t>Zkumavka PS 10 ml sterilní modrá zátka bal. á 20 ks 400914</t>
  </si>
  <si>
    <t>ZB780</t>
  </si>
  <si>
    <t>Kontejner 120 ml sterilní á 50 ks FLME25035</t>
  </si>
  <si>
    <t>ZJ278</t>
  </si>
  <si>
    <t>Zkumavka PP 10 ml sterilní bal. á 200 ks FLME21150</t>
  </si>
  <si>
    <t>ZA816</t>
  </si>
  <si>
    <t>Zkumavka PS 15 ml sterilní 400915</t>
  </si>
  <si>
    <t>ZM042</t>
  </si>
  <si>
    <t>Mikrozkumavka s víčkem 500 ul Qubit Assay Tubes bal. á 500 ks Q32856</t>
  </si>
  <si>
    <t>ZC767</t>
  </si>
  <si>
    <t>Víčko UH žluté ke zkumavka močová bal. á 100 ks FLME25072</t>
  </si>
  <si>
    <t>ZJ763</t>
  </si>
  <si>
    <t>Kapilára avant aray 36 cm 4333464</t>
  </si>
  <si>
    <t>ZF613</t>
  </si>
  <si>
    <t>Kryozkumavka 4,5 ml bal. á 400 ks 89050</t>
  </si>
  <si>
    <t>ZG061</t>
  </si>
  <si>
    <t>Syringe P/N 1 ml 4304471</t>
  </si>
  <si>
    <t>ZC082</t>
  </si>
  <si>
    <t>Zkumavka UH močová bez víčka 12 ml FLME25062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</si>
  <si>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</si>
  <si>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</si>
  <si>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</si>
  <si>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</si>
  <si>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</si>
  <si>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</si>
  <si>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</si>
  <si>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</si>
  <si>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</si>
  <si>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(5320) BPCST02-DC-01B</t>
  </si>
  <si>
    <t>ZL046</t>
  </si>
  <si>
    <t>Microtubes Clear 1.7 ml  bal. á 500 ks BCN1700-BP(7100)</t>
  </si>
  <si>
    <t>ZB605</t>
  </si>
  <si>
    <t>Špička modrá krátká manžeta 1108</t>
  </si>
  <si>
    <t>ZB788</t>
  </si>
  <si>
    <t>Špička s filtrem 20 ul bal. á 96 ks 96.11190.9.01 (staré.k.č. 96.10296.9.01)</t>
  </si>
  <si>
    <t>ZC066</t>
  </si>
  <si>
    <t>Kádinka nízká s výlevkou sklo 100 ml (213-1045) KAVA632417010100</t>
  </si>
  <si>
    <t>ZB125</t>
  </si>
  <si>
    <t>Láhev kultivační 25 cm2 á 360 ks 90026</t>
  </si>
  <si>
    <t>ZC043</t>
  </si>
  <si>
    <t>Kádinka vysoká s výlevkou 400 ml KAVA632417012400_U</t>
  </si>
  <si>
    <t>ZA793</t>
  </si>
  <si>
    <t>Špička s filtrem 200 ul bal. á 96 ks (96.9263.9.01) 96.11193.9.01</t>
  </si>
  <si>
    <t>ZB000</t>
  </si>
  <si>
    <t>Špička s filtrem 1000 ul bal. á 480 ks (96.10298.9.01- končí) 96.11194.9.01</t>
  </si>
  <si>
    <t>ZE908</t>
  </si>
  <si>
    <t>Mikrozkumavka PCR individual Tube Domed Cap 0,2 ml bal. á 1000 ks 4Ti-0790</t>
  </si>
  <si>
    <t>ZC092</t>
  </si>
  <si>
    <t>Sklo krycí 15 x 15 mm 634 990 101 010</t>
  </si>
  <si>
    <t>ZI771</t>
  </si>
  <si>
    <t>Špička Capp ExpellPlus 20ul FT bal. 10 x 96 ks 5030062</t>
  </si>
  <si>
    <t>ZF248</t>
  </si>
  <si>
    <t>Thin wall clear PCR strip tubes 0,2 ml and flat strip caps 12 tubes/ 80 ks 5390</t>
  </si>
  <si>
    <t>ZM043</t>
  </si>
  <si>
    <t>Mikrodestičky ABgene 0,8 ml Storage Plate 1bag of 50 plates 96-jamkové bal. á 50 ks AB-0859</t>
  </si>
  <si>
    <t>ZE897</t>
  </si>
  <si>
    <t>Mikrozkumavka PCR 8 strip bez víček bal. á 125 ks 3426.8S</t>
  </si>
  <si>
    <t>ZK475</t>
  </si>
  <si>
    <t>Rukavice operační latexové s pudrem ansell medigrip plus vel. 7,0 303504EU (303364)</t>
  </si>
  <si>
    <t>ZN125</t>
  </si>
  <si>
    <t>Rukavice operační gammex ansell PF bez pudru 7,5 330048075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</si>
  <si>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</si>
  <si>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</si>
  <si>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</si>
  <si>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</si>
  <si>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</si>
  <si>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</si>
  <si>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</si>
  <si>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</si>
  <si>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</si>
  <si>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</si>
  <si>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</si>
  <si>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</si>
  <si>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</si>
  <si>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</si>
  <si>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</si>
  <si>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</si>
  <si>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DC166</t>
  </si>
  <si>
    <t>ETHANOL 99,5%,  P.A.</t>
  </si>
  <si>
    <t>DG208</t>
  </si>
  <si>
    <t>GIEMSA-ROMANOWSKI</t>
  </si>
  <si>
    <t>DG393</t>
  </si>
  <si>
    <t>Ethanol 96%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</si>
  <si>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</si>
  <si>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</si>
  <si>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</si>
  <si>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</si>
  <si>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</si>
  <si>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</si>
  <si>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</si>
  <si>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</si>
  <si>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DC792</t>
  </si>
  <si>
    <t>QIAamp DNA Mini Kit (250), QIAgen</t>
  </si>
  <si>
    <t>DE371</t>
  </si>
  <si>
    <t>RPMI-1640 medium,w glutamine and sodium bicarbonate 100 ml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</si>
  <si>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</si>
  <si>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</si>
  <si>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</si>
  <si>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</si>
  <si>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</si>
  <si>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</si>
  <si>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DD567</t>
  </si>
  <si>
    <t>Running buffer w/EDTA 10x, 25ml</t>
  </si>
  <si>
    <t>DB186</t>
  </si>
  <si>
    <t>Ion Library Equalizer Kit</t>
  </si>
  <si>
    <t>DG815</t>
  </si>
  <si>
    <t>SALSA MLPA P070 Hu Telomere-5 probemix 50rxn</t>
  </si>
  <si>
    <t>DG896</t>
  </si>
  <si>
    <t>ION 316 chip kit v2, 4 chips</t>
  </si>
  <si>
    <t>DG930</t>
  </si>
  <si>
    <t>SALSA MS-MLPA probemix ME032-UPD7/UPD14 25rxn</t>
  </si>
  <si>
    <t>DG295</t>
  </si>
  <si>
    <t>SALSA MLPA P036 Hu Telomere-3 probemix 50rxn</t>
  </si>
  <si>
    <t>DG939</t>
  </si>
  <si>
    <t>SALSA MLPA EK5 reagent kit- 500 reactions (5x6 vials) - FAM</t>
  </si>
  <si>
    <t>DG635</t>
  </si>
  <si>
    <t>ION AMPLISEQ LIBRARY KIT 2.0</t>
  </si>
  <si>
    <t>DA982</t>
  </si>
  <si>
    <t>Chromosome Synchro P</t>
  </si>
  <si>
    <t>DD452</t>
  </si>
  <si>
    <t>ION PGM HI-Q OT2 KIT</t>
  </si>
  <si>
    <t>DG202</t>
  </si>
  <si>
    <t>CHLORID AMONNY P.A.</t>
  </si>
  <si>
    <t>DG399</t>
  </si>
  <si>
    <t>SALSA MLPA P250 DiGeorge probemix-25R</t>
  </si>
  <si>
    <t>DG607</t>
  </si>
  <si>
    <t>SALSA MLPA P297 Microdel.Syndr.-2 probemix 50rxn</t>
  </si>
  <si>
    <t>DC767</t>
  </si>
  <si>
    <t>POP4</t>
  </si>
  <si>
    <t>DG336</t>
  </si>
  <si>
    <t>MID 1-48 for Illumina MiSeq (240 barcodes)</t>
  </si>
  <si>
    <t>DG533</t>
  </si>
  <si>
    <t>SNaPshot Multiplex Kit 100Reactions</t>
  </si>
  <si>
    <t>DG337</t>
  </si>
  <si>
    <t>MiSeq Reagent nano Kit v2 (500cycles)</t>
  </si>
  <si>
    <t>DG931</t>
  </si>
  <si>
    <t>SALSA MLPA probemix P060-SMA 100rxn</t>
  </si>
  <si>
    <t>DE922</t>
  </si>
  <si>
    <t>SALSA MLPA P077 BRCA2 probemix – 100 rxn, ver.A3</t>
  </si>
  <si>
    <t>DA210</t>
  </si>
  <si>
    <t>FastAB Thermosens. Alk. Phosphatase 1000 u</t>
  </si>
  <si>
    <t>DH412</t>
  </si>
  <si>
    <t>BRCA hereditary Cancer MASTR Plus</t>
  </si>
  <si>
    <t>DG981</t>
  </si>
  <si>
    <t>SureTag DNA labeling kit</t>
  </si>
  <si>
    <t>801335</t>
  </si>
  <si>
    <t>-HCl 0,1 M 1000 ml, 500 ml</t>
  </si>
  <si>
    <t>DA242</t>
  </si>
  <si>
    <t>NA06897 DNA from LCL</t>
  </si>
  <si>
    <t>DA241</t>
  </si>
  <si>
    <t>NA07537 DNA from LCL</t>
  </si>
  <si>
    <t>DA810</t>
  </si>
  <si>
    <t>SALSA MLPA P343 Autism-1 probemix - 25 reactions</t>
  </si>
  <si>
    <t>DF544</t>
  </si>
  <si>
    <t>Sure FISH 1q23.3 PBX1 DF 603kb</t>
  </si>
  <si>
    <t>DH424</t>
  </si>
  <si>
    <t>SALSA MLPA P046-C1 TSC2 -25 r</t>
  </si>
  <si>
    <t>DH430</t>
  </si>
  <si>
    <t>SALSA MLPA P264-B1 Human Telomere-9, 25rxn</t>
  </si>
  <si>
    <t>DH088</t>
  </si>
  <si>
    <t>Devyser CFTR core</t>
  </si>
  <si>
    <t>DA864</t>
  </si>
  <si>
    <t>Ion Xpress™ Barcode Adapters 1-16 Kit</t>
  </si>
  <si>
    <t>DE593</t>
  </si>
  <si>
    <t>ION PGM HI-Q SEQ KIT</t>
  </si>
  <si>
    <t>DG993</t>
  </si>
  <si>
    <t>POP7 polymer</t>
  </si>
  <si>
    <t>DH522</t>
  </si>
  <si>
    <t>POP4 polymer</t>
  </si>
  <si>
    <t>DG585</t>
  </si>
  <si>
    <t>SALSA MLPA P002-C2 BRCA 1 probemix 100R</t>
  </si>
  <si>
    <t>DB418</t>
  </si>
  <si>
    <t>Proteináza K 500 mg</t>
  </si>
  <si>
    <t>DG534</t>
  </si>
  <si>
    <t>Xa Yc dual label  10 tests</t>
  </si>
  <si>
    <t>DH529</t>
  </si>
  <si>
    <t>Painting Probe 10 Green, 5 tests</t>
  </si>
  <si>
    <t>DF412</t>
  </si>
  <si>
    <t>Oligo aCGH Hybridization kit</t>
  </si>
  <si>
    <t>DH503</t>
  </si>
  <si>
    <t>Cot-1 Human DNA</t>
  </si>
  <si>
    <t>DB136</t>
  </si>
  <si>
    <t>Oligo aCGH ChIP-on-Chip Wash Buffer Kit</t>
  </si>
  <si>
    <t>DA624</t>
  </si>
  <si>
    <t>SALSA MLPA P106 MRX probemix 25rxn</t>
  </si>
  <si>
    <t>DG404</t>
  </si>
  <si>
    <t>SALSA MLPA P018-F1 SHOX-50rxn</t>
  </si>
  <si>
    <t>DF718</t>
  </si>
  <si>
    <t>Alagille probe (JAG1)/20qter ctrl 5 testů</t>
  </si>
  <si>
    <t>DA211</t>
  </si>
  <si>
    <t>Exonuclease I (Exo I) 4000 u</t>
  </si>
  <si>
    <t>DG334</t>
  </si>
  <si>
    <t>BRCA MASTR Dx (8rxns)</t>
  </si>
  <si>
    <t>DG335</t>
  </si>
  <si>
    <t>BRCA MASTR Dx (40rxns)</t>
  </si>
  <si>
    <t>DB189</t>
  </si>
  <si>
    <t>Ampli Taq Gold 360 master mix</t>
  </si>
  <si>
    <t>DE825</t>
  </si>
  <si>
    <t>PCR H2O 15 ml</t>
  </si>
  <si>
    <t>DC487</t>
  </si>
  <si>
    <t>KARYOMAX COLCEMID SOLUTION (CE LABEL)</t>
  </si>
  <si>
    <t>DH558</t>
  </si>
  <si>
    <t>Alpha satellite 13/21Red    5testů,Cytocell</t>
  </si>
  <si>
    <t>DH557</t>
  </si>
  <si>
    <t>SureFISH H chr.14.21942434-22218303</t>
  </si>
  <si>
    <t>DE667</t>
  </si>
  <si>
    <t>COLLAGENASE TYPE IA-S</t>
  </si>
  <si>
    <t>DD663</t>
  </si>
  <si>
    <t>kyselina boritá p.a.</t>
  </si>
  <si>
    <t>DD637</t>
  </si>
  <si>
    <t>GENESCAN 500 TAMRA</t>
  </si>
  <si>
    <t>DA181</t>
  </si>
  <si>
    <t>Hank's balanced salt solution (HBSS), 500 ml</t>
  </si>
  <si>
    <t>DG227</t>
  </si>
  <si>
    <t>BENZEN p.a., 1L</t>
  </si>
  <si>
    <t>DA005</t>
  </si>
  <si>
    <t>DNA remover, 4x500ml refill bottle</t>
  </si>
  <si>
    <t>DH502</t>
  </si>
  <si>
    <t>SurePrint G3 CGH ISCA v2 Microarray Kit, 8x60K</t>
  </si>
  <si>
    <t>DH602</t>
  </si>
  <si>
    <t>SALSA MLPA probemix P124-C1 TSC1,50 rxn</t>
  </si>
  <si>
    <t>DG414</t>
  </si>
  <si>
    <t>SALSA MLPA kit P046-C1 TSC2 - 50rx</t>
  </si>
  <si>
    <t>DE997</t>
  </si>
  <si>
    <t>KAPA HyperPlus kit - 96 rxn</t>
  </si>
  <si>
    <t>DE980</t>
  </si>
  <si>
    <t>Kit with KAPA HIFi NGS lib Ampli Primers - 50rxn</t>
  </si>
  <si>
    <t>DG864</t>
  </si>
  <si>
    <t>SALSA MLPA P343 Autism-1 probemix - 50 reactions</t>
  </si>
  <si>
    <t>DF216</t>
  </si>
  <si>
    <t>QIAamp Circulating Nucleic Acid Kit (50)</t>
  </si>
  <si>
    <t>DA623</t>
  </si>
  <si>
    <t>SALSA MLPA P245 Microdel.Syndr.-1 probemix 50rxn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</si>
  <si>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</si>
  <si>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</si>
  <si>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</si>
  <si>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</si>
  <si>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</si>
  <si>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</si>
  <si>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</si>
  <si>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</si>
  <si>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</si>
  <si>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</si>
  <si>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</si>
  <si>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</si>
  <si>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</si>
  <si>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</si>
  <si>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</si>
  <si>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</si>
  <si>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107 - Pracoviště kardiologie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</si>
  <si>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</si>
  <si>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</si>
  <si>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</si>
  <si>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</si>
  <si>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</si>
  <si>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</si>
  <si>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</si>
  <si>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Dhaifalah Ishraq</t>
  </si>
  <si>
    <t>Godava Marek</t>
  </si>
  <si>
    <t>Petřková Jana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</si>
  <si>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</si>
  <si>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</si>
  <si>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</si>
  <si>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</si>
  <si>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</si>
  <si>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</si>
  <si>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</si>
  <si>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</si>
  <si>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1</t>
  </si>
  <si>
    <t>0088354</t>
  </si>
  <si>
    <t>0113403</t>
  </si>
  <si>
    <t>RHOPHYLAC 300 MIKROGRAMŮ/2 ML</t>
  </si>
  <si>
    <t>09117</t>
  </si>
  <si>
    <t>ODBĚR KRVE ZE ŽÍLY U DÍTĚTĚ DO 10 LET</t>
  </si>
  <si>
    <t>09507</t>
  </si>
  <si>
    <t>PSYCHOTERAPIE PODPŮRNÁ PROVÁDĚNÁ LÉKAŘEM NEPSYCHIA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</si>
  <si>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</si>
  <si>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</si>
  <si>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</si>
  <si>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</si>
  <si>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</si>
  <si>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</si>
  <si>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</si>
  <si>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</si>
  <si>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</si>
  <si>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</si>
  <si>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</si>
  <si>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</si>
  <si>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</si>
  <si>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</si>
  <si>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</si>
  <si>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</si>
  <si>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</si>
  <si>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</si>
  <si>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</si>
  <si>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</si>
  <si>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</si>
  <si>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</si>
  <si>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</si>
  <si>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</si>
  <si>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</si>
  <si>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</si>
  <si>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</si>
  <si>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</si>
  <si>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</si>
  <si>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</si>
  <si>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</si>
  <si>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</si>
  <si>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</si>
  <si>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</si>
  <si>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</si>
  <si>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</si>
  <si>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</si>
  <si>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</si>
  <si>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</si>
  <si>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</si>
  <si>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</si>
  <si>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</si>
  <si>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</si>
  <si>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</si>
  <si>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</si>
  <si>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</si>
  <si>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</si>
  <si>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</si>
  <si>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</si>
  <si>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</si>
  <si>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</si>
  <si>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</si>
  <si>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</si>
  <si>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</si>
  <si>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</si>
  <si>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</si>
  <si>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</si>
  <si>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</si>
  <si>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</si>
  <si>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</si>
  <si>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</si>
  <si>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</si>
  <si>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</si>
  <si>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</si>
  <si>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</si>
  <si>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</si>
  <si>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</si>
  <si>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</si>
  <si>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</si>
  <si>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</si>
  <si>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</si>
  <si>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</si>
  <si>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</si>
  <si>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</si>
  <si>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</si>
  <si>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</si>
  <si>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</si>
  <si>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</si>
  <si>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</si>
  <si>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</si>
  <si>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</si>
  <si>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</si>
  <si>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</si>
  <si>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</si>
  <si>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</si>
  <si>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</si>
  <si>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17 - Neurologická klinika</t>
  </si>
  <si>
    <t>20 - Klinika chorob kožních a pohlavních</t>
  </si>
  <si>
    <t>21 - Onkologická klinika</t>
  </si>
  <si>
    <t>26 - Oddělení rehabilitace</t>
  </si>
  <si>
    <t>01</t>
  </si>
  <si>
    <t>03</t>
  </si>
  <si>
    <t>04</t>
  </si>
  <si>
    <t>08</t>
  </si>
  <si>
    <t>09</t>
  </si>
  <si>
    <t>10</t>
  </si>
  <si>
    <t>94211</t>
  </si>
  <si>
    <t>DLOUHODOBÁ KULTIVACE BUNĚK RŮZNÝCH TKÁNÍ Z PRENATÁ</t>
  </si>
  <si>
    <t>17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</si>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</sst>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5.363121572641866</c:v>
                </c:pt>
                <c:pt idx="1">
                  <c:v>5.217788033657941</c:v>
                </c:pt>
                <c:pt idx="2">
                  <c:v>5.4123337502088784</c:v>
                </c:pt>
                <c:pt idx="3">
                  <c:v>5.2204047706428476</c:v>
                </c:pt>
                <c:pt idx="4">
                  <c:v>5.0711514309662746</c:v>
                </c:pt>
                <c:pt idx="5">
                  <c:v>4.9338152973625409</c:v>
                </c:pt>
                <c:pt idx="6">
                  <c:v>4.3833270900899679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677904"/>
        <c:axId val="6476724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2.8356618804937841</c:v>
                </c:pt>
                <c:pt idx="1">
                  <c:v>2.8356618804937841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949440"/>
        <c:axId val="1695951616"/>
      </c:scatterChart>
      <c:catAx>
        <c:axId val="64767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767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672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7677904"/>
        <c:crosses val="autoZero"/>
        <c:crossBetween val="between"/>
      </c:valAx>
      <c:valAx>
        <c:axId val="1695949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95951616"/>
        <c:crosses val="max"/>
        <c:crossBetween val="midCat"/>
      </c:valAx>
      <c:valAx>
        <c:axId val="1695951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959494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256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498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212</v>
      </c>
      <c r="C15" s="47" t="s">
        <v>222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691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692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707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1028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1035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1041</v>
      </c>
      <c r="C27" s="47" t="s">
        <v>225</v>
      </c>
    </row>
    <row r="28" spans="1:3" ht="14.4" customHeight="1" x14ac:dyDescent="0.3">
      <c r="A28" s="147" t="str">
        <f t="shared" si="4"/>
        <v>ZV Vykáz.-A Detail</v>
      </c>
      <c r="B28" s="90" t="s">
        <v>1136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1159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498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190.52</v>
      </c>
      <c r="K3" s="44">
        <f>IF(M3=0,0,J3/M3)</f>
        <v>1</v>
      </c>
      <c r="L3" s="43">
        <f>SUBTOTAL(9,L6:L1048576)</f>
        <v>1</v>
      </c>
      <c r="M3" s="45">
        <f>SUBTOTAL(9,M6:M1048576)</f>
        <v>190.52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443</v>
      </c>
      <c r="B6" s="497" t="s">
        <v>497</v>
      </c>
      <c r="C6" s="497" t="s">
        <v>487</v>
      </c>
      <c r="D6" s="497" t="s">
        <v>488</v>
      </c>
      <c r="E6" s="497" t="s">
        <v>489</v>
      </c>
      <c r="F6" s="485"/>
      <c r="G6" s="485"/>
      <c r="H6" s="302">
        <v>0</v>
      </c>
      <c r="I6" s="485">
        <v>1</v>
      </c>
      <c r="J6" s="485">
        <v>190.52</v>
      </c>
      <c r="K6" s="302">
        <v>1</v>
      </c>
      <c r="L6" s="485">
        <v>1</v>
      </c>
      <c r="M6" s="486">
        <v>190.52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212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256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41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24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214</v>
      </c>
      <c r="C4" s="377"/>
      <c r="D4" s="377"/>
      <c r="E4" s="378"/>
      <c r="F4" s="373" t="s">
        <v>219</v>
      </c>
      <c r="G4" s="374"/>
      <c r="H4" s="374"/>
      <c r="I4" s="375"/>
      <c r="J4" s="376" t="s">
        <v>220</v>
      </c>
      <c r="K4" s="377"/>
      <c r="L4" s="377"/>
      <c r="M4" s="378"/>
      <c r="N4" s="373" t="s">
        <v>221</v>
      </c>
      <c r="O4" s="374"/>
      <c r="P4" s="374"/>
      <c r="Q4" s="375"/>
    </row>
    <row r="5" spans="1:17" ht="14.4" customHeight="1" thickBot="1" x14ac:dyDescent="0.35">
      <c r="A5" s="498" t="s">
        <v>213</v>
      </c>
      <c r="B5" s="499" t="s">
        <v>215</v>
      </c>
      <c r="C5" s="499" t="s">
        <v>216</v>
      </c>
      <c r="D5" s="499" t="s">
        <v>217</v>
      </c>
      <c r="E5" s="500" t="s">
        <v>218</v>
      </c>
      <c r="F5" s="501" t="s">
        <v>215</v>
      </c>
      <c r="G5" s="502" t="s">
        <v>216</v>
      </c>
      <c r="H5" s="502" t="s">
        <v>217</v>
      </c>
      <c r="I5" s="503" t="s">
        <v>218</v>
      </c>
      <c r="J5" s="499" t="s">
        <v>215</v>
      </c>
      <c r="K5" s="499" t="s">
        <v>216</v>
      </c>
      <c r="L5" s="499" t="s">
        <v>217</v>
      </c>
      <c r="M5" s="500" t="s">
        <v>218</v>
      </c>
      <c r="N5" s="501" t="s">
        <v>215</v>
      </c>
      <c r="O5" s="502" t="s">
        <v>216</v>
      </c>
      <c r="P5" s="502" t="s">
        <v>217</v>
      </c>
      <c r="Q5" s="503" t="s">
        <v>218</v>
      </c>
    </row>
    <row r="6" spans="1:17" ht="14.4" customHeight="1" x14ac:dyDescent="0.3">
      <c r="A6" s="508" t="s">
        <v>499</v>
      </c>
      <c r="B6" s="514"/>
      <c r="C6" s="463"/>
      <c r="D6" s="463"/>
      <c r="E6" s="464"/>
      <c r="F6" s="511"/>
      <c r="G6" s="482"/>
      <c r="H6" s="482"/>
      <c r="I6" s="517"/>
      <c r="J6" s="514"/>
      <c r="K6" s="463"/>
      <c r="L6" s="463"/>
      <c r="M6" s="464"/>
      <c r="N6" s="511"/>
      <c r="O6" s="482"/>
      <c r="P6" s="482"/>
      <c r="Q6" s="504"/>
    </row>
    <row r="7" spans="1:17" ht="14.4" customHeight="1" x14ac:dyDescent="0.3">
      <c r="A7" s="509" t="s">
        <v>500</v>
      </c>
      <c r="B7" s="515">
        <v>16</v>
      </c>
      <c r="C7" s="469"/>
      <c r="D7" s="469"/>
      <c r="E7" s="470"/>
      <c r="F7" s="512">
        <v>1</v>
      </c>
      <c r="G7" s="505">
        <v>0</v>
      </c>
      <c r="H7" s="505">
        <v>0</v>
      </c>
      <c r="I7" s="518">
        <v>0</v>
      </c>
      <c r="J7" s="515">
        <v>6</v>
      </c>
      <c r="K7" s="469"/>
      <c r="L7" s="469"/>
      <c r="M7" s="470"/>
      <c r="N7" s="512">
        <v>1</v>
      </c>
      <c r="O7" s="505">
        <v>0</v>
      </c>
      <c r="P7" s="505">
        <v>0</v>
      </c>
      <c r="Q7" s="506">
        <v>0</v>
      </c>
    </row>
    <row r="8" spans="1:17" ht="14.4" customHeight="1" thickBot="1" x14ac:dyDescent="0.35">
      <c r="A8" s="510" t="s">
        <v>501</v>
      </c>
      <c r="B8" s="516">
        <v>25</v>
      </c>
      <c r="C8" s="475"/>
      <c r="D8" s="475"/>
      <c r="E8" s="476"/>
      <c r="F8" s="513">
        <v>1</v>
      </c>
      <c r="G8" s="483">
        <v>0</v>
      </c>
      <c r="H8" s="483">
        <v>0</v>
      </c>
      <c r="I8" s="519">
        <v>0</v>
      </c>
      <c r="J8" s="516">
        <v>18</v>
      </c>
      <c r="K8" s="475"/>
      <c r="L8" s="475"/>
      <c r="M8" s="476"/>
      <c r="N8" s="513">
        <v>1</v>
      </c>
      <c r="O8" s="483">
        <v>0</v>
      </c>
      <c r="P8" s="483">
        <v>0</v>
      </c>
      <c r="Q8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28</v>
      </c>
      <c r="B5" s="448" t="s">
        <v>490</v>
      </c>
      <c r="C5" s="451">
        <v>10183.539999999999</v>
      </c>
      <c r="D5" s="451">
        <v>35</v>
      </c>
      <c r="E5" s="451">
        <v>9219.9499999999989</v>
      </c>
      <c r="F5" s="520">
        <v>0.90537769773575782</v>
      </c>
      <c r="G5" s="451">
        <v>32</v>
      </c>
      <c r="H5" s="520">
        <v>0.91428571428571426</v>
      </c>
      <c r="I5" s="451">
        <v>963.59</v>
      </c>
      <c r="J5" s="520">
        <v>9.4622302264242106E-2</v>
      </c>
      <c r="K5" s="451">
        <v>3</v>
      </c>
      <c r="L5" s="520">
        <v>8.5714285714285715E-2</v>
      </c>
      <c r="M5" s="451" t="s">
        <v>69</v>
      </c>
      <c r="N5" s="151"/>
    </row>
    <row r="6" spans="1:14" ht="14.4" customHeight="1" x14ac:dyDescent="0.3">
      <c r="A6" s="447">
        <v>28</v>
      </c>
      <c r="B6" s="448" t="s">
        <v>502</v>
      </c>
      <c r="C6" s="451">
        <v>10183.539999999999</v>
      </c>
      <c r="D6" s="451">
        <v>35</v>
      </c>
      <c r="E6" s="451">
        <v>9219.9499999999989</v>
      </c>
      <c r="F6" s="520">
        <v>0.90537769773575782</v>
      </c>
      <c r="G6" s="451">
        <v>32</v>
      </c>
      <c r="H6" s="520">
        <v>0.91428571428571426</v>
      </c>
      <c r="I6" s="451">
        <v>963.59</v>
      </c>
      <c r="J6" s="520">
        <v>9.4622302264242106E-2</v>
      </c>
      <c r="K6" s="451">
        <v>3</v>
      </c>
      <c r="L6" s="520">
        <v>8.5714285714285715E-2</v>
      </c>
      <c r="M6" s="451" t="s">
        <v>1</v>
      </c>
      <c r="N6" s="151"/>
    </row>
    <row r="7" spans="1:14" ht="14.4" customHeight="1" x14ac:dyDescent="0.3">
      <c r="A7" s="447" t="s">
        <v>433</v>
      </c>
      <c r="B7" s="448" t="s">
        <v>3</v>
      </c>
      <c r="C7" s="451">
        <v>10183.539999999999</v>
      </c>
      <c r="D7" s="451">
        <v>35</v>
      </c>
      <c r="E7" s="451">
        <v>9219.9499999999989</v>
      </c>
      <c r="F7" s="520">
        <v>0.90537769773575782</v>
      </c>
      <c r="G7" s="451">
        <v>32</v>
      </c>
      <c r="H7" s="520">
        <v>0.91428571428571426</v>
      </c>
      <c r="I7" s="451">
        <v>963.59</v>
      </c>
      <c r="J7" s="520">
        <v>9.4622302264242106E-2</v>
      </c>
      <c r="K7" s="451">
        <v>3</v>
      </c>
      <c r="L7" s="520">
        <v>8.5714285714285715E-2</v>
      </c>
      <c r="M7" s="451" t="s">
        <v>437</v>
      </c>
      <c r="N7" s="151"/>
    </row>
    <row r="9" spans="1:14" ht="14.4" customHeight="1" x14ac:dyDescent="0.3">
      <c r="A9" s="447">
        <v>28</v>
      </c>
      <c r="B9" s="448" t="s">
        <v>490</v>
      </c>
      <c r="C9" s="451" t="s">
        <v>435</v>
      </c>
      <c r="D9" s="451" t="s">
        <v>435</v>
      </c>
      <c r="E9" s="451" t="s">
        <v>435</v>
      </c>
      <c r="F9" s="520" t="s">
        <v>435</v>
      </c>
      <c r="G9" s="451" t="s">
        <v>435</v>
      </c>
      <c r="H9" s="520" t="s">
        <v>435</v>
      </c>
      <c r="I9" s="451" t="s">
        <v>435</v>
      </c>
      <c r="J9" s="520" t="s">
        <v>435</v>
      </c>
      <c r="K9" s="451" t="s">
        <v>435</v>
      </c>
      <c r="L9" s="520" t="s">
        <v>435</v>
      </c>
      <c r="M9" s="451" t="s">
        <v>69</v>
      </c>
      <c r="N9" s="151"/>
    </row>
    <row r="10" spans="1:14" ht="14.4" customHeight="1" x14ac:dyDescent="0.3">
      <c r="A10" s="447" t="s">
        <v>503</v>
      </c>
      <c r="B10" s="448" t="s">
        <v>502</v>
      </c>
      <c r="C10" s="451">
        <v>10183.539999999999</v>
      </c>
      <c r="D10" s="451">
        <v>35</v>
      </c>
      <c r="E10" s="451">
        <v>9219.9499999999989</v>
      </c>
      <c r="F10" s="520">
        <v>0.90537769773575782</v>
      </c>
      <c r="G10" s="451">
        <v>32</v>
      </c>
      <c r="H10" s="520">
        <v>0.91428571428571426</v>
      </c>
      <c r="I10" s="451">
        <v>963.59</v>
      </c>
      <c r="J10" s="520">
        <v>9.4622302264242106E-2</v>
      </c>
      <c r="K10" s="451">
        <v>3</v>
      </c>
      <c r="L10" s="520">
        <v>8.5714285714285715E-2</v>
      </c>
      <c r="M10" s="451" t="s">
        <v>1</v>
      </c>
      <c r="N10" s="151"/>
    </row>
    <row r="11" spans="1:14" ht="14.4" customHeight="1" x14ac:dyDescent="0.3">
      <c r="A11" s="447" t="s">
        <v>503</v>
      </c>
      <c r="B11" s="448" t="s">
        <v>504</v>
      </c>
      <c r="C11" s="451">
        <v>10183.539999999999</v>
      </c>
      <c r="D11" s="451">
        <v>35</v>
      </c>
      <c r="E11" s="451">
        <v>9219.9499999999989</v>
      </c>
      <c r="F11" s="520">
        <v>0.90537769773575782</v>
      </c>
      <c r="G11" s="451">
        <v>32</v>
      </c>
      <c r="H11" s="520">
        <v>0.91428571428571426</v>
      </c>
      <c r="I11" s="451">
        <v>963.59</v>
      </c>
      <c r="J11" s="520">
        <v>9.4622302264242106E-2</v>
      </c>
      <c r="K11" s="451">
        <v>3</v>
      </c>
      <c r="L11" s="520">
        <v>8.5714285714285715E-2</v>
      </c>
      <c r="M11" s="451" t="s">
        <v>441</v>
      </c>
      <c r="N11" s="151"/>
    </row>
    <row r="12" spans="1:14" ht="14.4" customHeight="1" x14ac:dyDescent="0.3">
      <c r="A12" s="447" t="s">
        <v>435</v>
      </c>
      <c r="B12" s="448" t="s">
        <v>435</v>
      </c>
      <c r="C12" s="451" t="s">
        <v>435</v>
      </c>
      <c r="D12" s="451" t="s">
        <v>435</v>
      </c>
      <c r="E12" s="451" t="s">
        <v>435</v>
      </c>
      <c r="F12" s="520" t="s">
        <v>435</v>
      </c>
      <c r="G12" s="451" t="s">
        <v>435</v>
      </c>
      <c r="H12" s="520" t="s">
        <v>435</v>
      </c>
      <c r="I12" s="451" t="s">
        <v>435</v>
      </c>
      <c r="J12" s="520" t="s">
        <v>435</v>
      </c>
      <c r="K12" s="451" t="s">
        <v>435</v>
      </c>
      <c r="L12" s="520" t="s">
        <v>435</v>
      </c>
      <c r="M12" s="451" t="s">
        <v>442</v>
      </c>
      <c r="N12" s="151"/>
    </row>
    <row r="13" spans="1:14" ht="14.4" customHeight="1" x14ac:dyDescent="0.3">
      <c r="A13" s="447" t="s">
        <v>433</v>
      </c>
      <c r="B13" s="448" t="s">
        <v>505</v>
      </c>
      <c r="C13" s="451">
        <v>10183.539999999999</v>
      </c>
      <c r="D13" s="451">
        <v>35</v>
      </c>
      <c r="E13" s="451">
        <v>9219.9499999999989</v>
      </c>
      <c r="F13" s="520">
        <v>0.90537769773575782</v>
      </c>
      <c r="G13" s="451">
        <v>32</v>
      </c>
      <c r="H13" s="520">
        <v>0.91428571428571426</v>
      </c>
      <c r="I13" s="451">
        <v>963.59</v>
      </c>
      <c r="J13" s="520">
        <v>9.4622302264242106E-2</v>
      </c>
      <c r="K13" s="451">
        <v>3</v>
      </c>
      <c r="L13" s="520">
        <v>8.5714285714285715E-2</v>
      </c>
      <c r="M13" s="451" t="s">
        <v>437</v>
      </c>
      <c r="N13" s="151"/>
    </row>
    <row r="14" spans="1:14" ht="14.4" customHeight="1" x14ac:dyDescent="0.3">
      <c r="A14" s="521" t="s">
        <v>506</v>
      </c>
    </row>
    <row r="15" spans="1:14" ht="14.4" customHeight="1" x14ac:dyDescent="0.3">
      <c r="A15" s="522" t="s">
        <v>507</v>
      </c>
    </row>
    <row r="16" spans="1:14" ht="14.4" customHeight="1" x14ac:dyDescent="0.3">
      <c r="A16" s="521" t="s">
        <v>508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6"/>
      <c r="D4" s="499" t="s">
        <v>20</v>
      </c>
      <c r="E4" s="526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23" t="s">
        <v>509</v>
      </c>
      <c r="B5" s="514">
        <v>44.88</v>
      </c>
      <c r="C5" s="460">
        <v>1</v>
      </c>
      <c r="D5" s="527">
        <v>1</v>
      </c>
      <c r="E5" s="496" t="s">
        <v>509</v>
      </c>
      <c r="F5" s="514">
        <v>44.88</v>
      </c>
      <c r="G5" s="482">
        <v>1</v>
      </c>
      <c r="H5" s="463">
        <v>1</v>
      </c>
      <c r="I5" s="504">
        <v>1</v>
      </c>
      <c r="J5" s="532"/>
      <c r="K5" s="482">
        <v>0</v>
      </c>
      <c r="L5" s="463"/>
      <c r="M5" s="504">
        <v>0</v>
      </c>
    </row>
    <row r="6" spans="1:13" ht="14.4" customHeight="1" x14ac:dyDescent="0.3">
      <c r="A6" s="524" t="s">
        <v>510</v>
      </c>
      <c r="B6" s="515">
        <v>925.83999999999992</v>
      </c>
      <c r="C6" s="466">
        <v>1</v>
      </c>
      <c r="D6" s="528">
        <v>2</v>
      </c>
      <c r="E6" s="530" t="s">
        <v>510</v>
      </c>
      <c r="F6" s="515">
        <v>89.91</v>
      </c>
      <c r="G6" s="505">
        <v>9.7111811976151388E-2</v>
      </c>
      <c r="H6" s="469">
        <v>1</v>
      </c>
      <c r="I6" s="506">
        <v>0.5</v>
      </c>
      <c r="J6" s="533">
        <v>835.93</v>
      </c>
      <c r="K6" s="505">
        <v>0.90288818802384863</v>
      </c>
      <c r="L6" s="469">
        <v>1</v>
      </c>
      <c r="M6" s="506">
        <v>0.5</v>
      </c>
    </row>
    <row r="7" spans="1:13" ht="14.4" customHeight="1" x14ac:dyDescent="0.3">
      <c r="A7" s="524" t="s">
        <v>511</v>
      </c>
      <c r="B7" s="515">
        <v>862.31999999999994</v>
      </c>
      <c r="C7" s="466">
        <v>1</v>
      </c>
      <c r="D7" s="528">
        <v>4</v>
      </c>
      <c r="E7" s="530" t="s">
        <v>511</v>
      </c>
      <c r="F7" s="515">
        <v>862.31999999999994</v>
      </c>
      <c r="G7" s="505">
        <v>1</v>
      </c>
      <c r="H7" s="469">
        <v>4</v>
      </c>
      <c r="I7" s="506">
        <v>1</v>
      </c>
      <c r="J7" s="533"/>
      <c r="K7" s="505">
        <v>0</v>
      </c>
      <c r="L7" s="469"/>
      <c r="M7" s="506">
        <v>0</v>
      </c>
    </row>
    <row r="8" spans="1:13" ht="14.4" customHeight="1" x14ac:dyDescent="0.3">
      <c r="A8" s="524" t="s">
        <v>512</v>
      </c>
      <c r="B8" s="515">
        <v>2666.1299999999997</v>
      </c>
      <c r="C8" s="466">
        <v>1</v>
      </c>
      <c r="D8" s="528">
        <v>4</v>
      </c>
      <c r="E8" s="530" t="s">
        <v>512</v>
      </c>
      <c r="F8" s="515">
        <v>2666.1299999999997</v>
      </c>
      <c r="G8" s="505">
        <v>1</v>
      </c>
      <c r="H8" s="469">
        <v>4</v>
      </c>
      <c r="I8" s="506">
        <v>1</v>
      </c>
      <c r="J8" s="533"/>
      <c r="K8" s="505">
        <v>0</v>
      </c>
      <c r="L8" s="469"/>
      <c r="M8" s="506">
        <v>0</v>
      </c>
    </row>
    <row r="9" spans="1:13" ht="14.4" customHeight="1" x14ac:dyDescent="0.3">
      <c r="A9" s="524" t="s">
        <v>513</v>
      </c>
      <c r="B9" s="515">
        <v>92.12</v>
      </c>
      <c r="C9" s="466">
        <v>1</v>
      </c>
      <c r="D9" s="528">
        <v>1</v>
      </c>
      <c r="E9" s="530" t="s">
        <v>513</v>
      </c>
      <c r="F9" s="515">
        <v>92.12</v>
      </c>
      <c r="G9" s="505">
        <v>1</v>
      </c>
      <c r="H9" s="469">
        <v>1</v>
      </c>
      <c r="I9" s="506">
        <v>1</v>
      </c>
      <c r="J9" s="533"/>
      <c r="K9" s="505">
        <v>0</v>
      </c>
      <c r="L9" s="469"/>
      <c r="M9" s="506">
        <v>0</v>
      </c>
    </row>
    <row r="10" spans="1:13" ht="14.4" customHeight="1" x14ac:dyDescent="0.3">
      <c r="A10" s="524" t="s">
        <v>514</v>
      </c>
      <c r="B10" s="515">
        <v>4156.369999999999</v>
      </c>
      <c r="C10" s="466">
        <v>1</v>
      </c>
      <c r="D10" s="528">
        <v>14</v>
      </c>
      <c r="E10" s="530" t="s">
        <v>514</v>
      </c>
      <c r="F10" s="515">
        <v>4156.369999999999</v>
      </c>
      <c r="G10" s="505">
        <v>1</v>
      </c>
      <c r="H10" s="469">
        <v>14</v>
      </c>
      <c r="I10" s="506">
        <v>1</v>
      </c>
      <c r="J10" s="533"/>
      <c r="K10" s="505">
        <v>0</v>
      </c>
      <c r="L10" s="469"/>
      <c r="M10" s="506">
        <v>0</v>
      </c>
    </row>
    <row r="11" spans="1:13" ht="14.4" customHeight="1" x14ac:dyDescent="0.3">
      <c r="A11" s="524" t="s">
        <v>515</v>
      </c>
      <c r="B11" s="515">
        <v>585.29999999999995</v>
      </c>
      <c r="C11" s="466">
        <v>1</v>
      </c>
      <c r="D11" s="528">
        <v>8</v>
      </c>
      <c r="E11" s="530" t="s">
        <v>515</v>
      </c>
      <c r="F11" s="515">
        <v>457.64</v>
      </c>
      <c r="G11" s="505">
        <v>0.78188962924995731</v>
      </c>
      <c r="H11" s="469">
        <v>6</v>
      </c>
      <c r="I11" s="506">
        <v>0.75</v>
      </c>
      <c r="J11" s="533">
        <v>127.66</v>
      </c>
      <c r="K11" s="505">
        <v>0.21811037075004272</v>
      </c>
      <c r="L11" s="469">
        <v>2</v>
      </c>
      <c r="M11" s="506">
        <v>0.25</v>
      </c>
    </row>
    <row r="12" spans="1:13" ht="14.4" customHeight="1" thickBot="1" x14ac:dyDescent="0.35">
      <c r="A12" s="525" t="s">
        <v>516</v>
      </c>
      <c r="B12" s="516">
        <v>850.58</v>
      </c>
      <c r="C12" s="472">
        <v>1</v>
      </c>
      <c r="D12" s="529">
        <v>1</v>
      </c>
      <c r="E12" s="531" t="s">
        <v>516</v>
      </c>
      <c r="F12" s="516">
        <v>850.58</v>
      </c>
      <c r="G12" s="483">
        <v>1</v>
      </c>
      <c r="H12" s="475">
        <v>1</v>
      </c>
      <c r="I12" s="507">
        <v>1</v>
      </c>
      <c r="J12" s="534"/>
      <c r="K12" s="483">
        <v>0</v>
      </c>
      <c r="L12" s="475"/>
      <c r="M12" s="5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691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10183.540000000001</v>
      </c>
      <c r="N3" s="66">
        <f>SUBTOTAL(9,N7:N1048576)</f>
        <v>83</v>
      </c>
      <c r="O3" s="66">
        <f>SUBTOTAL(9,O7:O1048576)</f>
        <v>35</v>
      </c>
      <c r="P3" s="66">
        <f>SUBTOTAL(9,P7:P1048576)</f>
        <v>9219.9499999999989</v>
      </c>
      <c r="Q3" s="67">
        <f>IF(M3=0,0,P3/M3)</f>
        <v>0.90537769773575771</v>
      </c>
      <c r="R3" s="66">
        <f>SUBTOTAL(9,R7:R1048576)</f>
        <v>78</v>
      </c>
      <c r="S3" s="67">
        <f>IF(N3=0,0,R3/N3)</f>
        <v>0.93975903614457834</v>
      </c>
      <c r="T3" s="66">
        <f>SUBTOTAL(9,T7:T1048576)</f>
        <v>32</v>
      </c>
      <c r="U3" s="68">
        <f>IF(O3=0,0,T3/O3)</f>
        <v>0.91428571428571426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28</v>
      </c>
      <c r="B7" s="541" t="s">
        <v>490</v>
      </c>
      <c r="C7" s="541" t="s">
        <v>503</v>
      </c>
      <c r="D7" s="542" t="s">
        <v>689</v>
      </c>
      <c r="E7" s="543" t="s">
        <v>511</v>
      </c>
      <c r="F7" s="541" t="s">
        <v>502</v>
      </c>
      <c r="G7" s="541" t="s">
        <v>517</v>
      </c>
      <c r="H7" s="541" t="s">
        <v>435</v>
      </c>
      <c r="I7" s="541" t="s">
        <v>518</v>
      </c>
      <c r="J7" s="541" t="s">
        <v>519</v>
      </c>
      <c r="K7" s="541" t="s">
        <v>520</v>
      </c>
      <c r="L7" s="544">
        <v>207.27</v>
      </c>
      <c r="M7" s="544">
        <v>414.54</v>
      </c>
      <c r="N7" s="541">
        <v>2</v>
      </c>
      <c r="O7" s="545">
        <v>0.5</v>
      </c>
      <c r="P7" s="544">
        <v>414.54</v>
      </c>
      <c r="Q7" s="546">
        <v>1</v>
      </c>
      <c r="R7" s="541">
        <v>2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28</v>
      </c>
      <c r="B8" s="548" t="s">
        <v>490</v>
      </c>
      <c r="C8" s="548" t="s">
        <v>503</v>
      </c>
      <c r="D8" s="549" t="s">
        <v>689</v>
      </c>
      <c r="E8" s="550" t="s">
        <v>511</v>
      </c>
      <c r="F8" s="548" t="s">
        <v>502</v>
      </c>
      <c r="G8" s="548" t="s">
        <v>521</v>
      </c>
      <c r="H8" s="548" t="s">
        <v>435</v>
      </c>
      <c r="I8" s="548" t="s">
        <v>522</v>
      </c>
      <c r="J8" s="548" t="s">
        <v>523</v>
      </c>
      <c r="K8" s="548" t="s">
        <v>524</v>
      </c>
      <c r="L8" s="551">
        <v>0</v>
      </c>
      <c r="M8" s="551">
        <v>0</v>
      </c>
      <c r="N8" s="548">
        <v>1</v>
      </c>
      <c r="O8" s="552">
        <v>0.5</v>
      </c>
      <c r="P8" s="551">
        <v>0</v>
      </c>
      <c r="Q8" s="553"/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28</v>
      </c>
      <c r="B9" s="548" t="s">
        <v>490</v>
      </c>
      <c r="C9" s="548" t="s">
        <v>503</v>
      </c>
      <c r="D9" s="549" t="s">
        <v>689</v>
      </c>
      <c r="E9" s="550" t="s">
        <v>511</v>
      </c>
      <c r="F9" s="548" t="s">
        <v>502</v>
      </c>
      <c r="G9" s="548" t="s">
        <v>525</v>
      </c>
      <c r="H9" s="548" t="s">
        <v>690</v>
      </c>
      <c r="I9" s="548" t="s">
        <v>526</v>
      </c>
      <c r="J9" s="548" t="s">
        <v>527</v>
      </c>
      <c r="K9" s="548" t="s">
        <v>528</v>
      </c>
      <c r="L9" s="551">
        <v>207.45</v>
      </c>
      <c r="M9" s="551">
        <v>207.45</v>
      </c>
      <c r="N9" s="548">
        <v>1</v>
      </c>
      <c r="O9" s="552">
        <v>0.5</v>
      </c>
      <c r="P9" s="551">
        <v>207.45</v>
      </c>
      <c r="Q9" s="553">
        <v>1</v>
      </c>
      <c r="R9" s="548">
        <v>1</v>
      </c>
      <c r="S9" s="553">
        <v>1</v>
      </c>
      <c r="T9" s="552">
        <v>0.5</v>
      </c>
      <c r="U9" s="554">
        <v>1</v>
      </c>
    </row>
    <row r="10" spans="1:21" ht="14.4" customHeight="1" x14ac:dyDescent="0.3">
      <c r="A10" s="547">
        <v>28</v>
      </c>
      <c r="B10" s="548" t="s">
        <v>490</v>
      </c>
      <c r="C10" s="548" t="s">
        <v>503</v>
      </c>
      <c r="D10" s="549" t="s">
        <v>689</v>
      </c>
      <c r="E10" s="550" t="s">
        <v>511</v>
      </c>
      <c r="F10" s="548" t="s">
        <v>502</v>
      </c>
      <c r="G10" s="548" t="s">
        <v>529</v>
      </c>
      <c r="H10" s="548" t="s">
        <v>435</v>
      </c>
      <c r="I10" s="548" t="s">
        <v>453</v>
      </c>
      <c r="J10" s="548" t="s">
        <v>530</v>
      </c>
      <c r="K10" s="548" t="s">
        <v>531</v>
      </c>
      <c r="L10" s="551">
        <v>37.61</v>
      </c>
      <c r="M10" s="551">
        <v>112.83</v>
      </c>
      <c r="N10" s="548">
        <v>3</v>
      </c>
      <c r="O10" s="552">
        <v>0.5</v>
      </c>
      <c r="P10" s="551">
        <v>112.83</v>
      </c>
      <c r="Q10" s="553">
        <v>1</v>
      </c>
      <c r="R10" s="548">
        <v>3</v>
      </c>
      <c r="S10" s="553">
        <v>1</v>
      </c>
      <c r="T10" s="552">
        <v>0.5</v>
      </c>
      <c r="U10" s="554">
        <v>1</v>
      </c>
    </row>
    <row r="11" spans="1:21" ht="14.4" customHeight="1" x14ac:dyDescent="0.3">
      <c r="A11" s="547">
        <v>28</v>
      </c>
      <c r="B11" s="548" t="s">
        <v>490</v>
      </c>
      <c r="C11" s="548" t="s">
        <v>503</v>
      </c>
      <c r="D11" s="549" t="s">
        <v>689</v>
      </c>
      <c r="E11" s="550" t="s">
        <v>511</v>
      </c>
      <c r="F11" s="548" t="s">
        <v>502</v>
      </c>
      <c r="G11" s="548" t="s">
        <v>532</v>
      </c>
      <c r="H11" s="548" t="s">
        <v>435</v>
      </c>
      <c r="I11" s="548" t="s">
        <v>533</v>
      </c>
      <c r="J11" s="548" t="s">
        <v>534</v>
      </c>
      <c r="K11" s="548" t="s">
        <v>535</v>
      </c>
      <c r="L11" s="551">
        <v>0</v>
      </c>
      <c r="M11" s="551">
        <v>0</v>
      </c>
      <c r="N11" s="548">
        <v>1</v>
      </c>
      <c r="O11" s="552">
        <v>0.5</v>
      </c>
      <c r="P11" s="551">
        <v>0</v>
      </c>
      <c r="Q11" s="553"/>
      <c r="R11" s="548">
        <v>1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28</v>
      </c>
      <c r="B12" s="548" t="s">
        <v>490</v>
      </c>
      <c r="C12" s="548" t="s">
        <v>503</v>
      </c>
      <c r="D12" s="549" t="s">
        <v>689</v>
      </c>
      <c r="E12" s="550" t="s">
        <v>511</v>
      </c>
      <c r="F12" s="548" t="s">
        <v>502</v>
      </c>
      <c r="G12" s="548" t="s">
        <v>536</v>
      </c>
      <c r="H12" s="548" t="s">
        <v>690</v>
      </c>
      <c r="I12" s="548" t="s">
        <v>537</v>
      </c>
      <c r="J12" s="548" t="s">
        <v>538</v>
      </c>
      <c r="K12" s="548" t="s">
        <v>539</v>
      </c>
      <c r="L12" s="551">
        <v>63.75</v>
      </c>
      <c r="M12" s="551">
        <v>127.5</v>
      </c>
      <c r="N12" s="548">
        <v>2</v>
      </c>
      <c r="O12" s="552">
        <v>0.5</v>
      </c>
      <c r="P12" s="551">
        <v>127.5</v>
      </c>
      <c r="Q12" s="553">
        <v>1</v>
      </c>
      <c r="R12" s="548">
        <v>2</v>
      </c>
      <c r="S12" s="553">
        <v>1</v>
      </c>
      <c r="T12" s="552">
        <v>0.5</v>
      </c>
      <c r="U12" s="554">
        <v>1</v>
      </c>
    </row>
    <row r="13" spans="1:21" ht="14.4" customHeight="1" x14ac:dyDescent="0.3">
      <c r="A13" s="547">
        <v>28</v>
      </c>
      <c r="B13" s="548" t="s">
        <v>490</v>
      </c>
      <c r="C13" s="548" t="s">
        <v>503</v>
      </c>
      <c r="D13" s="549" t="s">
        <v>689</v>
      </c>
      <c r="E13" s="550" t="s">
        <v>511</v>
      </c>
      <c r="F13" s="548" t="s">
        <v>502</v>
      </c>
      <c r="G13" s="548" t="s">
        <v>540</v>
      </c>
      <c r="H13" s="548" t="s">
        <v>435</v>
      </c>
      <c r="I13" s="548" t="s">
        <v>541</v>
      </c>
      <c r="J13" s="548" t="s">
        <v>542</v>
      </c>
      <c r="K13" s="548" t="s">
        <v>543</v>
      </c>
      <c r="L13" s="551">
        <v>0</v>
      </c>
      <c r="M13" s="551">
        <v>0</v>
      </c>
      <c r="N13" s="548">
        <v>2</v>
      </c>
      <c r="O13" s="552">
        <v>0.5</v>
      </c>
      <c r="P13" s="551">
        <v>0</v>
      </c>
      <c r="Q13" s="553"/>
      <c r="R13" s="548">
        <v>2</v>
      </c>
      <c r="S13" s="553">
        <v>1</v>
      </c>
      <c r="T13" s="552">
        <v>0.5</v>
      </c>
      <c r="U13" s="554">
        <v>1</v>
      </c>
    </row>
    <row r="14" spans="1:21" ht="14.4" customHeight="1" x14ac:dyDescent="0.3">
      <c r="A14" s="547">
        <v>28</v>
      </c>
      <c r="B14" s="548" t="s">
        <v>490</v>
      </c>
      <c r="C14" s="548" t="s">
        <v>503</v>
      </c>
      <c r="D14" s="549" t="s">
        <v>689</v>
      </c>
      <c r="E14" s="550" t="s">
        <v>511</v>
      </c>
      <c r="F14" s="548" t="s">
        <v>502</v>
      </c>
      <c r="G14" s="548" t="s">
        <v>544</v>
      </c>
      <c r="H14" s="548" t="s">
        <v>435</v>
      </c>
      <c r="I14" s="548" t="s">
        <v>545</v>
      </c>
      <c r="J14" s="548" t="s">
        <v>546</v>
      </c>
      <c r="K14" s="548" t="s">
        <v>547</v>
      </c>
      <c r="L14" s="551">
        <v>0</v>
      </c>
      <c r="M14" s="551">
        <v>0</v>
      </c>
      <c r="N14" s="548">
        <v>1</v>
      </c>
      <c r="O14" s="552">
        <v>0.5</v>
      </c>
      <c r="P14" s="551">
        <v>0</v>
      </c>
      <c r="Q14" s="553"/>
      <c r="R14" s="548">
        <v>1</v>
      </c>
      <c r="S14" s="553">
        <v>1</v>
      </c>
      <c r="T14" s="552">
        <v>0.5</v>
      </c>
      <c r="U14" s="554">
        <v>1</v>
      </c>
    </row>
    <row r="15" spans="1:21" ht="14.4" customHeight="1" x14ac:dyDescent="0.3">
      <c r="A15" s="547">
        <v>28</v>
      </c>
      <c r="B15" s="548" t="s">
        <v>490</v>
      </c>
      <c r="C15" s="548" t="s">
        <v>503</v>
      </c>
      <c r="D15" s="549" t="s">
        <v>689</v>
      </c>
      <c r="E15" s="550" t="s">
        <v>512</v>
      </c>
      <c r="F15" s="548" t="s">
        <v>502</v>
      </c>
      <c r="G15" s="548" t="s">
        <v>548</v>
      </c>
      <c r="H15" s="548" t="s">
        <v>435</v>
      </c>
      <c r="I15" s="548" t="s">
        <v>549</v>
      </c>
      <c r="J15" s="548" t="s">
        <v>550</v>
      </c>
      <c r="K15" s="548" t="s">
        <v>551</v>
      </c>
      <c r="L15" s="551">
        <v>42.05</v>
      </c>
      <c r="M15" s="551">
        <v>84.1</v>
      </c>
      <c r="N15" s="548">
        <v>2</v>
      </c>
      <c r="O15" s="552">
        <v>0.5</v>
      </c>
      <c r="P15" s="551">
        <v>84.1</v>
      </c>
      <c r="Q15" s="553">
        <v>1</v>
      </c>
      <c r="R15" s="548">
        <v>2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28</v>
      </c>
      <c r="B16" s="548" t="s">
        <v>490</v>
      </c>
      <c r="C16" s="548" t="s">
        <v>503</v>
      </c>
      <c r="D16" s="549" t="s">
        <v>689</v>
      </c>
      <c r="E16" s="550" t="s">
        <v>512</v>
      </c>
      <c r="F16" s="548" t="s">
        <v>502</v>
      </c>
      <c r="G16" s="548" t="s">
        <v>548</v>
      </c>
      <c r="H16" s="548" t="s">
        <v>435</v>
      </c>
      <c r="I16" s="548" t="s">
        <v>552</v>
      </c>
      <c r="J16" s="548" t="s">
        <v>550</v>
      </c>
      <c r="K16" s="548" t="s">
        <v>553</v>
      </c>
      <c r="L16" s="551">
        <v>42.05</v>
      </c>
      <c r="M16" s="551">
        <v>42.05</v>
      </c>
      <c r="N16" s="548">
        <v>1</v>
      </c>
      <c r="O16" s="552">
        <v>0.5</v>
      </c>
      <c r="P16" s="551">
        <v>42.05</v>
      </c>
      <c r="Q16" s="553">
        <v>1</v>
      </c>
      <c r="R16" s="548">
        <v>1</v>
      </c>
      <c r="S16" s="553">
        <v>1</v>
      </c>
      <c r="T16" s="552">
        <v>0.5</v>
      </c>
      <c r="U16" s="554">
        <v>1</v>
      </c>
    </row>
    <row r="17" spans="1:21" ht="14.4" customHeight="1" x14ac:dyDescent="0.3">
      <c r="A17" s="547">
        <v>28</v>
      </c>
      <c r="B17" s="548" t="s">
        <v>490</v>
      </c>
      <c r="C17" s="548" t="s">
        <v>503</v>
      </c>
      <c r="D17" s="549" t="s">
        <v>689</v>
      </c>
      <c r="E17" s="550" t="s">
        <v>512</v>
      </c>
      <c r="F17" s="548" t="s">
        <v>502</v>
      </c>
      <c r="G17" s="548" t="s">
        <v>554</v>
      </c>
      <c r="H17" s="548" t="s">
        <v>690</v>
      </c>
      <c r="I17" s="548" t="s">
        <v>555</v>
      </c>
      <c r="J17" s="548" t="s">
        <v>556</v>
      </c>
      <c r="K17" s="548" t="s">
        <v>557</v>
      </c>
      <c r="L17" s="551">
        <v>173.14</v>
      </c>
      <c r="M17" s="551">
        <v>346.28</v>
      </c>
      <c r="N17" s="548">
        <v>2</v>
      </c>
      <c r="O17" s="552">
        <v>0.5</v>
      </c>
      <c r="P17" s="551">
        <v>346.28</v>
      </c>
      <c r="Q17" s="553">
        <v>1</v>
      </c>
      <c r="R17" s="548">
        <v>2</v>
      </c>
      <c r="S17" s="553">
        <v>1</v>
      </c>
      <c r="T17" s="552">
        <v>0.5</v>
      </c>
      <c r="U17" s="554">
        <v>1</v>
      </c>
    </row>
    <row r="18" spans="1:21" ht="14.4" customHeight="1" x14ac:dyDescent="0.3">
      <c r="A18" s="547">
        <v>28</v>
      </c>
      <c r="B18" s="548" t="s">
        <v>490</v>
      </c>
      <c r="C18" s="548" t="s">
        <v>503</v>
      </c>
      <c r="D18" s="549" t="s">
        <v>689</v>
      </c>
      <c r="E18" s="550" t="s">
        <v>512</v>
      </c>
      <c r="F18" s="548" t="s">
        <v>502</v>
      </c>
      <c r="G18" s="548" t="s">
        <v>558</v>
      </c>
      <c r="H18" s="548" t="s">
        <v>435</v>
      </c>
      <c r="I18" s="548" t="s">
        <v>559</v>
      </c>
      <c r="J18" s="548" t="s">
        <v>560</v>
      </c>
      <c r="K18" s="548" t="s">
        <v>561</v>
      </c>
      <c r="L18" s="551">
        <v>0</v>
      </c>
      <c r="M18" s="551">
        <v>0</v>
      </c>
      <c r="N18" s="548">
        <v>1</v>
      </c>
      <c r="O18" s="552">
        <v>1</v>
      </c>
      <c r="P18" s="551">
        <v>0</v>
      </c>
      <c r="Q18" s="553"/>
      <c r="R18" s="548">
        <v>1</v>
      </c>
      <c r="S18" s="553">
        <v>1</v>
      </c>
      <c r="T18" s="552">
        <v>1</v>
      </c>
      <c r="U18" s="554">
        <v>1</v>
      </c>
    </row>
    <row r="19" spans="1:21" ht="14.4" customHeight="1" x14ac:dyDescent="0.3">
      <c r="A19" s="547">
        <v>28</v>
      </c>
      <c r="B19" s="548" t="s">
        <v>490</v>
      </c>
      <c r="C19" s="548" t="s">
        <v>503</v>
      </c>
      <c r="D19" s="549" t="s">
        <v>689</v>
      </c>
      <c r="E19" s="550" t="s">
        <v>512</v>
      </c>
      <c r="F19" s="548" t="s">
        <v>502</v>
      </c>
      <c r="G19" s="548" t="s">
        <v>562</v>
      </c>
      <c r="H19" s="548" t="s">
        <v>435</v>
      </c>
      <c r="I19" s="548" t="s">
        <v>563</v>
      </c>
      <c r="J19" s="548" t="s">
        <v>564</v>
      </c>
      <c r="K19" s="548" t="s">
        <v>565</v>
      </c>
      <c r="L19" s="551">
        <v>0</v>
      </c>
      <c r="M19" s="551">
        <v>0</v>
      </c>
      <c r="N19" s="548">
        <v>1</v>
      </c>
      <c r="O19" s="552">
        <v>0.5</v>
      </c>
      <c r="P19" s="551">
        <v>0</v>
      </c>
      <c r="Q19" s="553"/>
      <c r="R19" s="548">
        <v>1</v>
      </c>
      <c r="S19" s="553">
        <v>1</v>
      </c>
      <c r="T19" s="552">
        <v>0.5</v>
      </c>
      <c r="U19" s="554">
        <v>1</v>
      </c>
    </row>
    <row r="20" spans="1:21" ht="14.4" customHeight="1" x14ac:dyDescent="0.3">
      <c r="A20" s="547">
        <v>28</v>
      </c>
      <c r="B20" s="548" t="s">
        <v>490</v>
      </c>
      <c r="C20" s="548" t="s">
        <v>503</v>
      </c>
      <c r="D20" s="549" t="s">
        <v>689</v>
      </c>
      <c r="E20" s="550" t="s">
        <v>512</v>
      </c>
      <c r="F20" s="548" t="s">
        <v>502</v>
      </c>
      <c r="G20" s="548" t="s">
        <v>566</v>
      </c>
      <c r="H20" s="548" t="s">
        <v>435</v>
      </c>
      <c r="I20" s="548" t="s">
        <v>567</v>
      </c>
      <c r="J20" s="548" t="s">
        <v>568</v>
      </c>
      <c r="K20" s="548" t="s">
        <v>569</v>
      </c>
      <c r="L20" s="551">
        <v>1096.8499999999999</v>
      </c>
      <c r="M20" s="551">
        <v>2193.6999999999998</v>
      </c>
      <c r="N20" s="548">
        <v>2</v>
      </c>
      <c r="O20" s="552">
        <v>1</v>
      </c>
      <c r="P20" s="551">
        <v>2193.6999999999998</v>
      </c>
      <c r="Q20" s="553">
        <v>1</v>
      </c>
      <c r="R20" s="548">
        <v>2</v>
      </c>
      <c r="S20" s="553">
        <v>1</v>
      </c>
      <c r="T20" s="552">
        <v>1</v>
      </c>
      <c r="U20" s="554">
        <v>1</v>
      </c>
    </row>
    <row r="21" spans="1:21" ht="14.4" customHeight="1" x14ac:dyDescent="0.3">
      <c r="A21" s="547">
        <v>28</v>
      </c>
      <c r="B21" s="548" t="s">
        <v>490</v>
      </c>
      <c r="C21" s="548" t="s">
        <v>503</v>
      </c>
      <c r="D21" s="549" t="s">
        <v>689</v>
      </c>
      <c r="E21" s="550" t="s">
        <v>510</v>
      </c>
      <c r="F21" s="548" t="s">
        <v>502</v>
      </c>
      <c r="G21" s="548" t="s">
        <v>570</v>
      </c>
      <c r="H21" s="548" t="s">
        <v>435</v>
      </c>
      <c r="I21" s="548" t="s">
        <v>571</v>
      </c>
      <c r="J21" s="548" t="s">
        <v>572</v>
      </c>
      <c r="K21" s="548" t="s">
        <v>573</v>
      </c>
      <c r="L21" s="551">
        <v>89.91</v>
      </c>
      <c r="M21" s="551">
        <v>89.91</v>
      </c>
      <c r="N21" s="548">
        <v>1</v>
      </c>
      <c r="O21" s="552">
        <v>0.5</v>
      </c>
      <c r="P21" s="551">
        <v>89.91</v>
      </c>
      <c r="Q21" s="553">
        <v>1</v>
      </c>
      <c r="R21" s="548">
        <v>1</v>
      </c>
      <c r="S21" s="553">
        <v>1</v>
      </c>
      <c r="T21" s="552">
        <v>0.5</v>
      </c>
      <c r="U21" s="554">
        <v>1</v>
      </c>
    </row>
    <row r="22" spans="1:21" ht="14.4" customHeight="1" x14ac:dyDescent="0.3">
      <c r="A22" s="547">
        <v>28</v>
      </c>
      <c r="B22" s="548" t="s">
        <v>490</v>
      </c>
      <c r="C22" s="548" t="s">
        <v>503</v>
      </c>
      <c r="D22" s="549" t="s">
        <v>689</v>
      </c>
      <c r="E22" s="550" t="s">
        <v>510</v>
      </c>
      <c r="F22" s="548" t="s">
        <v>502</v>
      </c>
      <c r="G22" s="548" t="s">
        <v>574</v>
      </c>
      <c r="H22" s="548" t="s">
        <v>435</v>
      </c>
      <c r="I22" s="548" t="s">
        <v>575</v>
      </c>
      <c r="J22" s="548" t="s">
        <v>576</v>
      </c>
      <c r="K22" s="548" t="s">
        <v>577</v>
      </c>
      <c r="L22" s="551">
        <v>0</v>
      </c>
      <c r="M22" s="551">
        <v>0</v>
      </c>
      <c r="N22" s="548">
        <v>1</v>
      </c>
      <c r="O22" s="552">
        <v>0.5</v>
      </c>
      <c r="P22" s="551"/>
      <c r="Q22" s="553"/>
      <c r="R22" s="548"/>
      <c r="S22" s="553">
        <v>0</v>
      </c>
      <c r="T22" s="552"/>
      <c r="U22" s="554">
        <v>0</v>
      </c>
    </row>
    <row r="23" spans="1:21" ht="14.4" customHeight="1" x14ac:dyDescent="0.3">
      <c r="A23" s="547">
        <v>28</v>
      </c>
      <c r="B23" s="548" t="s">
        <v>490</v>
      </c>
      <c r="C23" s="548" t="s">
        <v>503</v>
      </c>
      <c r="D23" s="549" t="s">
        <v>689</v>
      </c>
      <c r="E23" s="550" t="s">
        <v>510</v>
      </c>
      <c r="F23" s="548" t="s">
        <v>502</v>
      </c>
      <c r="G23" s="548" t="s">
        <v>578</v>
      </c>
      <c r="H23" s="548" t="s">
        <v>690</v>
      </c>
      <c r="I23" s="548" t="s">
        <v>579</v>
      </c>
      <c r="J23" s="548" t="s">
        <v>580</v>
      </c>
      <c r="K23" s="548" t="s">
        <v>581</v>
      </c>
      <c r="L23" s="551">
        <v>835.93</v>
      </c>
      <c r="M23" s="551">
        <v>835.93</v>
      </c>
      <c r="N23" s="548">
        <v>1</v>
      </c>
      <c r="O23" s="552">
        <v>0.5</v>
      </c>
      <c r="P23" s="551"/>
      <c r="Q23" s="553">
        <v>0</v>
      </c>
      <c r="R23" s="548"/>
      <c r="S23" s="553">
        <v>0</v>
      </c>
      <c r="T23" s="552"/>
      <c r="U23" s="554">
        <v>0</v>
      </c>
    </row>
    <row r="24" spans="1:21" ht="14.4" customHeight="1" x14ac:dyDescent="0.3">
      <c r="A24" s="547">
        <v>28</v>
      </c>
      <c r="B24" s="548" t="s">
        <v>490</v>
      </c>
      <c r="C24" s="548" t="s">
        <v>503</v>
      </c>
      <c r="D24" s="549" t="s">
        <v>689</v>
      </c>
      <c r="E24" s="550" t="s">
        <v>510</v>
      </c>
      <c r="F24" s="548" t="s">
        <v>502</v>
      </c>
      <c r="G24" s="548" t="s">
        <v>544</v>
      </c>
      <c r="H24" s="548" t="s">
        <v>435</v>
      </c>
      <c r="I24" s="548" t="s">
        <v>545</v>
      </c>
      <c r="J24" s="548" t="s">
        <v>546</v>
      </c>
      <c r="K24" s="548" t="s">
        <v>547</v>
      </c>
      <c r="L24" s="551">
        <v>0</v>
      </c>
      <c r="M24" s="551">
        <v>0</v>
      </c>
      <c r="N24" s="548">
        <v>1</v>
      </c>
      <c r="O24" s="552">
        <v>0.5</v>
      </c>
      <c r="P24" s="551">
        <v>0</v>
      </c>
      <c r="Q24" s="553"/>
      <c r="R24" s="548">
        <v>1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28</v>
      </c>
      <c r="B25" s="548" t="s">
        <v>490</v>
      </c>
      <c r="C25" s="548" t="s">
        <v>503</v>
      </c>
      <c r="D25" s="549" t="s">
        <v>689</v>
      </c>
      <c r="E25" s="550" t="s">
        <v>514</v>
      </c>
      <c r="F25" s="548" t="s">
        <v>502</v>
      </c>
      <c r="G25" s="548" t="s">
        <v>582</v>
      </c>
      <c r="H25" s="548" t="s">
        <v>435</v>
      </c>
      <c r="I25" s="548" t="s">
        <v>583</v>
      </c>
      <c r="J25" s="548" t="s">
        <v>584</v>
      </c>
      <c r="K25" s="548" t="s">
        <v>585</v>
      </c>
      <c r="L25" s="551">
        <v>0</v>
      </c>
      <c r="M25" s="551">
        <v>0</v>
      </c>
      <c r="N25" s="548">
        <v>1</v>
      </c>
      <c r="O25" s="552">
        <v>0.5</v>
      </c>
      <c r="P25" s="551">
        <v>0</v>
      </c>
      <c r="Q25" s="553"/>
      <c r="R25" s="548">
        <v>1</v>
      </c>
      <c r="S25" s="553">
        <v>1</v>
      </c>
      <c r="T25" s="552">
        <v>0.5</v>
      </c>
      <c r="U25" s="554">
        <v>1</v>
      </c>
    </row>
    <row r="26" spans="1:21" ht="14.4" customHeight="1" x14ac:dyDescent="0.3">
      <c r="A26" s="547">
        <v>28</v>
      </c>
      <c r="B26" s="548" t="s">
        <v>490</v>
      </c>
      <c r="C26" s="548" t="s">
        <v>503</v>
      </c>
      <c r="D26" s="549" t="s">
        <v>689</v>
      </c>
      <c r="E26" s="550" t="s">
        <v>514</v>
      </c>
      <c r="F26" s="548" t="s">
        <v>502</v>
      </c>
      <c r="G26" s="548" t="s">
        <v>586</v>
      </c>
      <c r="H26" s="548" t="s">
        <v>435</v>
      </c>
      <c r="I26" s="548" t="s">
        <v>587</v>
      </c>
      <c r="J26" s="548" t="s">
        <v>588</v>
      </c>
      <c r="K26" s="548" t="s">
        <v>589</v>
      </c>
      <c r="L26" s="551">
        <v>61.44</v>
      </c>
      <c r="M26" s="551">
        <v>61.44</v>
      </c>
      <c r="N26" s="548">
        <v>1</v>
      </c>
      <c r="O26" s="552">
        <v>0.5</v>
      </c>
      <c r="P26" s="551">
        <v>61.44</v>
      </c>
      <c r="Q26" s="553">
        <v>1</v>
      </c>
      <c r="R26" s="548">
        <v>1</v>
      </c>
      <c r="S26" s="553">
        <v>1</v>
      </c>
      <c r="T26" s="552">
        <v>0.5</v>
      </c>
      <c r="U26" s="554">
        <v>1</v>
      </c>
    </row>
    <row r="27" spans="1:21" ht="14.4" customHeight="1" x14ac:dyDescent="0.3">
      <c r="A27" s="547">
        <v>28</v>
      </c>
      <c r="B27" s="548" t="s">
        <v>490</v>
      </c>
      <c r="C27" s="548" t="s">
        <v>503</v>
      </c>
      <c r="D27" s="549" t="s">
        <v>689</v>
      </c>
      <c r="E27" s="550" t="s">
        <v>514</v>
      </c>
      <c r="F27" s="548" t="s">
        <v>502</v>
      </c>
      <c r="G27" s="548" t="s">
        <v>590</v>
      </c>
      <c r="H27" s="548" t="s">
        <v>435</v>
      </c>
      <c r="I27" s="548" t="s">
        <v>591</v>
      </c>
      <c r="J27" s="548" t="s">
        <v>592</v>
      </c>
      <c r="K27" s="548" t="s">
        <v>593</v>
      </c>
      <c r="L27" s="551">
        <v>80.23</v>
      </c>
      <c r="M27" s="551">
        <v>80.23</v>
      </c>
      <c r="N27" s="548">
        <v>1</v>
      </c>
      <c r="O27" s="552">
        <v>0.5</v>
      </c>
      <c r="P27" s="551">
        <v>80.23</v>
      </c>
      <c r="Q27" s="553">
        <v>1</v>
      </c>
      <c r="R27" s="548">
        <v>1</v>
      </c>
      <c r="S27" s="553">
        <v>1</v>
      </c>
      <c r="T27" s="552">
        <v>0.5</v>
      </c>
      <c r="U27" s="554">
        <v>1</v>
      </c>
    </row>
    <row r="28" spans="1:21" ht="14.4" customHeight="1" x14ac:dyDescent="0.3">
      <c r="A28" s="547">
        <v>28</v>
      </c>
      <c r="B28" s="548" t="s">
        <v>490</v>
      </c>
      <c r="C28" s="548" t="s">
        <v>503</v>
      </c>
      <c r="D28" s="549" t="s">
        <v>689</v>
      </c>
      <c r="E28" s="550" t="s">
        <v>514</v>
      </c>
      <c r="F28" s="548" t="s">
        <v>502</v>
      </c>
      <c r="G28" s="548" t="s">
        <v>594</v>
      </c>
      <c r="H28" s="548" t="s">
        <v>435</v>
      </c>
      <c r="I28" s="548" t="s">
        <v>595</v>
      </c>
      <c r="J28" s="548" t="s">
        <v>596</v>
      </c>
      <c r="K28" s="548" t="s">
        <v>597</v>
      </c>
      <c r="L28" s="551">
        <v>159.71</v>
      </c>
      <c r="M28" s="551">
        <v>2395.6499999999996</v>
      </c>
      <c r="N28" s="548">
        <v>15</v>
      </c>
      <c r="O28" s="552">
        <v>2.5</v>
      </c>
      <c r="P28" s="551">
        <v>2395.6499999999996</v>
      </c>
      <c r="Q28" s="553">
        <v>1</v>
      </c>
      <c r="R28" s="548">
        <v>15</v>
      </c>
      <c r="S28" s="553">
        <v>1</v>
      </c>
      <c r="T28" s="552">
        <v>2.5</v>
      </c>
      <c r="U28" s="554">
        <v>1</v>
      </c>
    </row>
    <row r="29" spans="1:21" ht="14.4" customHeight="1" x14ac:dyDescent="0.3">
      <c r="A29" s="547">
        <v>28</v>
      </c>
      <c r="B29" s="548" t="s">
        <v>490</v>
      </c>
      <c r="C29" s="548" t="s">
        <v>503</v>
      </c>
      <c r="D29" s="549" t="s">
        <v>689</v>
      </c>
      <c r="E29" s="550" t="s">
        <v>514</v>
      </c>
      <c r="F29" s="548" t="s">
        <v>502</v>
      </c>
      <c r="G29" s="548" t="s">
        <v>598</v>
      </c>
      <c r="H29" s="548" t="s">
        <v>690</v>
      </c>
      <c r="I29" s="548" t="s">
        <v>599</v>
      </c>
      <c r="J29" s="548" t="s">
        <v>600</v>
      </c>
      <c r="K29" s="548" t="s">
        <v>601</v>
      </c>
      <c r="L29" s="551">
        <v>70.540000000000006</v>
      </c>
      <c r="M29" s="551">
        <v>423.24</v>
      </c>
      <c r="N29" s="548">
        <v>6</v>
      </c>
      <c r="O29" s="552">
        <v>2</v>
      </c>
      <c r="P29" s="551">
        <v>423.24</v>
      </c>
      <c r="Q29" s="553">
        <v>1</v>
      </c>
      <c r="R29" s="548">
        <v>6</v>
      </c>
      <c r="S29" s="553">
        <v>1</v>
      </c>
      <c r="T29" s="552">
        <v>2</v>
      </c>
      <c r="U29" s="554">
        <v>1</v>
      </c>
    </row>
    <row r="30" spans="1:21" ht="14.4" customHeight="1" x14ac:dyDescent="0.3">
      <c r="A30" s="547">
        <v>28</v>
      </c>
      <c r="B30" s="548" t="s">
        <v>490</v>
      </c>
      <c r="C30" s="548" t="s">
        <v>503</v>
      </c>
      <c r="D30" s="549" t="s">
        <v>689</v>
      </c>
      <c r="E30" s="550" t="s">
        <v>514</v>
      </c>
      <c r="F30" s="548" t="s">
        <v>502</v>
      </c>
      <c r="G30" s="548" t="s">
        <v>602</v>
      </c>
      <c r="H30" s="548" t="s">
        <v>435</v>
      </c>
      <c r="I30" s="548" t="s">
        <v>603</v>
      </c>
      <c r="J30" s="548" t="s">
        <v>604</v>
      </c>
      <c r="K30" s="548" t="s">
        <v>605</v>
      </c>
      <c r="L30" s="551">
        <v>126.57</v>
      </c>
      <c r="M30" s="551">
        <v>126.57</v>
      </c>
      <c r="N30" s="548">
        <v>1</v>
      </c>
      <c r="O30" s="552">
        <v>0.5</v>
      </c>
      <c r="P30" s="551">
        <v>126.57</v>
      </c>
      <c r="Q30" s="553">
        <v>1</v>
      </c>
      <c r="R30" s="548">
        <v>1</v>
      </c>
      <c r="S30" s="553">
        <v>1</v>
      </c>
      <c r="T30" s="552">
        <v>0.5</v>
      </c>
      <c r="U30" s="554">
        <v>1</v>
      </c>
    </row>
    <row r="31" spans="1:21" ht="14.4" customHeight="1" x14ac:dyDescent="0.3">
      <c r="A31" s="547">
        <v>28</v>
      </c>
      <c r="B31" s="548" t="s">
        <v>490</v>
      </c>
      <c r="C31" s="548" t="s">
        <v>503</v>
      </c>
      <c r="D31" s="549" t="s">
        <v>689</v>
      </c>
      <c r="E31" s="550" t="s">
        <v>514</v>
      </c>
      <c r="F31" s="548" t="s">
        <v>502</v>
      </c>
      <c r="G31" s="548" t="s">
        <v>570</v>
      </c>
      <c r="H31" s="548" t="s">
        <v>435</v>
      </c>
      <c r="I31" s="548" t="s">
        <v>606</v>
      </c>
      <c r="J31" s="548" t="s">
        <v>607</v>
      </c>
      <c r="K31" s="548" t="s">
        <v>608</v>
      </c>
      <c r="L31" s="551">
        <v>48.09</v>
      </c>
      <c r="M31" s="551">
        <v>48.09</v>
      </c>
      <c r="N31" s="548">
        <v>1</v>
      </c>
      <c r="O31" s="552">
        <v>0.5</v>
      </c>
      <c r="P31" s="551">
        <v>48.09</v>
      </c>
      <c r="Q31" s="553">
        <v>1</v>
      </c>
      <c r="R31" s="548">
        <v>1</v>
      </c>
      <c r="S31" s="553">
        <v>1</v>
      </c>
      <c r="T31" s="552">
        <v>0.5</v>
      </c>
      <c r="U31" s="554">
        <v>1</v>
      </c>
    </row>
    <row r="32" spans="1:21" ht="14.4" customHeight="1" x14ac:dyDescent="0.3">
      <c r="A32" s="547">
        <v>28</v>
      </c>
      <c r="B32" s="548" t="s">
        <v>490</v>
      </c>
      <c r="C32" s="548" t="s">
        <v>503</v>
      </c>
      <c r="D32" s="549" t="s">
        <v>689</v>
      </c>
      <c r="E32" s="550" t="s">
        <v>514</v>
      </c>
      <c r="F32" s="548" t="s">
        <v>502</v>
      </c>
      <c r="G32" s="548" t="s">
        <v>609</v>
      </c>
      <c r="H32" s="548" t="s">
        <v>435</v>
      </c>
      <c r="I32" s="548" t="s">
        <v>610</v>
      </c>
      <c r="J32" s="548" t="s">
        <v>611</v>
      </c>
      <c r="K32" s="548" t="s">
        <v>612</v>
      </c>
      <c r="L32" s="551">
        <v>98.75</v>
      </c>
      <c r="M32" s="551">
        <v>98.75</v>
      </c>
      <c r="N32" s="548">
        <v>1</v>
      </c>
      <c r="O32" s="552">
        <v>0.5</v>
      </c>
      <c r="P32" s="551">
        <v>98.75</v>
      </c>
      <c r="Q32" s="553">
        <v>1</v>
      </c>
      <c r="R32" s="548">
        <v>1</v>
      </c>
      <c r="S32" s="553">
        <v>1</v>
      </c>
      <c r="T32" s="552">
        <v>0.5</v>
      </c>
      <c r="U32" s="554">
        <v>1</v>
      </c>
    </row>
    <row r="33" spans="1:21" ht="14.4" customHeight="1" x14ac:dyDescent="0.3">
      <c r="A33" s="547">
        <v>28</v>
      </c>
      <c r="B33" s="548" t="s">
        <v>490</v>
      </c>
      <c r="C33" s="548" t="s">
        <v>503</v>
      </c>
      <c r="D33" s="549" t="s">
        <v>689</v>
      </c>
      <c r="E33" s="550" t="s">
        <v>514</v>
      </c>
      <c r="F33" s="548" t="s">
        <v>502</v>
      </c>
      <c r="G33" s="548" t="s">
        <v>613</v>
      </c>
      <c r="H33" s="548" t="s">
        <v>435</v>
      </c>
      <c r="I33" s="548" t="s">
        <v>614</v>
      </c>
      <c r="J33" s="548" t="s">
        <v>615</v>
      </c>
      <c r="K33" s="548" t="s">
        <v>616</v>
      </c>
      <c r="L33" s="551">
        <v>132.97999999999999</v>
      </c>
      <c r="M33" s="551">
        <v>265.95999999999998</v>
      </c>
      <c r="N33" s="548">
        <v>2</v>
      </c>
      <c r="O33" s="552">
        <v>1</v>
      </c>
      <c r="P33" s="551">
        <v>265.95999999999998</v>
      </c>
      <c r="Q33" s="553">
        <v>1</v>
      </c>
      <c r="R33" s="548">
        <v>2</v>
      </c>
      <c r="S33" s="553">
        <v>1</v>
      </c>
      <c r="T33" s="552">
        <v>1</v>
      </c>
      <c r="U33" s="554">
        <v>1</v>
      </c>
    </row>
    <row r="34" spans="1:21" ht="14.4" customHeight="1" x14ac:dyDescent="0.3">
      <c r="A34" s="547">
        <v>28</v>
      </c>
      <c r="B34" s="548" t="s">
        <v>490</v>
      </c>
      <c r="C34" s="548" t="s">
        <v>503</v>
      </c>
      <c r="D34" s="549" t="s">
        <v>689</v>
      </c>
      <c r="E34" s="550" t="s">
        <v>514</v>
      </c>
      <c r="F34" s="548" t="s">
        <v>502</v>
      </c>
      <c r="G34" s="548" t="s">
        <v>617</v>
      </c>
      <c r="H34" s="548" t="s">
        <v>435</v>
      </c>
      <c r="I34" s="548" t="s">
        <v>618</v>
      </c>
      <c r="J34" s="548" t="s">
        <v>619</v>
      </c>
      <c r="K34" s="548" t="s">
        <v>620</v>
      </c>
      <c r="L34" s="551">
        <v>126.59</v>
      </c>
      <c r="M34" s="551">
        <v>126.59</v>
      </c>
      <c r="N34" s="548">
        <v>1</v>
      </c>
      <c r="O34" s="552">
        <v>1</v>
      </c>
      <c r="P34" s="551">
        <v>126.59</v>
      </c>
      <c r="Q34" s="553">
        <v>1</v>
      </c>
      <c r="R34" s="548">
        <v>1</v>
      </c>
      <c r="S34" s="553">
        <v>1</v>
      </c>
      <c r="T34" s="552">
        <v>1</v>
      </c>
      <c r="U34" s="554">
        <v>1</v>
      </c>
    </row>
    <row r="35" spans="1:21" ht="14.4" customHeight="1" x14ac:dyDescent="0.3">
      <c r="A35" s="547">
        <v>28</v>
      </c>
      <c r="B35" s="548" t="s">
        <v>490</v>
      </c>
      <c r="C35" s="548" t="s">
        <v>503</v>
      </c>
      <c r="D35" s="549" t="s">
        <v>689</v>
      </c>
      <c r="E35" s="550" t="s">
        <v>514</v>
      </c>
      <c r="F35" s="548" t="s">
        <v>502</v>
      </c>
      <c r="G35" s="548" t="s">
        <v>621</v>
      </c>
      <c r="H35" s="548" t="s">
        <v>435</v>
      </c>
      <c r="I35" s="548" t="s">
        <v>622</v>
      </c>
      <c r="J35" s="548" t="s">
        <v>623</v>
      </c>
      <c r="K35" s="548" t="s">
        <v>624</v>
      </c>
      <c r="L35" s="551">
        <v>53.57</v>
      </c>
      <c r="M35" s="551">
        <v>53.57</v>
      </c>
      <c r="N35" s="548">
        <v>1</v>
      </c>
      <c r="O35" s="552">
        <v>1</v>
      </c>
      <c r="P35" s="551">
        <v>53.57</v>
      </c>
      <c r="Q35" s="553">
        <v>1</v>
      </c>
      <c r="R35" s="548">
        <v>1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28</v>
      </c>
      <c r="B36" s="548" t="s">
        <v>490</v>
      </c>
      <c r="C36" s="548" t="s">
        <v>503</v>
      </c>
      <c r="D36" s="549" t="s">
        <v>689</v>
      </c>
      <c r="E36" s="550" t="s">
        <v>514</v>
      </c>
      <c r="F36" s="548" t="s">
        <v>502</v>
      </c>
      <c r="G36" s="548" t="s">
        <v>625</v>
      </c>
      <c r="H36" s="548" t="s">
        <v>435</v>
      </c>
      <c r="I36" s="548" t="s">
        <v>626</v>
      </c>
      <c r="J36" s="548" t="s">
        <v>627</v>
      </c>
      <c r="K36" s="548" t="s">
        <v>628</v>
      </c>
      <c r="L36" s="551">
        <v>185.26</v>
      </c>
      <c r="M36" s="551">
        <v>370.52</v>
      </c>
      <c r="N36" s="548">
        <v>2</v>
      </c>
      <c r="O36" s="552">
        <v>1</v>
      </c>
      <c r="P36" s="551">
        <v>370.52</v>
      </c>
      <c r="Q36" s="553">
        <v>1</v>
      </c>
      <c r="R36" s="548">
        <v>2</v>
      </c>
      <c r="S36" s="553">
        <v>1</v>
      </c>
      <c r="T36" s="552">
        <v>1</v>
      </c>
      <c r="U36" s="554">
        <v>1</v>
      </c>
    </row>
    <row r="37" spans="1:21" ht="14.4" customHeight="1" x14ac:dyDescent="0.3">
      <c r="A37" s="547">
        <v>28</v>
      </c>
      <c r="B37" s="548" t="s">
        <v>490</v>
      </c>
      <c r="C37" s="548" t="s">
        <v>503</v>
      </c>
      <c r="D37" s="549" t="s">
        <v>689</v>
      </c>
      <c r="E37" s="550" t="s">
        <v>514</v>
      </c>
      <c r="F37" s="548" t="s">
        <v>502</v>
      </c>
      <c r="G37" s="548" t="s">
        <v>625</v>
      </c>
      <c r="H37" s="548" t="s">
        <v>435</v>
      </c>
      <c r="I37" s="548" t="s">
        <v>629</v>
      </c>
      <c r="J37" s="548" t="s">
        <v>630</v>
      </c>
      <c r="K37" s="548" t="s">
        <v>631</v>
      </c>
      <c r="L37" s="551">
        <v>0</v>
      </c>
      <c r="M37" s="551">
        <v>0</v>
      </c>
      <c r="N37" s="548">
        <v>1</v>
      </c>
      <c r="O37" s="552">
        <v>0.5</v>
      </c>
      <c r="P37" s="551">
        <v>0</v>
      </c>
      <c r="Q37" s="553"/>
      <c r="R37" s="548">
        <v>1</v>
      </c>
      <c r="S37" s="553">
        <v>1</v>
      </c>
      <c r="T37" s="552">
        <v>0.5</v>
      </c>
      <c r="U37" s="554">
        <v>1</v>
      </c>
    </row>
    <row r="38" spans="1:21" ht="14.4" customHeight="1" x14ac:dyDescent="0.3">
      <c r="A38" s="547">
        <v>28</v>
      </c>
      <c r="B38" s="548" t="s">
        <v>490</v>
      </c>
      <c r="C38" s="548" t="s">
        <v>503</v>
      </c>
      <c r="D38" s="549" t="s">
        <v>689</v>
      </c>
      <c r="E38" s="550" t="s">
        <v>514</v>
      </c>
      <c r="F38" s="548" t="s">
        <v>502</v>
      </c>
      <c r="G38" s="548" t="s">
        <v>632</v>
      </c>
      <c r="H38" s="548" t="s">
        <v>435</v>
      </c>
      <c r="I38" s="548" t="s">
        <v>633</v>
      </c>
      <c r="J38" s="548" t="s">
        <v>634</v>
      </c>
      <c r="K38" s="548" t="s">
        <v>635</v>
      </c>
      <c r="L38" s="551">
        <v>24.78</v>
      </c>
      <c r="M38" s="551">
        <v>74.34</v>
      </c>
      <c r="N38" s="548">
        <v>3</v>
      </c>
      <c r="O38" s="552">
        <v>1</v>
      </c>
      <c r="P38" s="551">
        <v>74.34</v>
      </c>
      <c r="Q38" s="553">
        <v>1</v>
      </c>
      <c r="R38" s="548">
        <v>3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28</v>
      </c>
      <c r="B39" s="548" t="s">
        <v>490</v>
      </c>
      <c r="C39" s="548" t="s">
        <v>503</v>
      </c>
      <c r="D39" s="549" t="s">
        <v>689</v>
      </c>
      <c r="E39" s="550" t="s">
        <v>514</v>
      </c>
      <c r="F39" s="548" t="s">
        <v>502</v>
      </c>
      <c r="G39" s="548" t="s">
        <v>636</v>
      </c>
      <c r="H39" s="548" t="s">
        <v>435</v>
      </c>
      <c r="I39" s="548" t="s">
        <v>637</v>
      </c>
      <c r="J39" s="548" t="s">
        <v>638</v>
      </c>
      <c r="K39" s="548" t="s">
        <v>639</v>
      </c>
      <c r="L39" s="551">
        <v>31.42</v>
      </c>
      <c r="M39" s="551">
        <v>31.42</v>
      </c>
      <c r="N39" s="548">
        <v>1</v>
      </c>
      <c r="O39" s="552">
        <v>1</v>
      </c>
      <c r="P39" s="551">
        <v>31.42</v>
      </c>
      <c r="Q39" s="553">
        <v>1</v>
      </c>
      <c r="R39" s="548">
        <v>1</v>
      </c>
      <c r="S39" s="553">
        <v>1</v>
      </c>
      <c r="T39" s="552">
        <v>1</v>
      </c>
      <c r="U39" s="554">
        <v>1</v>
      </c>
    </row>
    <row r="40" spans="1:21" ht="14.4" customHeight="1" x14ac:dyDescent="0.3">
      <c r="A40" s="547">
        <v>28</v>
      </c>
      <c r="B40" s="548" t="s">
        <v>490</v>
      </c>
      <c r="C40" s="548" t="s">
        <v>503</v>
      </c>
      <c r="D40" s="549" t="s">
        <v>689</v>
      </c>
      <c r="E40" s="550" t="s">
        <v>509</v>
      </c>
      <c r="F40" s="548" t="s">
        <v>502</v>
      </c>
      <c r="G40" s="548" t="s">
        <v>636</v>
      </c>
      <c r="H40" s="548" t="s">
        <v>435</v>
      </c>
      <c r="I40" s="548" t="s">
        <v>640</v>
      </c>
      <c r="J40" s="548" t="s">
        <v>638</v>
      </c>
      <c r="K40" s="548" t="s">
        <v>641</v>
      </c>
      <c r="L40" s="551">
        <v>22.44</v>
      </c>
      <c r="M40" s="551">
        <v>44.88</v>
      </c>
      <c r="N40" s="548">
        <v>2</v>
      </c>
      <c r="O40" s="552">
        <v>1</v>
      </c>
      <c r="P40" s="551">
        <v>44.88</v>
      </c>
      <c r="Q40" s="553">
        <v>1</v>
      </c>
      <c r="R40" s="548">
        <v>2</v>
      </c>
      <c r="S40" s="553">
        <v>1</v>
      </c>
      <c r="T40" s="552">
        <v>1</v>
      </c>
      <c r="U40" s="554">
        <v>1</v>
      </c>
    </row>
    <row r="41" spans="1:21" ht="14.4" customHeight="1" x14ac:dyDescent="0.3">
      <c r="A41" s="547">
        <v>28</v>
      </c>
      <c r="B41" s="548" t="s">
        <v>490</v>
      </c>
      <c r="C41" s="548" t="s">
        <v>503</v>
      </c>
      <c r="D41" s="549" t="s">
        <v>689</v>
      </c>
      <c r="E41" s="550" t="s">
        <v>513</v>
      </c>
      <c r="F41" s="548" t="s">
        <v>502</v>
      </c>
      <c r="G41" s="548" t="s">
        <v>570</v>
      </c>
      <c r="H41" s="548" t="s">
        <v>435</v>
      </c>
      <c r="I41" s="548" t="s">
        <v>642</v>
      </c>
      <c r="J41" s="548" t="s">
        <v>607</v>
      </c>
      <c r="K41" s="548" t="s">
        <v>643</v>
      </c>
      <c r="L41" s="551">
        <v>55.58</v>
      </c>
      <c r="M41" s="551">
        <v>55.58</v>
      </c>
      <c r="N41" s="548">
        <v>1</v>
      </c>
      <c r="O41" s="552">
        <v>0.5</v>
      </c>
      <c r="P41" s="551">
        <v>55.58</v>
      </c>
      <c r="Q41" s="553">
        <v>1</v>
      </c>
      <c r="R41" s="548">
        <v>1</v>
      </c>
      <c r="S41" s="553">
        <v>1</v>
      </c>
      <c r="T41" s="552">
        <v>0.5</v>
      </c>
      <c r="U41" s="554">
        <v>1</v>
      </c>
    </row>
    <row r="42" spans="1:21" ht="14.4" customHeight="1" x14ac:dyDescent="0.3">
      <c r="A42" s="547">
        <v>28</v>
      </c>
      <c r="B42" s="548" t="s">
        <v>490</v>
      </c>
      <c r="C42" s="548" t="s">
        <v>503</v>
      </c>
      <c r="D42" s="549" t="s">
        <v>689</v>
      </c>
      <c r="E42" s="550" t="s">
        <v>513</v>
      </c>
      <c r="F42" s="548" t="s">
        <v>502</v>
      </c>
      <c r="G42" s="548" t="s">
        <v>644</v>
      </c>
      <c r="H42" s="548" t="s">
        <v>435</v>
      </c>
      <c r="I42" s="548" t="s">
        <v>645</v>
      </c>
      <c r="J42" s="548" t="s">
        <v>646</v>
      </c>
      <c r="K42" s="548" t="s">
        <v>647</v>
      </c>
      <c r="L42" s="551">
        <v>36.54</v>
      </c>
      <c r="M42" s="551">
        <v>36.54</v>
      </c>
      <c r="N42" s="548">
        <v>1</v>
      </c>
      <c r="O42" s="552">
        <v>0.5</v>
      </c>
      <c r="P42" s="551">
        <v>36.54</v>
      </c>
      <c r="Q42" s="553">
        <v>1</v>
      </c>
      <c r="R42" s="548">
        <v>1</v>
      </c>
      <c r="S42" s="553">
        <v>1</v>
      </c>
      <c r="T42" s="552">
        <v>0.5</v>
      </c>
      <c r="U42" s="554">
        <v>1</v>
      </c>
    </row>
    <row r="43" spans="1:21" ht="14.4" customHeight="1" x14ac:dyDescent="0.3">
      <c r="A43" s="547">
        <v>28</v>
      </c>
      <c r="B43" s="548" t="s">
        <v>490</v>
      </c>
      <c r="C43" s="548" t="s">
        <v>503</v>
      </c>
      <c r="D43" s="549" t="s">
        <v>689</v>
      </c>
      <c r="E43" s="550" t="s">
        <v>515</v>
      </c>
      <c r="F43" s="548" t="s">
        <v>502</v>
      </c>
      <c r="G43" s="548" t="s">
        <v>648</v>
      </c>
      <c r="H43" s="548" t="s">
        <v>690</v>
      </c>
      <c r="I43" s="548" t="s">
        <v>649</v>
      </c>
      <c r="J43" s="548" t="s">
        <v>650</v>
      </c>
      <c r="K43" s="548" t="s">
        <v>651</v>
      </c>
      <c r="L43" s="551">
        <v>14.11</v>
      </c>
      <c r="M43" s="551">
        <v>14.11</v>
      </c>
      <c r="N43" s="548">
        <v>1</v>
      </c>
      <c r="O43" s="552">
        <v>0.5</v>
      </c>
      <c r="P43" s="551">
        <v>14.11</v>
      </c>
      <c r="Q43" s="553">
        <v>1</v>
      </c>
      <c r="R43" s="548">
        <v>1</v>
      </c>
      <c r="S43" s="553">
        <v>1</v>
      </c>
      <c r="T43" s="552">
        <v>0.5</v>
      </c>
      <c r="U43" s="554">
        <v>1</v>
      </c>
    </row>
    <row r="44" spans="1:21" ht="14.4" customHeight="1" x14ac:dyDescent="0.3">
      <c r="A44" s="547">
        <v>28</v>
      </c>
      <c r="B44" s="548" t="s">
        <v>490</v>
      </c>
      <c r="C44" s="548" t="s">
        <v>503</v>
      </c>
      <c r="D44" s="549" t="s">
        <v>689</v>
      </c>
      <c r="E44" s="550" t="s">
        <v>515</v>
      </c>
      <c r="F44" s="548" t="s">
        <v>502</v>
      </c>
      <c r="G44" s="548" t="s">
        <v>648</v>
      </c>
      <c r="H44" s="548" t="s">
        <v>690</v>
      </c>
      <c r="I44" s="548" t="s">
        <v>652</v>
      </c>
      <c r="J44" s="548" t="s">
        <v>653</v>
      </c>
      <c r="K44" s="548" t="s">
        <v>654</v>
      </c>
      <c r="L44" s="551">
        <v>4.7</v>
      </c>
      <c r="M44" s="551">
        <v>4.7</v>
      </c>
      <c r="N44" s="548">
        <v>1</v>
      </c>
      <c r="O44" s="552">
        <v>0.5</v>
      </c>
      <c r="P44" s="551"/>
      <c r="Q44" s="553">
        <v>0</v>
      </c>
      <c r="R44" s="548"/>
      <c r="S44" s="553">
        <v>0</v>
      </c>
      <c r="T44" s="552"/>
      <c r="U44" s="554">
        <v>0</v>
      </c>
    </row>
    <row r="45" spans="1:21" ht="14.4" customHeight="1" x14ac:dyDescent="0.3">
      <c r="A45" s="547">
        <v>28</v>
      </c>
      <c r="B45" s="548" t="s">
        <v>490</v>
      </c>
      <c r="C45" s="548" t="s">
        <v>503</v>
      </c>
      <c r="D45" s="549" t="s">
        <v>689</v>
      </c>
      <c r="E45" s="550" t="s">
        <v>515</v>
      </c>
      <c r="F45" s="548" t="s">
        <v>502</v>
      </c>
      <c r="G45" s="548" t="s">
        <v>655</v>
      </c>
      <c r="H45" s="548" t="s">
        <v>435</v>
      </c>
      <c r="I45" s="548" t="s">
        <v>656</v>
      </c>
      <c r="J45" s="548" t="s">
        <v>657</v>
      </c>
      <c r="K45" s="548" t="s">
        <v>658</v>
      </c>
      <c r="L45" s="551">
        <v>27.28</v>
      </c>
      <c r="M45" s="551">
        <v>54.56</v>
      </c>
      <c r="N45" s="548">
        <v>2</v>
      </c>
      <c r="O45" s="552">
        <v>1</v>
      </c>
      <c r="P45" s="551">
        <v>54.56</v>
      </c>
      <c r="Q45" s="553">
        <v>1</v>
      </c>
      <c r="R45" s="548">
        <v>2</v>
      </c>
      <c r="S45" s="553">
        <v>1</v>
      </c>
      <c r="T45" s="552">
        <v>1</v>
      </c>
      <c r="U45" s="554">
        <v>1</v>
      </c>
    </row>
    <row r="46" spans="1:21" ht="14.4" customHeight="1" x14ac:dyDescent="0.3">
      <c r="A46" s="547">
        <v>28</v>
      </c>
      <c r="B46" s="548" t="s">
        <v>490</v>
      </c>
      <c r="C46" s="548" t="s">
        <v>503</v>
      </c>
      <c r="D46" s="549" t="s">
        <v>689</v>
      </c>
      <c r="E46" s="550" t="s">
        <v>515</v>
      </c>
      <c r="F46" s="548" t="s">
        <v>502</v>
      </c>
      <c r="G46" s="548" t="s">
        <v>659</v>
      </c>
      <c r="H46" s="548" t="s">
        <v>435</v>
      </c>
      <c r="I46" s="548" t="s">
        <v>660</v>
      </c>
      <c r="J46" s="548" t="s">
        <v>661</v>
      </c>
      <c r="K46" s="548" t="s">
        <v>662</v>
      </c>
      <c r="L46" s="551">
        <v>0</v>
      </c>
      <c r="M46" s="551">
        <v>0</v>
      </c>
      <c r="N46" s="548">
        <v>1</v>
      </c>
      <c r="O46" s="552">
        <v>1</v>
      </c>
      <c r="P46" s="551">
        <v>0</v>
      </c>
      <c r="Q46" s="553"/>
      <c r="R46" s="548">
        <v>1</v>
      </c>
      <c r="S46" s="553">
        <v>1</v>
      </c>
      <c r="T46" s="552">
        <v>1</v>
      </c>
      <c r="U46" s="554">
        <v>1</v>
      </c>
    </row>
    <row r="47" spans="1:21" ht="14.4" customHeight="1" x14ac:dyDescent="0.3">
      <c r="A47" s="547">
        <v>28</v>
      </c>
      <c r="B47" s="548" t="s">
        <v>490</v>
      </c>
      <c r="C47" s="548" t="s">
        <v>503</v>
      </c>
      <c r="D47" s="549" t="s">
        <v>689</v>
      </c>
      <c r="E47" s="550" t="s">
        <v>515</v>
      </c>
      <c r="F47" s="548" t="s">
        <v>502</v>
      </c>
      <c r="G47" s="548" t="s">
        <v>663</v>
      </c>
      <c r="H47" s="548" t="s">
        <v>435</v>
      </c>
      <c r="I47" s="548" t="s">
        <v>664</v>
      </c>
      <c r="J47" s="548" t="s">
        <v>665</v>
      </c>
      <c r="K47" s="548" t="s">
        <v>666</v>
      </c>
      <c r="L47" s="551">
        <v>0</v>
      </c>
      <c r="M47" s="551">
        <v>0</v>
      </c>
      <c r="N47" s="548">
        <v>1</v>
      </c>
      <c r="O47" s="552">
        <v>0.5</v>
      </c>
      <c r="P47" s="551">
        <v>0</v>
      </c>
      <c r="Q47" s="553"/>
      <c r="R47" s="548">
        <v>1</v>
      </c>
      <c r="S47" s="553">
        <v>1</v>
      </c>
      <c r="T47" s="552">
        <v>0.5</v>
      </c>
      <c r="U47" s="554">
        <v>1</v>
      </c>
    </row>
    <row r="48" spans="1:21" ht="14.4" customHeight="1" x14ac:dyDescent="0.3">
      <c r="A48" s="547">
        <v>28</v>
      </c>
      <c r="B48" s="548" t="s">
        <v>490</v>
      </c>
      <c r="C48" s="548" t="s">
        <v>503</v>
      </c>
      <c r="D48" s="549" t="s">
        <v>689</v>
      </c>
      <c r="E48" s="550" t="s">
        <v>515</v>
      </c>
      <c r="F48" s="548" t="s">
        <v>502</v>
      </c>
      <c r="G48" s="548" t="s">
        <v>667</v>
      </c>
      <c r="H48" s="548" t="s">
        <v>435</v>
      </c>
      <c r="I48" s="548" t="s">
        <v>668</v>
      </c>
      <c r="J48" s="548" t="s">
        <v>669</v>
      </c>
      <c r="K48" s="548" t="s">
        <v>670</v>
      </c>
      <c r="L48" s="551">
        <v>108.44</v>
      </c>
      <c r="M48" s="551">
        <v>108.44</v>
      </c>
      <c r="N48" s="548">
        <v>1</v>
      </c>
      <c r="O48" s="552">
        <v>0.5</v>
      </c>
      <c r="P48" s="551">
        <v>108.44</v>
      </c>
      <c r="Q48" s="553">
        <v>1</v>
      </c>
      <c r="R48" s="548">
        <v>1</v>
      </c>
      <c r="S48" s="553">
        <v>1</v>
      </c>
      <c r="T48" s="552">
        <v>0.5</v>
      </c>
      <c r="U48" s="554">
        <v>1</v>
      </c>
    </row>
    <row r="49" spans="1:21" ht="14.4" customHeight="1" x14ac:dyDescent="0.3">
      <c r="A49" s="547">
        <v>28</v>
      </c>
      <c r="B49" s="548" t="s">
        <v>490</v>
      </c>
      <c r="C49" s="548" t="s">
        <v>503</v>
      </c>
      <c r="D49" s="549" t="s">
        <v>689</v>
      </c>
      <c r="E49" s="550" t="s">
        <v>515</v>
      </c>
      <c r="F49" s="548" t="s">
        <v>502</v>
      </c>
      <c r="G49" s="548" t="s">
        <v>667</v>
      </c>
      <c r="H49" s="548" t="s">
        <v>435</v>
      </c>
      <c r="I49" s="548" t="s">
        <v>671</v>
      </c>
      <c r="J49" s="548" t="s">
        <v>672</v>
      </c>
      <c r="K49" s="548" t="s">
        <v>673</v>
      </c>
      <c r="L49" s="551">
        <v>43.37</v>
      </c>
      <c r="M49" s="551">
        <v>43.37</v>
      </c>
      <c r="N49" s="548">
        <v>1</v>
      </c>
      <c r="O49" s="552">
        <v>1</v>
      </c>
      <c r="P49" s="551">
        <v>43.37</v>
      </c>
      <c r="Q49" s="553">
        <v>1</v>
      </c>
      <c r="R49" s="548">
        <v>1</v>
      </c>
      <c r="S49" s="553">
        <v>1</v>
      </c>
      <c r="T49" s="552">
        <v>1</v>
      </c>
      <c r="U49" s="554">
        <v>1</v>
      </c>
    </row>
    <row r="50" spans="1:21" ht="14.4" customHeight="1" x14ac:dyDescent="0.3">
      <c r="A50" s="547">
        <v>28</v>
      </c>
      <c r="B50" s="548" t="s">
        <v>490</v>
      </c>
      <c r="C50" s="548" t="s">
        <v>503</v>
      </c>
      <c r="D50" s="549" t="s">
        <v>689</v>
      </c>
      <c r="E50" s="550" t="s">
        <v>515</v>
      </c>
      <c r="F50" s="548" t="s">
        <v>502</v>
      </c>
      <c r="G50" s="548" t="s">
        <v>674</v>
      </c>
      <c r="H50" s="548" t="s">
        <v>435</v>
      </c>
      <c r="I50" s="548" t="s">
        <v>675</v>
      </c>
      <c r="J50" s="548" t="s">
        <v>676</v>
      </c>
      <c r="K50" s="548" t="s">
        <v>677</v>
      </c>
      <c r="L50" s="551">
        <v>50.45</v>
      </c>
      <c r="M50" s="551">
        <v>50.45</v>
      </c>
      <c r="N50" s="548">
        <v>1</v>
      </c>
      <c r="O50" s="552">
        <v>0.5</v>
      </c>
      <c r="P50" s="551">
        <v>50.45</v>
      </c>
      <c r="Q50" s="553">
        <v>1</v>
      </c>
      <c r="R50" s="548">
        <v>1</v>
      </c>
      <c r="S50" s="553">
        <v>1</v>
      </c>
      <c r="T50" s="552">
        <v>0.5</v>
      </c>
      <c r="U50" s="554">
        <v>1</v>
      </c>
    </row>
    <row r="51" spans="1:21" ht="14.4" customHeight="1" x14ac:dyDescent="0.3">
      <c r="A51" s="547">
        <v>28</v>
      </c>
      <c r="B51" s="548" t="s">
        <v>490</v>
      </c>
      <c r="C51" s="548" t="s">
        <v>503</v>
      </c>
      <c r="D51" s="549" t="s">
        <v>689</v>
      </c>
      <c r="E51" s="550" t="s">
        <v>515</v>
      </c>
      <c r="F51" s="548" t="s">
        <v>502</v>
      </c>
      <c r="G51" s="548" t="s">
        <v>536</v>
      </c>
      <c r="H51" s="548" t="s">
        <v>690</v>
      </c>
      <c r="I51" s="548" t="s">
        <v>537</v>
      </c>
      <c r="J51" s="548" t="s">
        <v>538</v>
      </c>
      <c r="K51" s="548" t="s">
        <v>539</v>
      </c>
      <c r="L51" s="551">
        <v>63.75</v>
      </c>
      <c r="M51" s="551">
        <v>63.75</v>
      </c>
      <c r="N51" s="548">
        <v>1</v>
      </c>
      <c r="O51" s="552">
        <v>0.5</v>
      </c>
      <c r="P51" s="551">
        <v>63.75</v>
      </c>
      <c r="Q51" s="553">
        <v>1</v>
      </c>
      <c r="R51" s="548">
        <v>1</v>
      </c>
      <c r="S51" s="553">
        <v>1</v>
      </c>
      <c r="T51" s="552">
        <v>0.5</v>
      </c>
      <c r="U51" s="554">
        <v>1</v>
      </c>
    </row>
    <row r="52" spans="1:21" ht="14.4" customHeight="1" x14ac:dyDescent="0.3">
      <c r="A52" s="547">
        <v>28</v>
      </c>
      <c r="B52" s="548" t="s">
        <v>490</v>
      </c>
      <c r="C52" s="548" t="s">
        <v>503</v>
      </c>
      <c r="D52" s="549" t="s">
        <v>689</v>
      </c>
      <c r="E52" s="550" t="s">
        <v>515</v>
      </c>
      <c r="F52" s="548" t="s">
        <v>502</v>
      </c>
      <c r="G52" s="548" t="s">
        <v>678</v>
      </c>
      <c r="H52" s="548" t="s">
        <v>690</v>
      </c>
      <c r="I52" s="548" t="s">
        <v>679</v>
      </c>
      <c r="J52" s="548" t="s">
        <v>680</v>
      </c>
      <c r="K52" s="548" t="s">
        <v>681</v>
      </c>
      <c r="L52" s="551">
        <v>122.96</v>
      </c>
      <c r="M52" s="551">
        <v>245.92</v>
      </c>
      <c r="N52" s="548">
        <v>2</v>
      </c>
      <c r="O52" s="552">
        <v>1</v>
      </c>
      <c r="P52" s="551">
        <v>122.96</v>
      </c>
      <c r="Q52" s="553">
        <v>0.5</v>
      </c>
      <c r="R52" s="548">
        <v>1</v>
      </c>
      <c r="S52" s="553">
        <v>0.5</v>
      </c>
      <c r="T52" s="552">
        <v>0.5</v>
      </c>
      <c r="U52" s="554">
        <v>0.5</v>
      </c>
    </row>
    <row r="53" spans="1:21" ht="14.4" customHeight="1" x14ac:dyDescent="0.3">
      <c r="A53" s="547">
        <v>28</v>
      </c>
      <c r="B53" s="548" t="s">
        <v>490</v>
      </c>
      <c r="C53" s="548" t="s">
        <v>503</v>
      </c>
      <c r="D53" s="549" t="s">
        <v>689</v>
      </c>
      <c r="E53" s="550" t="s">
        <v>515</v>
      </c>
      <c r="F53" s="548" t="s">
        <v>502</v>
      </c>
      <c r="G53" s="548" t="s">
        <v>544</v>
      </c>
      <c r="H53" s="548" t="s">
        <v>435</v>
      </c>
      <c r="I53" s="548" t="s">
        <v>545</v>
      </c>
      <c r="J53" s="548" t="s">
        <v>546</v>
      </c>
      <c r="K53" s="548" t="s">
        <v>547</v>
      </c>
      <c r="L53" s="551">
        <v>0</v>
      </c>
      <c r="M53" s="551">
        <v>0</v>
      </c>
      <c r="N53" s="548">
        <v>1</v>
      </c>
      <c r="O53" s="552">
        <v>1</v>
      </c>
      <c r="P53" s="551"/>
      <c r="Q53" s="553"/>
      <c r="R53" s="548"/>
      <c r="S53" s="553">
        <v>0</v>
      </c>
      <c r="T53" s="552"/>
      <c r="U53" s="554">
        <v>0</v>
      </c>
    </row>
    <row r="54" spans="1:21" ht="14.4" customHeight="1" x14ac:dyDescent="0.3">
      <c r="A54" s="547">
        <v>28</v>
      </c>
      <c r="B54" s="548" t="s">
        <v>490</v>
      </c>
      <c r="C54" s="548" t="s">
        <v>503</v>
      </c>
      <c r="D54" s="549" t="s">
        <v>689</v>
      </c>
      <c r="E54" s="550" t="s">
        <v>516</v>
      </c>
      <c r="F54" s="548" t="s">
        <v>502</v>
      </c>
      <c r="G54" s="548" t="s">
        <v>632</v>
      </c>
      <c r="H54" s="548" t="s">
        <v>435</v>
      </c>
      <c r="I54" s="548" t="s">
        <v>682</v>
      </c>
      <c r="J54" s="548" t="s">
        <v>683</v>
      </c>
      <c r="K54" s="548" t="s">
        <v>684</v>
      </c>
      <c r="L54" s="551">
        <v>99.11</v>
      </c>
      <c r="M54" s="551">
        <v>99.11</v>
      </c>
      <c r="N54" s="548">
        <v>1</v>
      </c>
      <c r="O54" s="552">
        <v>0.5</v>
      </c>
      <c r="P54" s="551">
        <v>99.11</v>
      </c>
      <c r="Q54" s="553">
        <v>1</v>
      </c>
      <c r="R54" s="548">
        <v>1</v>
      </c>
      <c r="S54" s="553">
        <v>1</v>
      </c>
      <c r="T54" s="552">
        <v>0.5</v>
      </c>
      <c r="U54" s="554">
        <v>1</v>
      </c>
    </row>
    <row r="55" spans="1:21" ht="14.4" customHeight="1" thickBot="1" x14ac:dyDescent="0.35">
      <c r="A55" s="555">
        <v>28</v>
      </c>
      <c r="B55" s="556" t="s">
        <v>490</v>
      </c>
      <c r="C55" s="556" t="s">
        <v>503</v>
      </c>
      <c r="D55" s="557" t="s">
        <v>689</v>
      </c>
      <c r="E55" s="558" t="s">
        <v>516</v>
      </c>
      <c r="F55" s="556" t="s">
        <v>502</v>
      </c>
      <c r="G55" s="556" t="s">
        <v>685</v>
      </c>
      <c r="H55" s="556" t="s">
        <v>435</v>
      </c>
      <c r="I55" s="556" t="s">
        <v>686</v>
      </c>
      <c r="J55" s="556" t="s">
        <v>687</v>
      </c>
      <c r="K55" s="556" t="s">
        <v>688</v>
      </c>
      <c r="L55" s="559">
        <v>751.47</v>
      </c>
      <c r="M55" s="559">
        <v>751.47</v>
      </c>
      <c r="N55" s="556">
        <v>1</v>
      </c>
      <c r="O55" s="560">
        <v>0.5</v>
      </c>
      <c r="P55" s="559">
        <v>751.47</v>
      </c>
      <c r="Q55" s="561">
        <v>1</v>
      </c>
      <c r="R55" s="556">
        <v>1</v>
      </c>
      <c r="S55" s="561">
        <v>1</v>
      </c>
      <c r="T55" s="560">
        <v>0.5</v>
      </c>
      <c r="U55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692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3" t="s">
        <v>166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72" t="s">
        <v>514</v>
      </c>
      <c r="B5" s="116"/>
      <c r="C5" s="546">
        <v>0</v>
      </c>
      <c r="D5" s="116">
        <v>423.24</v>
      </c>
      <c r="E5" s="546">
        <v>1</v>
      </c>
      <c r="F5" s="564">
        <v>423.24</v>
      </c>
    </row>
    <row r="6" spans="1:6" ht="14.4" customHeight="1" x14ac:dyDescent="0.3">
      <c r="A6" s="573" t="s">
        <v>511</v>
      </c>
      <c r="B6" s="565"/>
      <c r="C6" s="553">
        <v>0</v>
      </c>
      <c r="D6" s="565">
        <v>334.95</v>
      </c>
      <c r="E6" s="553">
        <v>1</v>
      </c>
      <c r="F6" s="566">
        <v>334.95</v>
      </c>
    </row>
    <row r="7" spans="1:6" ht="14.4" customHeight="1" x14ac:dyDescent="0.3">
      <c r="A7" s="573" t="s">
        <v>515</v>
      </c>
      <c r="B7" s="565"/>
      <c r="C7" s="553">
        <v>0</v>
      </c>
      <c r="D7" s="565">
        <v>328.48</v>
      </c>
      <c r="E7" s="553">
        <v>1</v>
      </c>
      <c r="F7" s="566">
        <v>328.48</v>
      </c>
    </row>
    <row r="8" spans="1:6" ht="14.4" customHeight="1" x14ac:dyDescent="0.3">
      <c r="A8" s="573" t="s">
        <v>512</v>
      </c>
      <c r="B8" s="565"/>
      <c r="C8" s="553">
        <v>0</v>
      </c>
      <c r="D8" s="565">
        <v>346.28</v>
      </c>
      <c r="E8" s="553">
        <v>1</v>
      </c>
      <c r="F8" s="566">
        <v>346.28</v>
      </c>
    </row>
    <row r="9" spans="1:6" ht="14.4" customHeight="1" thickBot="1" x14ac:dyDescent="0.35">
      <c r="A9" s="574" t="s">
        <v>510</v>
      </c>
      <c r="B9" s="569"/>
      <c r="C9" s="570">
        <v>0</v>
      </c>
      <c r="D9" s="569">
        <v>835.93</v>
      </c>
      <c r="E9" s="570">
        <v>1</v>
      </c>
      <c r="F9" s="571">
        <v>835.93</v>
      </c>
    </row>
    <row r="10" spans="1:6" ht="14.4" customHeight="1" thickBot="1" x14ac:dyDescent="0.35">
      <c r="A10" s="487" t="s">
        <v>3</v>
      </c>
      <c r="B10" s="488"/>
      <c r="C10" s="489">
        <v>0</v>
      </c>
      <c r="D10" s="488">
        <v>2268.88</v>
      </c>
      <c r="E10" s="489">
        <v>1</v>
      </c>
      <c r="F10" s="490">
        <v>2268.88</v>
      </c>
    </row>
    <row r="11" spans="1:6" ht="14.4" customHeight="1" thickBot="1" x14ac:dyDescent="0.35"/>
    <row r="12" spans="1:6" ht="14.4" customHeight="1" x14ac:dyDescent="0.3">
      <c r="A12" s="572" t="s">
        <v>693</v>
      </c>
      <c r="B12" s="116"/>
      <c r="C12" s="546">
        <v>0</v>
      </c>
      <c r="D12" s="116">
        <v>835.93</v>
      </c>
      <c r="E12" s="546">
        <v>1</v>
      </c>
      <c r="F12" s="564">
        <v>835.93</v>
      </c>
    </row>
    <row r="13" spans="1:6" ht="14.4" customHeight="1" x14ac:dyDescent="0.3">
      <c r="A13" s="573" t="s">
        <v>694</v>
      </c>
      <c r="B13" s="565"/>
      <c r="C13" s="553">
        <v>0</v>
      </c>
      <c r="D13" s="565">
        <v>191.25</v>
      </c>
      <c r="E13" s="553">
        <v>1</v>
      </c>
      <c r="F13" s="566">
        <v>191.25</v>
      </c>
    </row>
    <row r="14" spans="1:6" ht="14.4" customHeight="1" x14ac:dyDescent="0.3">
      <c r="A14" s="573" t="s">
        <v>695</v>
      </c>
      <c r="B14" s="565"/>
      <c r="C14" s="553">
        <v>0</v>
      </c>
      <c r="D14" s="565">
        <v>245.92</v>
      </c>
      <c r="E14" s="553">
        <v>1</v>
      </c>
      <c r="F14" s="566">
        <v>245.92</v>
      </c>
    </row>
    <row r="15" spans="1:6" ht="14.4" customHeight="1" x14ac:dyDescent="0.3">
      <c r="A15" s="573" t="s">
        <v>696</v>
      </c>
      <c r="B15" s="565"/>
      <c r="C15" s="553">
        <v>0</v>
      </c>
      <c r="D15" s="565">
        <v>423.24</v>
      </c>
      <c r="E15" s="553">
        <v>1</v>
      </c>
      <c r="F15" s="566">
        <v>423.24</v>
      </c>
    </row>
    <row r="16" spans="1:6" ht="14.4" customHeight="1" x14ac:dyDescent="0.3">
      <c r="A16" s="573" t="s">
        <v>697</v>
      </c>
      <c r="B16" s="565"/>
      <c r="C16" s="553">
        <v>0</v>
      </c>
      <c r="D16" s="565">
        <v>207.45</v>
      </c>
      <c r="E16" s="553">
        <v>1</v>
      </c>
      <c r="F16" s="566">
        <v>207.45</v>
      </c>
    </row>
    <row r="17" spans="1:6" ht="14.4" customHeight="1" x14ac:dyDescent="0.3">
      <c r="A17" s="573" t="s">
        <v>698</v>
      </c>
      <c r="B17" s="565"/>
      <c r="C17" s="553">
        <v>0</v>
      </c>
      <c r="D17" s="565">
        <v>346.28</v>
      </c>
      <c r="E17" s="553">
        <v>1</v>
      </c>
      <c r="F17" s="566">
        <v>346.28</v>
      </c>
    </row>
    <row r="18" spans="1:6" ht="14.4" customHeight="1" thickBot="1" x14ac:dyDescent="0.35">
      <c r="A18" s="574" t="s">
        <v>699</v>
      </c>
      <c r="B18" s="569"/>
      <c r="C18" s="570">
        <v>0</v>
      </c>
      <c r="D18" s="569">
        <v>18.809999999999999</v>
      </c>
      <c r="E18" s="570">
        <v>1</v>
      </c>
      <c r="F18" s="571">
        <v>18.809999999999999</v>
      </c>
    </row>
    <row r="19" spans="1:6" ht="14.4" customHeight="1" thickBot="1" x14ac:dyDescent="0.35">
      <c r="A19" s="487" t="s">
        <v>3</v>
      </c>
      <c r="B19" s="488"/>
      <c r="C19" s="489">
        <v>0</v>
      </c>
      <c r="D19" s="488">
        <v>2268.88</v>
      </c>
      <c r="E19" s="489">
        <v>1</v>
      </c>
      <c r="F19" s="490">
        <v>2268.88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{EC99EA0B-98CB-44CD-9E10-FC052D9AFA07}</x14:id>
        </ext>
      </extLst>
    </cfRule>
  </conditionalFormatting>
  <conditionalFormatting sqref="F12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{47A4A7D2-C583-4790-AB1C-7D916011B5CC}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99EA0B-98CB-44CD-9E10-FC052D9AFA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47A4A7D2-C583-4790-AB1C-7D916011B5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707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17</v>
      </c>
      <c r="J3" s="43">
        <f>SUBTOTAL(9,J6:J1048576)</f>
        <v>2268.8799999999997</v>
      </c>
      <c r="K3" s="44">
        <f>IF(M3=0,0,J3/M3)</f>
        <v>1</v>
      </c>
      <c r="L3" s="43">
        <f>SUBTOTAL(9,L6:L1048576)</f>
        <v>17</v>
      </c>
      <c r="M3" s="45">
        <f>SUBTOTAL(9,M6:M1048576)</f>
        <v>2268.8799999999997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40" t="s">
        <v>510</v>
      </c>
      <c r="B6" s="541" t="s">
        <v>700</v>
      </c>
      <c r="C6" s="541" t="s">
        <v>579</v>
      </c>
      <c r="D6" s="541" t="s">
        <v>580</v>
      </c>
      <c r="E6" s="541" t="s">
        <v>581</v>
      </c>
      <c r="F6" s="116"/>
      <c r="G6" s="116"/>
      <c r="H6" s="546">
        <v>0</v>
      </c>
      <c r="I6" s="116">
        <v>1</v>
      </c>
      <c r="J6" s="116">
        <v>835.93</v>
      </c>
      <c r="K6" s="546">
        <v>1</v>
      </c>
      <c r="L6" s="116">
        <v>1</v>
      </c>
      <c r="M6" s="564">
        <v>835.93</v>
      </c>
    </row>
    <row r="7" spans="1:13" ht="14.4" customHeight="1" x14ac:dyDescent="0.3">
      <c r="A7" s="547" t="s">
        <v>511</v>
      </c>
      <c r="B7" s="548" t="s">
        <v>701</v>
      </c>
      <c r="C7" s="548" t="s">
        <v>537</v>
      </c>
      <c r="D7" s="548" t="s">
        <v>538</v>
      </c>
      <c r="E7" s="548" t="s">
        <v>539</v>
      </c>
      <c r="F7" s="565"/>
      <c r="G7" s="565"/>
      <c r="H7" s="553">
        <v>0</v>
      </c>
      <c r="I7" s="565">
        <v>2</v>
      </c>
      <c r="J7" s="565">
        <v>127.5</v>
      </c>
      <c r="K7" s="553">
        <v>1</v>
      </c>
      <c r="L7" s="565">
        <v>2</v>
      </c>
      <c r="M7" s="566">
        <v>127.5</v>
      </c>
    </row>
    <row r="8" spans="1:13" ht="14.4" customHeight="1" x14ac:dyDescent="0.3">
      <c r="A8" s="547" t="s">
        <v>511</v>
      </c>
      <c r="B8" s="548" t="s">
        <v>702</v>
      </c>
      <c r="C8" s="548" t="s">
        <v>526</v>
      </c>
      <c r="D8" s="548" t="s">
        <v>527</v>
      </c>
      <c r="E8" s="548" t="s">
        <v>528</v>
      </c>
      <c r="F8" s="565"/>
      <c r="G8" s="565"/>
      <c r="H8" s="553">
        <v>0</v>
      </c>
      <c r="I8" s="565">
        <v>1</v>
      </c>
      <c r="J8" s="565">
        <v>207.45</v>
      </c>
      <c r="K8" s="553">
        <v>1</v>
      </c>
      <c r="L8" s="565">
        <v>1</v>
      </c>
      <c r="M8" s="566">
        <v>207.45</v>
      </c>
    </row>
    <row r="9" spans="1:13" ht="14.4" customHeight="1" x14ac:dyDescent="0.3">
      <c r="A9" s="547" t="s">
        <v>512</v>
      </c>
      <c r="B9" s="548" t="s">
        <v>703</v>
      </c>
      <c r="C9" s="548" t="s">
        <v>555</v>
      </c>
      <c r="D9" s="548" t="s">
        <v>556</v>
      </c>
      <c r="E9" s="548" t="s">
        <v>557</v>
      </c>
      <c r="F9" s="565"/>
      <c r="G9" s="565"/>
      <c r="H9" s="553">
        <v>0</v>
      </c>
      <c r="I9" s="565">
        <v>2</v>
      </c>
      <c r="J9" s="565">
        <v>346.28</v>
      </c>
      <c r="K9" s="553">
        <v>1</v>
      </c>
      <c r="L9" s="565">
        <v>2</v>
      </c>
      <c r="M9" s="566">
        <v>346.28</v>
      </c>
    </row>
    <row r="10" spans="1:13" ht="14.4" customHeight="1" x14ac:dyDescent="0.3">
      <c r="A10" s="547" t="s">
        <v>514</v>
      </c>
      <c r="B10" s="548" t="s">
        <v>704</v>
      </c>
      <c r="C10" s="548" t="s">
        <v>599</v>
      </c>
      <c r="D10" s="548" t="s">
        <v>600</v>
      </c>
      <c r="E10" s="548" t="s">
        <v>601</v>
      </c>
      <c r="F10" s="565"/>
      <c r="G10" s="565"/>
      <c r="H10" s="553">
        <v>0</v>
      </c>
      <c r="I10" s="565">
        <v>6</v>
      </c>
      <c r="J10" s="565">
        <v>423.24</v>
      </c>
      <c r="K10" s="553">
        <v>1</v>
      </c>
      <c r="L10" s="565">
        <v>6</v>
      </c>
      <c r="M10" s="566">
        <v>423.24</v>
      </c>
    </row>
    <row r="11" spans="1:13" ht="14.4" customHeight="1" x14ac:dyDescent="0.3">
      <c r="A11" s="547" t="s">
        <v>515</v>
      </c>
      <c r="B11" s="548" t="s">
        <v>705</v>
      </c>
      <c r="C11" s="548" t="s">
        <v>649</v>
      </c>
      <c r="D11" s="548" t="s">
        <v>650</v>
      </c>
      <c r="E11" s="548" t="s">
        <v>651</v>
      </c>
      <c r="F11" s="565"/>
      <c r="G11" s="565"/>
      <c r="H11" s="553">
        <v>0</v>
      </c>
      <c r="I11" s="565">
        <v>1</v>
      </c>
      <c r="J11" s="565">
        <v>14.11</v>
      </c>
      <c r="K11" s="553">
        <v>1</v>
      </c>
      <c r="L11" s="565">
        <v>1</v>
      </c>
      <c r="M11" s="566">
        <v>14.11</v>
      </c>
    </row>
    <row r="12" spans="1:13" ht="14.4" customHeight="1" x14ac:dyDescent="0.3">
      <c r="A12" s="547" t="s">
        <v>515</v>
      </c>
      <c r="B12" s="548" t="s">
        <v>705</v>
      </c>
      <c r="C12" s="548" t="s">
        <v>652</v>
      </c>
      <c r="D12" s="548" t="s">
        <v>653</v>
      </c>
      <c r="E12" s="548" t="s">
        <v>654</v>
      </c>
      <c r="F12" s="565"/>
      <c r="G12" s="565"/>
      <c r="H12" s="553">
        <v>0</v>
      </c>
      <c r="I12" s="565">
        <v>1</v>
      </c>
      <c r="J12" s="565">
        <v>4.7</v>
      </c>
      <c r="K12" s="553">
        <v>1</v>
      </c>
      <c r="L12" s="565">
        <v>1</v>
      </c>
      <c r="M12" s="566">
        <v>4.7</v>
      </c>
    </row>
    <row r="13" spans="1:13" ht="14.4" customHeight="1" x14ac:dyDescent="0.3">
      <c r="A13" s="547" t="s">
        <v>515</v>
      </c>
      <c r="B13" s="548" t="s">
        <v>706</v>
      </c>
      <c r="C13" s="548" t="s">
        <v>679</v>
      </c>
      <c r="D13" s="548" t="s">
        <v>680</v>
      </c>
      <c r="E13" s="548" t="s">
        <v>681</v>
      </c>
      <c r="F13" s="565"/>
      <c r="G13" s="565"/>
      <c r="H13" s="553">
        <v>0</v>
      </c>
      <c r="I13" s="565">
        <v>2</v>
      </c>
      <c r="J13" s="565">
        <v>245.92</v>
      </c>
      <c r="K13" s="553">
        <v>1</v>
      </c>
      <c r="L13" s="565">
        <v>2</v>
      </c>
      <c r="M13" s="566">
        <v>245.92</v>
      </c>
    </row>
    <row r="14" spans="1:13" ht="14.4" customHeight="1" thickBot="1" x14ac:dyDescent="0.35">
      <c r="A14" s="555" t="s">
        <v>515</v>
      </c>
      <c r="B14" s="556" t="s">
        <v>701</v>
      </c>
      <c r="C14" s="556" t="s">
        <v>537</v>
      </c>
      <c r="D14" s="556" t="s">
        <v>538</v>
      </c>
      <c r="E14" s="556" t="s">
        <v>539</v>
      </c>
      <c r="F14" s="567"/>
      <c r="G14" s="567"/>
      <c r="H14" s="561">
        <v>0</v>
      </c>
      <c r="I14" s="567">
        <v>1</v>
      </c>
      <c r="J14" s="567">
        <v>63.75</v>
      </c>
      <c r="K14" s="561">
        <v>1</v>
      </c>
      <c r="L14" s="567">
        <v>1</v>
      </c>
      <c r="M14" s="568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433</v>
      </c>
      <c r="B5" s="448" t="s">
        <v>434</v>
      </c>
      <c r="C5" s="449" t="s">
        <v>435</v>
      </c>
      <c r="D5" s="449" t="s">
        <v>435</v>
      </c>
      <c r="E5" s="449"/>
      <c r="F5" s="449" t="s">
        <v>435</v>
      </c>
      <c r="G5" s="449" t="s">
        <v>435</v>
      </c>
      <c r="H5" s="449" t="s">
        <v>435</v>
      </c>
      <c r="I5" s="450" t="s">
        <v>435</v>
      </c>
      <c r="J5" s="451" t="s">
        <v>69</v>
      </c>
    </row>
    <row r="6" spans="1:10" ht="14.4" customHeight="1" x14ac:dyDescent="0.3">
      <c r="A6" s="447" t="s">
        <v>433</v>
      </c>
      <c r="B6" s="448" t="s">
        <v>270</v>
      </c>
      <c r="C6" s="449">
        <v>1149.3444700000009</v>
      </c>
      <c r="D6" s="449">
        <v>1110.98856</v>
      </c>
      <c r="E6" s="449"/>
      <c r="F6" s="449">
        <v>2162.1661800000002</v>
      </c>
      <c r="G6" s="449">
        <v>2460.500222132674</v>
      </c>
      <c r="H6" s="449">
        <v>-298.33404213267386</v>
      </c>
      <c r="I6" s="450">
        <v>0.8787506542575767</v>
      </c>
      <c r="J6" s="451" t="s">
        <v>1</v>
      </c>
    </row>
    <row r="7" spans="1:10" ht="14.4" customHeight="1" x14ac:dyDescent="0.3">
      <c r="A7" s="447" t="s">
        <v>433</v>
      </c>
      <c r="B7" s="448" t="s">
        <v>271</v>
      </c>
      <c r="C7" s="449">
        <v>95.928759999999997</v>
      </c>
      <c r="D7" s="449">
        <v>180.46280999999999</v>
      </c>
      <c r="E7" s="449"/>
      <c r="F7" s="449">
        <v>88.033720000000002</v>
      </c>
      <c r="G7" s="449">
        <v>203.94002096240555</v>
      </c>
      <c r="H7" s="449">
        <v>-115.90630096240555</v>
      </c>
      <c r="I7" s="450">
        <v>0.43166475900396323</v>
      </c>
      <c r="J7" s="451" t="s">
        <v>1</v>
      </c>
    </row>
    <row r="8" spans="1:10" ht="14.4" customHeight="1" x14ac:dyDescent="0.3">
      <c r="A8" s="447" t="s">
        <v>433</v>
      </c>
      <c r="B8" s="448" t="s">
        <v>272</v>
      </c>
      <c r="C8" s="449">
        <v>8.2640399999999996</v>
      </c>
      <c r="D8" s="449">
        <v>4.89194</v>
      </c>
      <c r="E8" s="449"/>
      <c r="F8" s="449">
        <v>4.8610699999999998</v>
      </c>
      <c r="G8" s="449">
        <v>11.666667719926917</v>
      </c>
      <c r="H8" s="449">
        <v>-6.8055977199269169</v>
      </c>
      <c r="I8" s="450">
        <v>0.41666310524102684</v>
      </c>
      <c r="J8" s="451" t="s">
        <v>1</v>
      </c>
    </row>
    <row r="9" spans="1:10" ht="14.4" customHeight="1" x14ac:dyDescent="0.3">
      <c r="A9" s="447" t="s">
        <v>433</v>
      </c>
      <c r="B9" s="448" t="s">
        <v>273</v>
      </c>
      <c r="C9" s="449">
        <v>94.981439999999992</v>
      </c>
      <c r="D9" s="449">
        <v>60.683580000000006</v>
      </c>
      <c r="E9" s="449"/>
      <c r="F9" s="449">
        <v>59.120019999999997</v>
      </c>
      <c r="G9" s="449">
        <v>157.50001421901831</v>
      </c>
      <c r="H9" s="449">
        <v>-98.379994219018315</v>
      </c>
      <c r="I9" s="450">
        <v>0.37536517246143325</v>
      </c>
      <c r="J9" s="451" t="s">
        <v>1</v>
      </c>
    </row>
    <row r="10" spans="1:10" ht="14.4" customHeight="1" x14ac:dyDescent="0.3">
      <c r="A10" s="447" t="s">
        <v>433</v>
      </c>
      <c r="B10" s="448" t="s">
        <v>274</v>
      </c>
      <c r="C10" s="449">
        <v>8.1699999999999995E-2</v>
      </c>
      <c r="D10" s="449">
        <v>8.1600000000000006E-2</v>
      </c>
      <c r="E10" s="449"/>
      <c r="F10" s="449">
        <v>0</v>
      </c>
      <c r="G10" s="449">
        <v>4.760000429683333E-2</v>
      </c>
      <c r="H10" s="449">
        <v>-4.760000429683333E-2</v>
      </c>
      <c r="I10" s="450">
        <v>0</v>
      </c>
      <c r="J10" s="451" t="s">
        <v>1</v>
      </c>
    </row>
    <row r="11" spans="1:10" ht="14.4" customHeight="1" x14ac:dyDescent="0.3">
      <c r="A11" s="447" t="s">
        <v>433</v>
      </c>
      <c r="B11" s="448" t="s">
        <v>275</v>
      </c>
      <c r="C11" s="449">
        <v>4.1173200000000003</v>
      </c>
      <c r="D11" s="449">
        <v>2.0680000000000001</v>
      </c>
      <c r="E11" s="449"/>
      <c r="F11" s="449">
        <v>1.266</v>
      </c>
      <c r="G11" s="449">
        <v>4.0833337019743334</v>
      </c>
      <c r="H11" s="449">
        <v>-2.8173337019743334</v>
      </c>
      <c r="I11" s="450">
        <v>0.31004078833622539</v>
      </c>
      <c r="J11" s="451" t="s">
        <v>1</v>
      </c>
    </row>
    <row r="12" spans="1:10" ht="14.4" customHeight="1" x14ac:dyDescent="0.3">
      <c r="A12" s="447" t="s">
        <v>433</v>
      </c>
      <c r="B12" s="448" t="s">
        <v>276</v>
      </c>
      <c r="C12" s="449">
        <v>7.80044</v>
      </c>
      <c r="D12" s="449">
        <v>7.4594000000000005</v>
      </c>
      <c r="E12" s="449"/>
      <c r="F12" s="449">
        <v>8.5969999999999995</v>
      </c>
      <c r="G12" s="449">
        <v>9.3333341759408341</v>
      </c>
      <c r="H12" s="449">
        <v>-0.73633417594083461</v>
      </c>
      <c r="I12" s="450">
        <v>0.92110705970017304</v>
      </c>
      <c r="J12" s="451" t="s">
        <v>1</v>
      </c>
    </row>
    <row r="13" spans="1:10" ht="14.4" customHeight="1" x14ac:dyDescent="0.3">
      <c r="A13" s="447" t="s">
        <v>433</v>
      </c>
      <c r="B13" s="448" t="s">
        <v>436</v>
      </c>
      <c r="C13" s="449">
        <v>1360.518170000001</v>
      </c>
      <c r="D13" s="449">
        <v>1366.63589</v>
      </c>
      <c r="E13" s="449"/>
      <c r="F13" s="449">
        <v>2324.0439900000001</v>
      </c>
      <c r="G13" s="449">
        <v>2847.0711929162367</v>
      </c>
      <c r="H13" s="449">
        <v>-523.02720291623655</v>
      </c>
      <c r="I13" s="450">
        <v>0.81629289628669133</v>
      </c>
      <c r="J13" s="451" t="s">
        <v>437</v>
      </c>
    </row>
    <row r="15" spans="1:10" ht="14.4" customHeight="1" x14ac:dyDescent="0.3">
      <c r="A15" s="447" t="s">
        <v>433</v>
      </c>
      <c r="B15" s="448" t="s">
        <v>434</v>
      </c>
      <c r="C15" s="449" t="s">
        <v>435</v>
      </c>
      <c r="D15" s="449" t="s">
        <v>435</v>
      </c>
      <c r="E15" s="449"/>
      <c r="F15" s="449" t="s">
        <v>435</v>
      </c>
      <c r="G15" s="449" t="s">
        <v>435</v>
      </c>
      <c r="H15" s="449" t="s">
        <v>435</v>
      </c>
      <c r="I15" s="450" t="s">
        <v>435</v>
      </c>
      <c r="J15" s="451" t="s">
        <v>69</v>
      </c>
    </row>
    <row r="16" spans="1:10" ht="14.4" customHeight="1" x14ac:dyDescent="0.3">
      <c r="A16" s="447" t="s">
        <v>438</v>
      </c>
      <c r="B16" s="448" t="s">
        <v>439</v>
      </c>
      <c r="C16" s="449" t="s">
        <v>435</v>
      </c>
      <c r="D16" s="449" t="s">
        <v>435</v>
      </c>
      <c r="E16" s="449"/>
      <c r="F16" s="449" t="s">
        <v>435</v>
      </c>
      <c r="G16" s="449" t="s">
        <v>435</v>
      </c>
      <c r="H16" s="449" t="s">
        <v>435</v>
      </c>
      <c r="I16" s="450" t="s">
        <v>435</v>
      </c>
      <c r="J16" s="451" t="s">
        <v>0</v>
      </c>
    </row>
    <row r="17" spans="1:10" ht="14.4" customHeight="1" x14ac:dyDescent="0.3">
      <c r="A17" s="447" t="s">
        <v>438</v>
      </c>
      <c r="B17" s="448" t="s">
        <v>270</v>
      </c>
      <c r="C17" s="449">
        <v>0</v>
      </c>
      <c r="D17" s="449" t="s">
        <v>435</v>
      </c>
      <c r="E17" s="449"/>
      <c r="F17" s="449" t="s">
        <v>435</v>
      </c>
      <c r="G17" s="449" t="s">
        <v>435</v>
      </c>
      <c r="H17" s="449" t="s">
        <v>435</v>
      </c>
      <c r="I17" s="450" t="s">
        <v>435</v>
      </c>
      <c r="J17" s="451" t="s">
        <v>1</v>
      </c>
    </row>
    <row r="18" spans="1:10" ht="14.4" customHeight="1" x14ac:dyDescent="0.3">
      <c r="A18" s="447" t="s">
        <v>438</v>
      </c>
      <c r="B18" s="448" t="s">
        <v>271</v>
      </c>
      <c r="C18" s="449" t="s">
        <v>435</v>
      </c>
      <c r="D18" s="449">
        <v>7.8891999999999998</v>
      </c>
      <c r="E18" s="449"/>
      <c r="F18" s="449">
        <v>0</v>
      </c>
      <c r="G18" s="449">
        <v>4.501874249744084</v>
      </c>
      <c r="H18" s="449">
        <v>-4.501874249744084</v>
      </c>
      <c r="I18" s="450">
        <v>0</v>
      </c>
      <c r="J18" s="451" t="s">
        <v>1</v>
      </c>
    </row>
    <row r="19" spans="1:10" ht="14.4" customHeight="1" x14ac:dyDescent="0.3">
      <c r="A19" s="447" t="s">
        <v>438</v>
      </c>
      <c r="B19" s="448" t="s">
        <v>272</v>
      </c>
      <c r="C19" s="449">
        <v>6.1985199999999994</v>
      </c>
      <c r="D19" s="449">
        <v>2.6482600000000001</v>
      </c>
      <c r="E19" s="449"/>
      <c r="F19" s="449">
        <v>1.9859299999999998</v>
      </c>
      <c r="G19" s="449">
        <v>5.5134673403810002</v>
      </c>
      <c r="H19" s="449">
        <v>-3.5275373403810004</v>
      </c>
      <c r="I19" s="450">
        <v>0.36019620275156378</v>
      </c>
      <c r="J19" s="451" t="s">
        <v>1</v>
      </c>
    </row>
    <row r="20" spans="1:10" ht="14.4" customHeight="1" x14ac:dyDescent="0.3">
      <c r="A20" s="447" t="s">
        <v>438</v>
      </c>
      <c r="B20" s="448" t="s">
        <v>273</v>
      </c>
      <c r="C20" s="449">
        <v>11.69008</v>
      </c>
      <c r="D20" s="449">
        <v>4.4586600000000001</v>
      </c>
      <c r="E20" s="449"/>
      <c r="F20" s="449">
        <v>6.7949099999999998</v>
      </c>
      <c r="G20" s="449">
        <v>10.953062253226916</v>
      </c>
      <c r="H20" s="449">
        <v>-4.1581522532269162</v>
      </c>
      <c r="I20" s="450">
        <v>0.62036623575275762</v>
      </c>
      <c r="J20" s="451" t="s">
        <v>1</v>
      </c>
    </row>
    <row r="21" spans="1:10" ht="14.4" customHeight="1" x14ac:dyDescent="0.3">
      <c r="A21" s="447" t="s">
        <v>438</v>
      </c>
      <c r="B21" s="448" t="s">
        <v>274</v>
      </c>
      <c r="C21" s="449">
        <v>8.1699999999999995E-2</v>
      </c>
      <c r="D21" s="449">
        <v>8.1600000000000006E-2</v>
      </c>
      <c r="E21" s="449"/>
      <c r="F21" s="449">
        <v>0</v>
      </c>
      <c r="G21" s="449">
        <v>4.760000429683333E-2</v>
      </c>
      <c r="H21" s="449">
        <v>-4.760000429683333E-2</v>
      </c>
      <c r="I21" s="450">
        <v>0</v>
      </c>
      <c r="J21" s="451" t="s">
        <v>1</v>
      </c>
    </row>
    <row r="22" spans="1:10" ht="14.4" customHeight="1" x14ac:dyDescent="0.3">
      <c r="A22" s="447" t="s">
        <v>438</v>
      </c>
      <c r="B22" s="448" t="s">
        <v>275</v>
      </c>
      <c r="C22" s="449">
        <v>3.7523200000000001</v>
      </c>
      <c r="D22" s="449">
        <v>1.792</v>
      </c>
      <c r="E22" s="449"/>
      <c r="F22" s="449">
        <v>0.93300000000000005</v>
      </c>
      <c r="G22" s="449">
        <v>3.5369453674350835</v>
      </c>
      <c r="H22" s="449">
        <v>-2.6039453674350836</v>
      </c>
      <c r="I22" s="450">
        <v>0.26378694129408947</v>
      </c>
      <c r="J22" s="451" t="s">
        <v>1</v>
      </c>
    </row>
    <row r="23" spans="1:10" ht="14.4" customHeight="1" x14ac:dyDescent="0.3">
      <c r="A23" s="447" t="s">
        <v>438</v>
      </c>
      <c r="B23" s="448" t="s">
        <v>276</v>
      </c>
      <c r="C23" s="449">
        <v>3.0026000000000002</v>
      </c>
      <c r="D23" s="449">
        <v>2.7633999999999999</v>
      </c>
      <c r="E23" s="449"/>
      <c r="F23" s="449">
        <v>2.698</v>
      </c>
      <c r="G23" s="449">
        <v>3.4383996598484168</v>
      </c>
      <c r="H23" s="449">
        <v>-0.74039965984841682</v>
      </c>
      <c r="I23" s="450">
        <v>0.7846673647352973</v>
      </c>
      <c r="J23" s="451" t="s">
        <v>1</v>
      </c>
    </row>
    <row r="24" spans="1:10" ht="14.4" customHeight="1" x14ac:dyDescent="0.3">
      <c r="A24" s="447" t="s">
        <v>438</v>
      </c>
      <c r="B24" s="448" t="s">
        <v>440</v>
      </c>
      <c r="C24" s="449">
        <v>24.725220000000004</v>
      </c>
      <c r="D24" s="449">
        <v>19.633120000000002</v>
      </c>
      <c r="E24" s="449"/>
      <c r="F24" s="449">
        <v>12.41184</v>
      </c>
      <c r="G24" s="449">
        <v>27.991348874932335</v>
      </c>
      <c r="H24" s="449">
        <v>-15.579508874932335</v>
      </c>
      <c r="I24" s="450">
        <v>0.44341700199790762</v>
      </c>
      <c r="J24" s="451" t="s">
        <v>441</v>
      </c>
    </row>
    <row r="25" spans="1:10" ht="14.4" customHeight="1" x14ac:dyDescent="0.3">
      <c r="A25" s="447" t="s">
        <v>435</v>
      </c>
      <c r="B25" s="448" t="s">
        <v>435</v>
      </c>
      <c r="C25" s="449" t="s">
        <v>435</v>
      </c>
      <c r="D25" s="449" t="s">
        <v>435</v>
      </c>
      <c r="E25" s="449"/>
      <c r="F25" s="449" t="s">
        <v>435</v>
      </c>
      <c r="G25" s="449" t="s">
        <v>435</v>
      </c>
      <c r="H25" s="449" t="s">
        <v>435</v>
      </c>
      <c r="I25" s="450" t="s">
        <v>435</v>
      </c>
      <c r="J25" s="451" t="s">
        <v>442</v>
      </c>
    </row>
    <row r="26" spans="1:10" ht="14.4" customHeight="1" x14ac:dyDescent="0.3">
      <c r="A26" s="447" t="s">
        <v>443</v>
      </c>
      <c r="B26" s="448" t="s">
        <v>444</v>
      </c>
      <c r="C26" s="449" t="s">
        <v>435</v>
      </c>
      <c r="D26" s="449" t="s">
        <v>435</v>
      </c>
      <c r="E26" s="449"/>
      <c r="F26" s="449" t="s">
        <v>435</v>
      </c>
      <c r="G26" s="449" t="s">
        <v>435</v>
      </c>
      <c r="H26" s="449" t="s">
        <v>435</v>
      </c>
      <c r="I26" s="450" t="s">
        <v>435</v>
      </c>
      <c r="J26" s="451" t="s">
        <v>0</v>
      </c>
    </row>
    <row r="27" spans="1:10" ht="14.4" customHeight="1" x14ac:dyDescent="0.3">
      <c r="A27" s="447" t="s">
        <v>443</v>
      </c>
      <c r="B27" s="448" t="s">
        <v>270</v>
      </c>
      <c r="C27" s="449">
        <v>1149.3444700000009</v>
      </c>
      <c r="D27" s="449">
        <v>1110.98856</v>
      </c>
      <c r="E27" s="449"/>
      <c r="F27" s="449">
        <v>2162.1661800000002</v>
      </c>
      <c r="G27" s="449">
        <v>2460.500222132674</v>
      </c>
      <c r="H27" s="449">
        <v>-298.33404213267386</v>
      </c>
      <c r="I27" s="450">
        <v>0.8787506542575767</v>
      </c>
      <c r="J27" s="451" t="s">
        <v>1</v>
      </c>
    </row>
    <row r="28" spans="1:10" ht="14.4" customHeight="1" x14ac:dyDescent="0.3">
      <c r="A28" s="447" t="s">
        <v>443</v>
      </c>
      <c r="B28" s="448" t="s">
        <v>271</v>
      </c>
      <c r="C28" s="449">
        <v>95.928759999999997</v>
      </c>
      <c r="D28" s="449">
        <v>172.57361</v>
      </c>
      <c r="E28" s="449"/>
      <c r="F28" s="449">
        <v>88.033720000000002</v>
      </c>
      <c r="G28" s="449">
        <v>199.43814671266148</v>
      </c>
      <c r="H28" s="449">
        <v>-111.40442671266148</v>
      </c>
      <c r="I28" s="450">
        <v>0.44140863446165945</v>
      </c>
      <c r="J28" s="451" t="s">
        <v>1</v>
      </c>
    </row>
    <row r="29" spans="1:10" ht="14.4" customHeight="1" x14ac:dyDescent="0.3">
      <c r="A29" s="447" t="s">
        <v>443</v>
      </c>
      <c r="B29" s="448" t="s">
        <v>272</v>
      </c>
      <c r="C29" s="449">
        <v>2.0655199999999998</v>
      </c>
      <c r="D29" s="449">
        <v>2.2436800000000003</v>
      </c>
      <c r="E29" s="449"/>
      <c r="F29" s="449">
        <v>2.87514</v>
      </c>
      <c r="G29" s="449">
        <v>6.1532003795459165</v>
      </c>
      <c r="H29" s="449">
        <v>-3.2780603795459164</v>
      </c>
      <c r="I29" s="450">
        <v>0.46725928340597528</v>
      </c>
      <c r="J29" s="451" t="s">
        <v>1</v>
      </c>
    </row>
    <row r="30" spans="1:10" ht="14.4" customHeight="1" x14ac:dyDescent="0.3">
      <c r="A30" s="447" t="s">
        <v>443</v>
      </c>
      <c r="B30" s="448" t="s">
        <v>273</v>
      </c>
      <c r="C30" s="449">
        <v>83.291359999999997</v>
      </c>
      <c r="D30" s="449">
        <v>56.224920000000004</v>
      </c>
      <c r="E30" s="449"/>
      <c r="F30" s="449">
        <v>52.325109999999995</v>
      </c>
      <c r="G30" s="449">
        <v>146.54695196579141</v>
      </c>
      <c r="H30" s="449">
        <v>-94.221841965791413</v>
      </c>
      <c r="I30" s="450">
        <v>0.35705355381403153</v>
      </c>
      <c r="J30" s="451" t="s">
        <v>1</v>
      </c>
    </row>
    <row r="31" spans="1:10" ht="14.4" customHeight="1" x14ac:dyDescent="0.3">
      <c r="A31" s="447" t="s">
        <v>443</v>
      </c>
      <c r="B31" s="448" t="s">
        <v>275</v>
      </c>
      <c r="C31" s="449">
        <v>0.36499999999999999</v>
      </c>
      <c r="D31" s="449">
        <v>0.27600000000000002</v>
      </c>
      <c r="E31" s="449"/>
      <c r="F31" s="449">
        <v>0.33300000000000002</v>
      </c>
      <c r="G31" s="449">
        <v>0.54638833453924995</v>
      </c>
      <c r="H31" s="449">
        <v>-0.21338833453924994</v>
      </c>
      <c r="I31" s="450">
        <v>0.60945664273891786</v>
      </c>
      <c r="J31" s="451" t="s">
        <v>1</v>
      </c>
    </row>
    <row r="32" spans="1:10" ht="14.4" customHeight="1" x14ac:dyDescent="0.3">
      <c r="A32" s="447" t="s">
        <v>443</v>
      </c>
      <c r="B32" s="448" t="s">
        <v>276</v>
      </c>
      <c r="C32" s="449">
        <v>4.7978399999999999</v>
      </c>
      <c r="D32" s="449">
        <v>4.6960000000000006</v>
      </c>
      <c r="E32" s="449"/>
      <c r="F32" s="449">
        <v>5.8989999999999991</v>
      </c>
      <c r="G32" s="449">
        <v>5.8949345160924169</v>
      </c>
      <c r="H32" s="449">
        <v>4.0654839075822125E-3</v>
      </c>
      <c r="I32" s="450">
        <v>1.0006896571788004</v>
      </c>
      <c r="J32" s="451" t="s">
        <v>1</v>
      </c>
    </row>
    <row r="33" spans="1:10" ht="14.4" customHeight="1" x14ac:dyDescent="0.3">
      <c r="A33" s="447" t="s">
        <v>443</v>
      </c>
      <c r="B33" s="448" t="s">
        <v>445</v>
      </c>
      <c r="C33" s="449">
        <v>1335.7929500000009</v>
      </c>
      <c r="D33" s="449">
        <v>1347.0027700000001</v>
      </c>
      <c r="E33" s="449"/>
      <c r="F33" s="449">
        <v>2311.6321500000004</v>
      </c>
      <c r="G33" s="449">
        <v>2819.0798440413041</v>
      </c>
      <c r="H33" s="449">
        <v>-507.44769404130375</v>
      </c>
      <c r="I33" s="450">
        <v>0.81999527430416796</v>
      </c>
      <c r="J33" s="451" t="s">
        <v>441</v>
      </c>
    </row>
    <row r="34" spans="1:10" ht="14.4" customHeight="1" x14ac:dyDescent="0.3">
      <c r="A34" s="447" t="s">
        <v>435</v>
      </c>
      <c r="B34" s="448" t="s">
        <v>435</v>
      </c>
      <c r="C34" s="449" t="s">
        <v>435</v>
      </c>
      <c r="D34" s="449" t="s">
        <v>435</v>
      </c>
      <c r="E34" s="449"/>
      <c r="F34" s="449" t="s">
        <v>435</v>
      </c>
      <c r="G34" s="449" t="s">
        <v>435</v>
      </c>
      <c r="H34" s="449" t="s">
        <v>435</v>
      </c>
      <c r="I34" s="450" t="s">
        <v>435</v>
      </c>
      <c r="J34" s="451" t="s">
        <v>442</v>
      </c>
    </row>
    <row r="35" spans="1:10" ht="14.4" customHeight="1" x14ac:dyDescent="0.3">
      <c r="A35" s="447" t="s">
        <v>433</v>
      </c>
      <c r="B35" s="448" t="s">
        <v>436</v>
      </c>
      <c r="C35" s="449">
        <v>1360.518170000001</v>
      </c>
      <c r="D35" s="449">
        <v>1366.63589</v>
      </c>
      <c r="E35" s="449"/>
      <c r="F35" s="449">
        <v>2324.0439900000001</v>
      </c>
      <c r="G35" s="449">
        <v>2847.0711929162367</v>
      </c>
      <c r="H35" s="449">
        <v>-523.02720291623655</v>
      </c>
      <c r="I35" s="450">
        <v>0.81629289628669133</v>
      </c>
      <c r="J35" s="451" t="s">
        <v>437</v>
      </c>
    </row>
  </sheetData>
  <mergeCells count="3">
    <mergeCell ref="A1:I1"/>
    <mergeCell ref="F3:I3"/>
    <mergeCell ref="C4:D4"/>
  </mergeCells>
  <conditionalFormatting sqref="F14 F36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5">
    <cfRule type="expression" dxfId="15" priority="5">
      <formula>$H15&gt;0</formula>
    </cfRule>
  </conditionalFormatting>
  <conditionalFormatting sqref="A15:A35">
    <cfRule type="expression" dxfId="14" priority="2">
      <formula>AND($J15&lt;&gt;"mezeraKL",$J15&lt;&gt;"")</formula>
    </cfRule>
  </conditionalFormatting>
  <conditionalFormatting sqref="I15:I35">
    <cfRule type="expression" dxfId="13" priority="6">
      <formula>$I15&gt;1</formula>
    </cfRule>
  </conditionalFormatting>
  <conditionalFormatting sqref="B15:B35">
    <cfRule type="expression" dxfId="12" priority="1">
      <formula>OR($J15="NS",$J15="SumaNS",$J15="Účet")</formula>
    </cfRule>
  </conditionalFormatting>
  <conditionalFormatting sqref="A15:D35 F15:I35">
    <cfRule type="expression" dxfId="11" priority="8">
      <formula>AND($J15&lt;&gt;"",$J15&lt;&gt;"mezeraKL")</formula>
    </cfRule>
  </conditionalFormatting>
  <conditionalFormatting sqref="B15:D35 F15:I35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1028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26.053333283268945</v>
      </c>
      <c r="J3" s="98">
        <f>SUBTOTAL(9,J5:J1048576)</f>
        <v>89734</v>
      </c>
      <c r="K3" s="99">
        <f>SUBTOTAL(9,K5:K1048576)</f>
        <v>2337869.8088408555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40" t="s">
        <v>433</v>
      </c>
      <c r="B5" s="541" t="s">
        <v>490</v>
      </c>
      <c r="C5" s="544" t="s">
        <v>438</v>
      </c>
      <c r="D5" s="578" t="s">
        <v>491</v>
      </c>
      <c r="E5" s="544" t="s">
        <v>1016</v>
      </c>
      <c r="F5" s="578" t="s">
        <v>1017</v>
      </c>
      <c r="G5" s="544" t="s">
        <v>708</v>
      </c>
      <c r="H5" s="544" t="s">
        <v>709</v>
      </c>
      <c r="I5" s="116">
        <v>0.63</v>
      </c>
      <c r="J5" s="116">
        <v>500</v>
      </c>
      <c r="K5" s="564">
        <v>315</v>
      </c>
    </row>
    <row r="6" spans="1:11" ht="14.4" customHeight="1" x14ac:dyDescent="0.3">
      <c r="A6" s="547" t="s">
        <v>433</v>
      </c>
      <c r="B6" s="548" t="s">
        <v>490</v>
      </c>
      <c r="C6" s="551" t="s">
        <v>438</v>
      </c>
      <c r="D6" s="579" t="s">
        <v>491</v>
      </c>
      <c r="E6" s="551" t="s">
        <v>1016</v>
      </c>
      <c r="F6" s="579" t="s">
        <v>1017</v>
      </c>
      <c r="G6" s="551" t="s">
        <v>710</v>
      </c>
      <c r="H6" s="551" t="s">
        <v>711</v>
      </c>
      <c r="I6" s="565">
        <v>28.733999999999998</v>
      </c>
      <c r="J6" s="565">
        <v>50</v>
      </c>
      <c r="K6" s="566">
        <v>1436.7</v>
      </c>
    </row>
    <row r="7" spans="1:11" ht="14.4" customHeight="1" x14ac:dyDescent="0.3">
      <c r="A7" s="547" t="s">
        <v>433</v>
      </c>
      <c r="B7" s="548" t="s">
        <v>490</v>
      </c>
      <c r="C7" s="551" t="s">
        <v>438</v>
      </c>
      <c r="D7" s="579" t="s">
        <v>491</v>
      </c>
      <c r="E7" s="551" t="s">
        <v>1016</v>
      </c>
      <c r="F7" s="579" t="s">
        <v>1017</v>
      </c>
      <c r="G7" s="551" t="s">
        <v>712</v>
      </c>
      <c r="H7" s="551" t="s">
        <v>713</v>
      </c>
      <c r="I7" s="565">
        <v>0.67</v>
      </c>
      <c r="J7" s="565">
        <v>100</v>
      </c>
      <c r="K7" s="566">
        <v>67</v>
      </c>
    </row>
    <row r="8" spans="1:11" ht="14.4" customHeight="1" x14ac:dyDescent="0.3">
      <c r="A8" s="547" t="s">
        <v>433</v>
      </c>
      <c r="B8" s="548" t="s">
        <v>490</v>
      </c>
      <c r="C8" s="551" t="s">
        <v>438</v>
      </c>
      <c r="D8" s="579" t="s">
        <v>491</v>
      </c>
      <c r="E8" s="551" t="s">
        <v>1016</v>
      </c>
      <c r="F8" s="579" t="s">
        <v>1017</v>
      </c>
      <c r="G8" s="551" t="s">
        <v>714</v>
      </c>
      <c r="H8" s="551" t="s">
        <v>715</v>
      </c>
      <c r="I8" s="565">
        <v>27.872000000000003</v>
      </c>
      <c r="J8" s="565">
        <v>6</v>
      </c>
      <c r="K8" s="566">
        <v>167.23</v>
      </c>
    </row>
    <row r="9" spans="1:11" ht="14.4" customHeight="1" x14ac:dyDescent="0.3">
      <c r="A9" s="547" t="s">
        <v>433</v>
      </c>
      <c r="B9" s="548" t="s">
        <v>490</v>
      </c>
      <c r="C9" s="551" t="s">
        <v>438</v>
      </c>
      <c r="D9" s="579" t="s">
        <v>491</v>
      </c>
      <c r="E9" s="551" t="s">
        <v>1018</v>
      </c>
      <c r="F9" s="579" t="s">
        <v>1019</v>
      </c>
      <c r="G9" s="551" t="s">
        <v>716</v>
      </c>
      <c r="H9" s="551" t="s">
        <v>717</v>
      </c>
      <c r="I9" s="565">
        <v>15.29</v>
      </c>
      <c r="J9" s="565">
        <v>5</v>
      </c>
      <c r="K9" s="566">
        <v>76.45</v>
      </c>
    </row>
    <row r="10" spans="1:11" ht="14.4" customHeight="1" x14ac:dyDescent="0.3">
      <c r="A10" s="547" t="s">
        <v>433</v>
      </c>
      <c r="B10" s="548" t="s">
        <v>490</v>
      </c>
      <c r="C10" s="551" t="s">
        <v>438</v>
      </c>
      <c r="D10" s="579" t="s">
        <v>491</v>
      </c>
      <c r="E10" s="551" t="s">
        <v>1018</v>
      </c>
      <c r="F10" s="579" t="s">
        <v>1019</v>
      </c>
      <c r="G10" s="551" t="s">
        <v>718</v>
      </c>
      <c r="H10" s="551" t="s">
        <v>719</v>
      </c>
      <c r="I10" s="565">
        <v>11.06</v>
      </c>
      <c r="J10" s="565">
        <v>30</v>
      </c>
      <c r="K10" s="566">
        <v>331.78</v>
      </c>
    </row>
    <row r="11" spans="1:11" ht="14.4" customHeight="1" x14ac:dyDescent="0.3">
      <c r="A11" s="547" t="s">
        <v>433</v>
      </c>
      <c r="B11" s="548" t="s">
        <v>490</v>
      </c>
      <c r="C11" s="551" t="s">
        <v>438</v>
      </c>
      <c r="D11" s="579" t="s">
        <v>491</v>
      </c>
      <c r="E11" s="551" t="s">
        <v>1018</v>
      </c>
      <c r="F11" s="579" t="s">
        <v>1019</v>
      </c>
      <c r="G11" s="551" t="s">
        <v>720</v>
      </c>
      <c r="H11" s="551" t="s">
        <v>721</v>
      </c>
      <c r="I11" s="565">
        <v>2.38</v>
      </c>
      <c r="J11" s="565">
        <v>10</v>
      </c>
      <c r="K11" s="566">
        <v>23.8</v>
      </c>
    </row>
    <row r="12" spans="1:11" ht="14.4" customHeight="1" x14ac:dyDescent="0.3">
      <c r="A12" s="547" t="s">
        <v>433</v>
      </c>
      <c r="B12" s="548" t="s">
        <v>490</v>
      </c>
      <c r="C12" s="551" t="s">
        <v>438</v>
      </c>
      <c r="D12" s="579" t="s">
        <v>491</v>
      </c>
      <c r="E12" s="551" t="s">
        <v>1018</v>
      </c>
      <c r="F12" s="579" t="s">
        <v>1019</v>
      </c>
      <c r="G12" s="551" t="s">
        <v>722</v>
      </c>
      <c r="H12" s="551" t="s">
        <v>723</v>
      </c>
      <c r="I12" s="565">
        <v>1.9849999999999999</v>
      </c>
      <c r="J12" s="565">
        <v>35</v>
      </c>
      <c r="K12" s="566">
        <v>69.5</v>
      </c>
    </row>
    <row r="13" spans="1:11" ht="14.4" customHeight="1" x14ac:dyDescent="0.3">
      <c r="A13" s="547" t="s">
        <v>433</v>
      </c>
      <c r="B13" s="548" t="s">
        <v>490</v>
      </c>
      <c r="C13" s="551" t="s">
        <v>438</v>
      </c>
      <c r="D13" s="579" t="s">
        <v>491</v>
      </c>
      <c r="E13" s="551" t="s">
        <v>1018</v>
      </c>
      <c r="F13" s="579" t="s">
        <v>1019</v>
      </c>
      <c r="G13" s="551" t="s">
        <v>724</v>
      </c>
      <c r="H13" s="551" t="s">
        <v>725</v>
      </c>
      <c r="I13" s="565">
        <v>2.0314285714285711</v>
      </c>
      <c r="J13" s="565">
        <v>950</v>
      </c>
      <c r="K13" s="566">
        <v>1929.5</v>
      </c>
    </row>
    <row r="14" spans="1:11" ht="14.4" customHeight="1" x14ac:dyDescent="0.3">
      <c r="A14" s="547" t="s">
        <v>433</v>
      </c>
      <c r="B14" s="548" t="s">
        <v>490</v>
      </c>
      <c r="C14" s="551" t="s">
        <v>438</v>
      </c>
      <c r="D14" s="579" t="s">
        <v>491</v>
      </c>
      <c r="E14" s="551" t="s">
        <v>1018</v>
      </c>
      <c r="F14" s="579" t="s">
        <v>1019</v>
      </c>
      <c r="G14" s="551" t="s">
        <v>726</v>
      </c>
      <c r="H14" s="551" t="s">
        <v>727</v>
      </c>
      <c r="I14" s="565">
        <v>3.1</v>
      </c>
      <c r="J14" s="565">
        <v>50</v>
      </c>
      <c r="K14" s="566">
        <v>155</v>
      </c>
    </row>
    <row r="15" spans="1:11" ht="14.4" customHeight="1" x14ac:dyDescent="0.3">
      <c r="A15" s="547" t="s">
        <v>433</v>
      </c>
      <c r="B15" s="548" t="s">
        <v>490</v>
      </c>
      <c r="C15" s="551" t="s">
        <v>438</v>
      </c>
      <c r="D15" s="579" t="s">
        <v>491</v>
      </c>
      <c r="E15" s="551" t="s">
        <v>1018</v>
      </c>
      <c r="F15" s="579" t="s">
        <v>1019</v>
      </c>
      <c r="G15" s="551" t="s">
        <v>728</v>
      </c>
      <c r="H15" s="551" t="s">
        <v>729</v>
      </c>
      <c r="I15" s="565">
        <v>1.92</v>
      </c>
      <c r="J15" s="565">
        <v>20</v>
      </c>
      <c r="K15" s="566">
        <v>38.4</v>
      </c>
    </row>
    <row r="16" spans="1:11" ht="14.4" customHeight="1" x14ac:dyDescent="0.3">
      <c r="A16" s="547" t="s">
        <v>433</v>
      </c>
      <c r="B16" s="548" t="s">
        <v>490</v>
      </c>
      <c r="C16" s="551" t="s">
        <v>438</v>
      </c>
      <c r="D16" s="579" t="s">
        <v>491</v>
      </c>
      <c r="E16" s="551" t="s">
        <v>1018</v>
      </c>
      <c r="F16" s="579" t="s">
        <v>1019</v>
      </c>
      <c r="G16" s="551" t="s">
        <v>730</v>
      </c>
      <c r="H16" s="551" t="s">
        <v>731</v>
      </c>
      <c r="I16" s="565">
        <v>1.92</v>
      </c>
      <c r="J16" s="565">
        <v>70</v>
      </c>
      <c r="K16" s="566">
        <v>134.4</v>
      </c>
    </row>
    <row r="17" spans="1:11" ht="14.4" customHeight="1" x14ac:dyDescent="0.3">
      <c r="A17" s="547" t="s">
        <v>433</v>
      </c>
      <c r="B17" s="548" t="s">
        <v>490</v>
      </c>
      <c r="C17" s="551" t="s">
        <v>438</v>
      </c>
      <c r="D17" s="579" t="s">
        <v>491</v>
      </c>
      <c r="E17" s="551" t="s">
        <v>1018</v>
      </c>
      <c r="F17" s="579" t="s">
        <v>1019</v>
      </c>
      <c r="G17" s="551" t="s">
        <v>732</v>
      </c>
      <c r="H17" s="551" t="s">
        <v>733</v>
      </c>
      <c r="I17" s="565">
        <v>2.5259999999999998</v>
      </c>
      <c r="J17" s="565">
        <v>390</v>
      </c>
      <c r="K17" s="566">
        <v>985.85</v>
      </c>
    </row>
    <row r="18" spans="1:11" ht="14.4" customHeight="1" x14ac:dyDescent="0.3">
      <c r="A18" s="547" t="s">
        <v>433</v>
      </c>
      <c r="B18" s="548" t="s">
        <v>490</v>
      </c>
      <c r="C18" s="551" t="s">
        <v>438</v>
      </c>
      <c r="D18" s="579" t="s">
        <v>491</v>
      </c>
      <c r="E18" s="551" t="s">
        <v>1018</v>
      </c>
      <c r="F18" s="579" t="s">
        <v>1019</v>
      </c>
      <c r="G18" s="551" t="s">
        <v>734</v>
      </c>
      <c r="H18" s="551" t="s">
        <v>735</v>
      </c>
      <c r="I18" s="565">
        <v>1.2500000000000001E-2</v>
      </c>
      <c r="J18" s="565">
        <v>400</v>
      </c>
      <c r="K18" s="566">
        <v>5</v>
      </c>
    </row>
    <row r="19" spans="1:11" ht="14.4" customHeight="1" x14ac:dyDescent="0.3">
      <c r="A19" s="547" t="s">
        <v>433</v>
      </c>
      <c r="B19" s="548" t="s">
        <v>490</v>
      </c>
      <c r="C19" s="551" t="s">
        <v>438</v>
      </c>
      <c r="D19" s="579" t="s">
        <v>491</v>
      </c>
      <c r="E19" s="551" t="s">
        <v>1018</v>
      </c>
      <c r="F19" s="579" t="s">
        <v>1019</v>
      </c>
      <c r="G19" s="551" t="s">
        <v>736</v>
      </c>
      <c r="H19" s="551" t="s">
        <v>737</v>
      </c>
      <c r="I19" s="565">
        <v>1.9950000000000001</v>
      </c>
      <c r="J19" s="565">
        <v>15</v>
      </c>
      <c r="K19" s="566">
        <v>29.95</v>
      </c>
    </row>
    <row r="20" spans="1:11" ht="14.4" customHeight="1" x14ac:dyDescent="0.3">
      <c r="A20" s="547" t="s">
        <v>433</v>
      </c>
      <c r="B20" s="548" t="s">
        <v>490</v>
      </c>
      <c r="C20" s="551" t="s">
        <v>438</v>
      </c>
      <c r="D20" s="579" t="s">
        <v>491</v>
      </c>
      <c r="E20" s="551" t="s">
        <v>1018</v>
      </c>
      <c r="F20" s="579" t="s">
        <v>1019</v>
      </c>
      <c r="G20" s="551" t="s">
        <v>738</v>
      </c>
      <c r="H20" s="551" t="s">
        <v>739</v>
      </c>
      <c r="I20" s="565">
        <v>2.1666666666666665</v>
      </c>
      <c r="J20" s="565">
        <v>70</v>
      </c>
      <c r="K20" s="566">
        <v>151.69999999999999</v>
      </c>
    </row>
    <row r="21" spans="1:11" ht="14.4" customHeight="1" x14ac:dyDescent="0.3">
      <c r="A21" s="547" t="s">
        <v>433</v>
      </c>
      <c r="B21" s="548" t="s">
        <v>490</v>
      </c>
      <c r="C21" s="551" t="s">
        <v>438</v>
      </c>
      <c r="D21" s="579" t="s">
        <v>491</v>
      </c>
      <c r="E21" s="551" t="s">
        <v>1018</v>
      </c>
      <c r="F21" s="579" t="s">
        <v>1019</v>
      </c>
      <c r="G21" s="551" t="s">
        <v>740</v>
      </c>
      <c r="H21" s="551" t="s">
        <v>741</v>
      </c>
      <c r="I21" s="565">
        <v>2.7</v>
      </c>
      <c r="J21" s="565">
        <v>70</v>
      </c>
      <c r="K21" s="566">
        <v>189</v>
      </c>
    </row>
    <row r="22" spans="1:11" ht="14.4" customHeight="1" x14ac:dyDescent="0.3">
      <c r="A22" s="547" t="s">
        <v>433</v>
      </c>
      <c r="B22" s="548" t="s">
        <v>490</v>
      </c>
      <c r="C22" s="551" t="s">
        <v>438</v>
      </c>
      <c r="D22" s="579" t="s">
        <v>491</v>
      </c>
      <c r="E22" s="551" t="s">
        <v>1018</v>
      </c>
      <c r="F22" s="579" t="s">
        <v>1019</v>
      </c>
      <c r="G22" s="551" t="s">
        <v>742</v>
      </c>
      <c r="H22" s="551" t="s">
        <v>743</v>
      </c>
      <c r="I22" s="565">
        <v>15.004999999999999</v>
      </c>
      <c r="J22" s="565">
        <v>20</v>
      </c>
      <c r="K22" s="566">
        <v>300.10000000000002</v>
      </c>
    </row>
    <row r="23" spans="1:11" ht="14.4" customHeight="1" x14ac:dyDescent="0.3">
      <c r="A23" s="547" t="s">
        <v>433</v>
      </c>
      <c r="B23" s="548" t="s">
        <v>490</v>
      </c>
      <c r="C23" s="551" t="s">
        <v>438</v>
      </c>
      <c r="D23" s="579" t="s">
        <v>491</v>
      </c>
      <c r="E23" s="551" t="s">
        <v>1018</v>
      </c>
      <c r="F23" s="579" t="s">
        <v>1019</v>
      </c>
      <c r="G23" s="551" t="s">
        <v>744</v>
      </c>
      <c r="H23" s="551" t="s">
        <v>745</v>
      </c>
      <c r="I23" s="565">
        <v>12.11</v>
      </c>
      <c r="J23" s="565">
        <v>50</v>
      </c>
      <c r="K23" s="566">
        <v>605.5</v>
      </c>
    </row>
    <row r="24" spans="1:11" ht="14.4" customHeight="1" x14ac:dyDescent="0.3">
      <c r="A24" s="547" t="s">
        <v>433</v>
      </c>
      <c r="B24" s="548" t="s">
        <v>490</v>
      </c>
      <c r="C24" s="551" t="s">
        <v>438</v>
      </c>
      <c r="D24" s="579" t="s">
        <v>491</v>
      </c>
      <c r="E24" s="551" t="s">
        <v>1018</v>
      </c>
      <c r="F24" s="579" t="s">
        <v>1019</v>
      </c>
      <c r="G24" s="551" t="s">
        <v>746</v>
      </c>
      <c r="H24" s="551" t="s">
        <v>747</v>
      </c>
      <c r="I24" s="565">
        <v>25.53</v>
      </c>
      <c r="J24" s="565">
        <v>22</v>
      </c>
      <c r="K24" s="566">
        <v>561.66000000000008</v>
      </c>
    </row>
    <row r="25" spans="1:11" ht="14.4" customHeight="1" x14ac:dyDescent="0.3">
      <c r="A25" s="547" t="s">
        <v>433</v>
      </c>
      <c r="B25" s="548" t="s">
        <v>490</v>
      </c>
      <c r="C25" s="551" t="s">
        <v>438</v>
      </c>
      <c r="D25" s="579" t="s">
        <v>491</v>
      </c>
      <c r="E25" s="551" t="s">
        <v>1018</v>
      </c>
      <c r="F25" s="579" t="s">
        <v>1019</v>
      </c>
      <c r="G25" s="551" t="s">
        <v>748</v>
      </c>
      <c r="H25" s="551" t="s">
        <v>749</v>
      </c>
      <c r="I25" s="565">
        <v>2.5099999999999998</v>
      </c>
      <c r="J25" s="565">
        <v>50</v>
      </c>
      <c r="K25" s="566">
        <v>125.5</v>
      </c>
    </row>
    <row r="26" spans="1:11" ht="14.4" customHeight="1" x14ac:dyDescent="0.3">
      <c r="A26" s="547" t="s">
        <v>433</v>
      </c>
      <c r="B26" s="548" t="s">
        <v>490</v>
      </c>
      <c r="C26" s="551" t="s">
        <v>438</v>
      </c>
      <c r="D26" s="579" t="s">
        <v>491</v>
      </c>
      <c r="E26" s="551" t="s">
        <v>1018</v>
      </c>
      <c r="F26" s="579" t="s">
        <v>1019</v>
      </c>
      <c r="G26" s="551" t="s">
        <v>750</v>
      </c>
      <c r="H26" s="551" t="s">
        <v>751</v>
      </c>
      <c r="I26" s="565">
        <v>24.3</v>
      </c>
      <c r="J26" s="565">
        <v>2</v>
      </c>
      <c r="K26" s="566">
        <v>48.6</v>
      </c>
    </row>
    <row r="27" spans="1:11" ht="14.4" customHeight="1" x14ac:dyDescent="0.3">
      <c r="A27" s="547" t="s">
        <v>433</v>
      </c>
      <c r="B27" s="548" t="s">
        <v>490</v>
      </c>
      <c r="C27" s="551" t="s">
        <v>438</v>
      </c>
      <c r="D27" s="579" t="s">
        <v>491</v>
      </c>
      <c r="E27" s="551" t="s">
        <v>1018</v>
      </c>
      <c r="F27" s="579" t="s">
        <v>1019</v>
      </c>
      <c r="G27" s="551" t="s">
        <v>752</v>
      </c>
      <c r="H27" s="551" t="s">
        <v>753</v>
      </c>
      <c r="I27" s="565">
        <v>14.76</v>
      </c>
      <c r="J27" s="565">
        <v>2</v>
      </c>
      <c r="K27" s="566">
        <v>29.52</v>
      </c>
    </row>
    <row r="28" spans="1:11" ht="14.4" customHeight="1" x14ac:dyDescent="0.3">
      <c r="A28" s="547" t="s">
        <v>433</v>
      </c>
      <c r="B28" s="548" t="s">
        <v>490</v>
      </c>
      <c r="C28" s="551" t="s">
        <v>438</v>
      </c>
      <c r="D28" s="579" t="s">
        <v>491</v>
      </c>
      <c r="E28" s="551" t="s">
        <v>1018</v>
      </c>
      <c r="F28" s="579" t="s">
        <v>1019</v>
      </c>
      <c r="G28" s="551" t="s">
        <v>754</v>
      </c>
      <c r="H28" s="551" t="s">
        <v>755</v>
      </c>
      <c r="I28" s="565">
        <v>113.645</v>
      </c>
      <c r="J28" s="565">
        <v>5</v>
      </c>
      <c r="K28" s="566">
        <v>545.32999999999993</v>
      </c>
    </row>
    <row r="29" spans="1:11" ht="14.4" customHeight="1" x14ac:dyDescent="0.3">
      <c r="A29" s="547" t="s">
        <v>433</v>
      </c>
      <c r="B29" s="548" t="s">
        <v>490</v>
      </c>
      <c r="C29" s="551" t="s">
        <v>438</v>
      </c>
      <c r="D29" s="579" t="s">
        <v>491</v>
      </c>
      <c r="E29" s="551" t="s">
        <v>1018</v>
      </c>
      <c r="F29" s="579" t="s">
        <v>1019</v>
      </c>
      <c r="G29" s="551" t="s">
        <v>756</v>
      </c>
      <c r="H29" s="551" t="s">
        <v>757</v>
      </c>
      <c r="I29" s="565">
        <v>1.05</v>
      </c>
      <c r="J29" s="565">
        <v>100</v>
      </c>
      <c r="K29" s="566">
        <v>105</v>
      </c>
    </row>
    <row r="30" spans="1:11" ht="14.4" customHeight="1" x14ac:dyDescent="0.3">
      <c r="A30" s="547" t="s">
        <v>433</v>
      </c>
      <c r="B30" s="548" t="s">
        <v>490</v>
      </c>
      <c r="C30" s="551" t="s">
        <v>438</v>
      </c>
      <c r="D30" s="579" t="s">
        <v>491</v>
      </c>
      <c r="E30" s="551" t="s">
        <v>1018</v>
      </c>
      <c r="F30" s="579" t="s">
        <v>1019</v>
      </c>
      <c r="G30" s="551" t="s">
        <v>758</v>
      </c>
      <c r="H30" s="551" t="s">
        <v>759</v>
      </c>
      <c r="I30" s="565">
        <v>6</v>
      </c>
      <c r="J30" s="565">
        <v>5</v>
      </c>
      <c r="K30" s="566">
        <v>30</v>
      </c>
    </row>
    <row r="31" spans="1:11" ht="14.4" customHeight="1" x14ac:dyDescent="0.3">
      <c r="A31" s="547" t="s">
        <v>433</v>
      </c>
      <c r="B31" s="548" t="s">
        <v>490</v>
      </c>
      <c r="C31" s="551" t="s">
        <v>438</v>
      </c>
      <c r="D31" s="579" t="s">
        <v>491</v>
      </c>
      <c r="E31" s="551" t="s">
        <v>1018</v>
      </c>
      <c r="F31" s="579" t="s">
        <v>1019</v>
      </c>
      <c r="G31" s="551" t="s">
        <v>760</v>
      </c>
      <c r="H31" s="551" t="s">
        <v>761</v>
      </c>
      <c r="I31" s="565">
        <v>64.36</v>
      </c>
      <c r="J31" s="565">
        <v>5</v>
      </c>
      <c r="K31" s="566">
        <v>323.37</v>
      </c>
    </row>
    <row r="32" spans="1:11" ht="14.4" customHeight="1" x14ac:dyDescent="0.3">
      <c r="A32" s="547" t="s">
        <v>433</v>
      </c>
      <c r="B32" s="548" t="s">
        <v>490</v>
      </c>
      <c r="C32" s="551" t="s">
        <v>438</v>
      </c>
      <c r="D32" s="579" t="s">
        <v>491</v>
      </c>
      <c r="E32" s="551" t="s">
        <v>1020</v>
      </c>
      <c r="F32" s="579" t="s">
        <v>1021</v>
      </c>
      <c r="G32" s="551" t="s">
        <v>762</v>
      </c>
      <c r="H32" s="551" t="s">
        <v>763</v>
      </c>
      <c r="I32" s="565">
        <v>0.3</v>
      </c>
      <c r="J32" s="565">
        <v>100</v>
      </c>
      <c r="K32" s="566">
        <v>30</v>
      </c>
    </row>
    <row r="33" spans="1:11" ht="14.4" customHeight="1" x14ac:dyDescent="0.3">
      <c r="A33" s="547" t="s">
        <v>433</v>
      </c>
      <c r="B33" s="548" t="s">
        <v>490</v>
      </c>
      <c r="C33" s="551" t="s">
        <v>438</v>
      </c>
      <c r="D33" s="579" t="s">
        <v>491</v>
      </c>
      <c r="E33" s="551" t="s">
        <v>1020</v>
      </c>
      <c r="F33" s="579" t="s">
        <v>1021</v>
      </c>
      <c r="G33" s="551" t="s">
        <v>764</v>
      </c>
      <c r="H33" s="551" t="s">
        <v>765</v>
      </c>
      <c r="I33" s="565">
        <v>1.8060000000000003</v>
      </c>
      <c r="J33" s="565">
        <v>500</v>
      </c>
      <c r="K33" s="566">
        <v>903</v>
      </c>
    </row>
    <row r="34" spans="1:11" ht="14.4" customHeight="1" x14ac:dyDescent="0.3">
      <c r="A34" s="547" t="s">
        <v>433</v>
      </c>
      <c r="B34" s="548" t="s">
        <v>490</v>
      </c>
      <c r="C34" s="551" t="s">
        <v>438</v>
      </c>
      <c r="D34" s="579" t="s">
        <v>491</v>
      </c>
      <c r="E34" s="551" t="s">
        <v>1022</v>
      </c>
      <c r="F34" s="579" t="s">
        <v>1023</v>
      </c>
      <c r="G34" s="551" t="s">
        <v>766</v>
      </c>
      <c r="H34" s="551" t="s">
        <v>767</v>
      </c>
      <c r="I34" s="565">
        <v>0.71</v>
      </c>
      <c r="J34" s="565">
        <v>3200</v>
      </c>
      <c r="K34" s="566">
        <v>2272</v>
      </c>
    </row>
    <row r="35" spans="1:11" ht="14.4" customHeight="1" x14ac:dyDescent="0.3">
      <c r="A35" s="547" t="s">
        <v>433</v>
      </c>
      <c r="B35" s="548" t="s">
        <v>490</v>
      </c>
      <c r="C35" s="551" t="s">
        <v>438</v>
      </c>
      <c r="D35" s="579" t="s">
        <v>491</v>
      </c>
      <c r="E35" s="551" t="s">
        <v>1022</v>
      </c>
      <c r="F35" s="579" t="s">
        <v>1023</v>
      </c>
      <c r="G35" s="551" t="s">
        <v>768</v>
      </c>
      <c r="H35" s="551" t="s">
        <v>769</v>
      </c>
      <c r="I35" s="565">
        <v>0.71</v>
      </c>
      <c r="J35" s="565">
        <v>400</v>
      </c>
      <c r="K35" s="566">
        <v>284</v>
      </c>
    </row>
    <row r="36" spans="1:11" ht="14.4" customHeight="1" x14ac:dyDescent="0.3">
      <c r="A36" s="547" t="s">
        <v>433</v>
      </c>
      <c r="B36" s="548" t="s">
        <v>490</v>
      </c>
      <c r="C36" s="551" t="s">
        <v>438</v>
      </c>
      <c r="D36" s="579" t="s">
        <v>491</v>
      </c>
      <c r="E36" s="551" t="s">
        <v>1022</v>
      </c>
      <c r="F36" s="579" t="s">
        <v>1023</v>
      </c>
      <c r="G36" s="551" t="s">
        <v>770</v>
      </c>
      <c r="H36" s="551" t="s">
        <v>771</v>
      </c>
      <c r="I36" s="565">
        <v>0.71</v>
      </c>
      <c r="J36" s="565">
        <v>200</v>
      </c>
      <c r="K36" s="566">
        <v>142</v>
      </c>
    </row>
    <row r="37" spans="1:11" ht="14.4" customHeight="1" x14ac:dyDescent="0.3">
      <c r="A37" s="547" t="s">
        <v>433</v>
      </c>
      <c r="B37" s="548" t="s">
        <v>490</v>
      </c>
      <c r="C37" s="551" t="s">
        <v>443</v>
      </c>
      <c r="D37" s="579" t="s">
        <v>492</v>
      </c>
      <c r="E37" s="551" t="s">
        <v>1016</v>
      </c>
      <c r="F37" s="579" t="s">
        <v>1017</v>
      </c>
      <c r="G37" s="551" t="s">
        <v>708</v>
      </c>
      <c r="H37" s="551" t="s">
        <v>709</v>
      </c>
      <c r="I37" s="565">
        <v>0.64</v>
      </c>
      <c r="J37" s="565">
        <v>3000</v>
      </c>
      <c r="K37" s="566">
        <v>1918.4199999999998</v>
      </c>
    </row>
    <row r="38" spans="1:11" ht="14.4" customHeight="1" x14ac:dyDescent="0.3">
      <c r="A38" s="547" t="s">
        <v>433</v>
      </c>
      <c r="B38" s="548" t="s">
        <v>490</v>
      </c>
      <c r="C38" s="551" t="s">
        <v>443</v>
      </c>
      <c r="D38" s="579" t="s">
        <v>492</v>
      </c>
      <c r="E38" s="551" t="s">
        <v>1016</v>
      </c>
      <c r="F38" s="579" t="s">
        <v>1017</v>
      </c>
      <c r="G38" s="551" t="s">
        <v>710</v>
      </c>
      <c r="H38" s="551" t="s">
        <v>711</v>
      </c>
      <c r="I38" s="565">
        <v>28.74</v>
      </c>
      <c r="J38" s="565">
        <v>5</v>
      </c>
      <c r="K38" s="566">
        <v>143.69999999999999</v>
      </c>
    </row>
    <row r="39" spans="1:11" ht="14.4" customHeight="1" x14ac:dyDescent="0.3">
      <c r="A39" s="547" t="s">
        <v>433</v>
      </c>
      <c r="B39" s="548" t="s">
        <v>490</v>
      </c>
      <c r="C39" s="551" t="s">
        <v>443</v>
      </c>
      <c r="D39" s="579" t="s">
        <v>492</v>
      </c>
      <c r="E39" s="551" t="s">
        <v>1016</v>
      </c>
      <c r="F39" s="579" t="s">
        <v>1017</v>
      </c>
      <c r="G39" s="551" t="s">
        <v>772</v>
      </c>
      <c r="H39" s="551" t="s">
        <v>773</v>
      </c>
      <c r="I39" s="565">
        <v>1.4966666666666668</v>
      </c>
      <c r="J39" s="565">
        <v>300</v>
      </c>
      <c r="K39" s="566">
        <v>449</v>
      </c>
    </row>
    <row r="40" spans="1:11" ht="14.4" customHeight="1" x14ac:dyDescent="0.3">
      <c r="A40" s="547" t="s">
        <v>433</v>
      </c>
      <c r="B40" s="548" t="s">
        <v>490</v>
      </c>
      <c r="C40" s="551" t="s">
        <v>443</v>
      </c>
      <c r="D40" s="579" t="s">
        <v>492</v>
      </c>
      <c r="E40" s="551" t="s">
        <v>1016</v>
      </c>
      <c r="F40" s="579" t="s">
        <v>1017</v>
      </c>
      <c r="G40" s="551" t="s">
        <v>714</v>
      </c>
      <c r="H40" s="551" t="s">
        <v>715</v>
      </c>
      <c r="I40" s="565">
        <v>27.877499999999998</v>
      </c>
      <c r="J40" s="565">
        <v>6</v>
      </c>
      <c r="K40" s="566">
        <v>167.26</v>
      </c>
    </row>
    <row r="41" spans="1:11" ht="14.4" customHeight="1" x14ac:dyDescent="0.3">
      <c r="A41" s="547" t="s">
        <v>433</v>
      </c>
      <c r="B41" s="548" t="s">
        <v>490</v>
      </c>
      <c r="C41" s="551" t="s">
        <v>443</v>
      </c>
      <c r="D41" s="579" t="s">
        <v>492</v>
      </c>
      <c r="E41" s="551" t="s">
        <v>1016</v>
      </c>
      <c r="F41" s="579" t="s">
        <v>1017</v>
      </c>
      <c r="G41" s="551" t="s">
        <v>774</v>
      </c>
      <c r="H41" s="551" t="s">
        <v>775</v>
      </c>
      <c r="I41" s="565">
        <v>98.38</v>
      </c>
      <c r="J41" s="565">
        <v>2</v>
      </c>
      <c r="K41" s="566">
        <v>196.76</v>
      </c>
    </row>
    <row r="42" spans="1:11" ht="14.4" customHeight="1" x14ac:dyDescent="0.3">
      <c r="A42" s="547" t="s">
        <v>433</v>
      </c>
      <c r="B42" s="548" t="s">
        <v>490</v>
      </c>
      <c r="C42" s="551" t="s">
        <v>443</v>
      </c>
      <c r="D42" s="579" t="s">
        <v>492</v>
      </c>
      <c r="E42" s="551" t="s">
        <v>1018</v>
      </c>
      <c r="F42" s="579" t="s">
        <v>1019</v>
      </c>
      <c r="G42" s="551" t="s">
        <v>776</v>
      </c>
      <c r="H42" s="551" t="s">
        <v>777</v>
      </c>
      <c r="I42" s="565">
        <v>0.47599999999999998</v>
      </c>
      <c r="J42" s="565">
        <v>800</v>
      </c>
      <c r="K42" s="566">
        <v>380</v>
      </c>
    </row>
    <row r="43" spans="1:11" ht="14.4" customHeight="1" x14ac:dyDescent="0.3">
      <c r="A43" s="547" t="s">
        <v>433</v>
      </c>
      <c r="B43" s="548" t="s">
        <v>490</v>
      </c>
      <c r="C43" s="551" t="s">
        <v>443</v>
      </c>
      <c r="D43" s="579" t="s">
        <v>492</v>
      </c>
      <c r="E43" s="551" t="s">
        <v>1018</v>
      </c>
      <c r="F43" s="579" t="s">
        <v>1019</v>
      </c>
      <c r="G43" s="551" t="s">
        <v>778</v>
      </c>
      <c r="H43" s="551" t="s">
        <v>779</v>
      </c>
      <c r="I43" s="565">
        <v>0.67</v>
      </c>
      <c r="J43" s="565">
        <v>200</v>
      </c>
      <c r="K43" s="566">
        <v>134</v>
      </c>
    </row>
    <row r="44" spans="1:11" ht="14.4" customHeight="1" x14ac:dyDescent="0.3">
      <c r="A44" s="547" t="s">
        <v>433</v>
      </c>
      <c r="B44" s="548" t="s">
        <v>490</v>
      </c>
      <c r="C44" s="551" t="s">
        <v>443</v>
      </c>
      <c r="D44" s="579" t="s">
        <v>492</v>
      </c>
      <c r="E44" s="551" t="s">
        <v>1018</v>
      </c>
      <c r="F44" s="579" t="s">
        <v>1019</v>
      </c>
      <c r="G44" s="551" t="s">
        <v>780</v>
      </c>
      <c r="H44" s="551" t="s">
        <v>781</v>
      </c>
      <c r="I44" s="565">
        <v>1.9649999999999999</v>
      </c>
      <c r="J44" s="565">
        <v>2800</v>
      </c>
      <c r="K44" s="566">
        <v>5502</v>
      </c>
    </row>
    <row r="45" spans="1:11" ht="14.4" customHeight="1" x14ac:dyDescent="0.3">
      <c r="A45" s="547" t="s">
        <v>433</v>
      </c>
      <c r="B45" s="548" t="s">
        <v>490</v>
      </c>
      <c r="C45" s="551" t="s">
        <v>443</v>
      </c>
      <c r="D45" s="579" t="s">
        <v>492</v>
      </c>
      <c r="E45" s="551" t="s">
        <v>1018</v>
      </c>
      <c r="F45" s="579" t="s">
        <v>1019</v>
      </c>
      <c r="G45" s="551" t="s">
        <v>782</v>
      </c>
      <c r="H45" s="551" t="s">
        <v>783</v>
      </c>
      <c r="I45" s="565">
        <v>3.99</v>
      </c>
      <c r="J45" s="565">
        <v>100</v>
      </c>
      <c r="K45" s="566">
        <v>399</v>
      </c>
    </row>
    <row r="46" spans="1:11" ht="14.4" customHeight="1" x14ac:dyDescent="0.3">
      <c r="A46" s="547" t="s">
        <v>433</v>
      </c>
      <c r="B46" s="548" t="s">
        <v>490</v>
      </c>
      <c r="C46" s="551" t="s">
        <v>443</v>
      </c>
      <c r="D46" s="579" t="s">
        <v>492</v>
      </c>
      <c r="E46" s="551" t="s">
        <v>1018</v>
      </c>
      <c r="F46" s="579" t="s">
        <v>1019</v>
      </c>
      <c r="G46" s="551" t="s">
        <v>742</v>
      </c>
      <c r="H46" s="551" t="s">
        <v>743</v>
      </c>
      <c r="I46" s="565">
        <v>15</v>
      </c>
      <c r="J46" s="565">
        <v>31</v>
      </c>
      <c r="K46" s="566">
        <v>465</v>
      </c>
    </row>
    <row r="47" spans="1:11" ht="14.4" customHeight="1" x14ac:dyDescent="0.3">
      <c r="A47" s="547" t="s">
        <v>433</v>
      </c>
      <c r="B47" s="548" t="s">
        <v>490</v>
      </c>
      <c r="C47" s="551" t="s">
        <v>443</v>
      </c>
      <c r="D47" s="579" t="s">
        <v>492</v>
      </c>
      <c r="E47" s="551" t="s">
        <v>1018</v>
      </c>
      <c r="F47" s="579" t="s">
        <v>1019</v>
      </c>
      <c r="G47" s="551" t="s">
        <v>746</v>
      </c>
      <c r="H47" s="551" t="s">
        <v>747</v>
      </c>
      <c r="I47" s="565">
        <v>25.53</v>
      </c>
      <c r="J47" s="565">
        <v>56</v>
      </c>
      <c r="K47" s="566">
        <v>1429.68</v>
      </c>
    </row>
    <row r="48" spans="1:11" ht="14.4" customHeight="1" x14ac:dyDescent="0.3">
      <c r="A48" s="547" t="s">
        <v>433</v>
      </c>
      <c r="B48" s="548" t="s">
        <v>490</v>
      </c>
      <c r="C48" s="551" t="s">
        <v>443</v>
      </c>
      <c r="D48" s="579" t="s">
        <v>492</v>
      </c>
      <c r="E48" s="551" t="s">
        <v>1018</v>
      </c>
      <c r="F48" s="579" t="s">
        <v>1019</v>
      </c>
      <c r="G48" s="551" t="s">
        <v>784</v>
      </c>
      <c r="H48" s="551" t="s">
        <v>785</v>
      </c>
      <c r="I48" s="565">
        <v>1.97</v>
      </c>
      <c r="J48" s="565">
        <v>600</v>
      </c>
      <c r="K48" s="566">
        <v>1179.75</v>
      </c>
    </row>
    <row r="49" spans="1:11" ht="14.4" customHeight="1" x14ac:dyDescent="0.3">
      <c r="A49" s="547" t="s">
        <v>433</v>
      </c>
      <c r="B49" s="548" t="s">
        <v>490</v>
      </c>
      <c r="C49" s="551" t="s">
        <v>443</v>
      </c>
      <c r="D49" s="579" t="s">
        <v>492</v>
      </c>
      <c r="E49" s="551" t="s">
        <v>1018</v>
      </c>
      <c r="F49" s="579" t="s">
        <v>1019</v>
      </c>
      <c r="G49" s="551" t="s">
        <v>786</v>
      </c>
      <c r="H49" s="551" t="s">
        <v>787</v>
      </c>
      <c r="I49" s="565">
        <v>2.0499999999999998</v>
      </c>
      <c r="J49" s="565">
        <v>1420</v>
      </c>
      <c r="K49" s="566">
        <v>2911</v>
      </c>
    </row>
    <row r="50" spans="1:11" ht="14.4" customHeight="1" x14ac:dyDescent="0.3">
      <c r="A50" s="547" t="s">
        <v>433</v>
      </c>
      <c r="B50" s="548" t="s">
        <v>490</v>
      </c>
      <c r="C50" s="551" t="s">
        <v>443</v>
      </c>
      <c r="D50" s="579" t="s">
        <v>492</v>
      </c>
      <c r="E50" s="551" t="s">
        <v>1018</v>
      </c>
      <c r="F50" s="579" t="s">
        <v>1019</v>
      </c>
      <c r="G50" s="551" t="s">
        <v>788</v>
      </c>
      <c r="H50" s="551" t="s">
        <v>789</v>
      </c>
      <c r="I50" s="565">
        <v>4.08</v>
      </c>
      <c r="J50" s="565">
        <v>1000</v>
      </c>
      <c r="K50" s="566">
        <v>4080.12</v>
      </c>
    </row>
    <row r="51" spans="1:11" ht="14.4" customHeight="1" x14ac:dyDescent="0.3">
      <c r="A51" s="547" t="s">
        <v>433</v>
      </c>
      <c r="B51" s="548" t="s">
        <v>490</v>
      </c>
      <c r="C51" s="551" t="s">
        <v>443</v>
      </c>
      <c r="D51" s="579" t="s">
        <v>492</v>
      </c>
      <c r="E51" s="551" t="s">
        <v>1018</v>
      </c>
      <c r="F51" s="579" t="s">
        <v>1019</v>
      </c>
      <c r="G51" s="551" t="s">
        <v>790</v>
      </c>
      <c r="H51" s="551" t="s">
        <v>791</v>
      </c>
      <c r="I51" s="565">
        <v>0.81</v>
      </c>
      <c r="J51" s="565">
        <v>800</v>
      </c>
      <c r="K51" s="566">
        <v>650.5</v>
      </c>
    </row>
    <row r="52" spans="1:11" ht="14.4" customHeight="1" x14ac:dyDescent="0.3">
      <c r="A52" s="547" t="s">
        <v>433</v>
      </c>
      <c r="B52" s="548" t="s">
        <v>490</v>
      </c>
      <c r="C52" s="551" t="s">
        <v>443</v>
      </c>
      <c r="D52" s="579" t="s">
        <v>492</v>
      </c>
      <c r="E52" s="551" t="s">
        <v>1018</v>
      </c>
      <c r="F52" s="579" t="s">
        <v>1019</v>
      </c>
      <c r="G52" s="551" t="s">
        <v>792</v>
      </c>
      <c r="H52" s="551" t="s">
        <v>793</v>
      </c>
      <c r="I52" s="565">
        <v>22348.7</v>
      </c>
      <c r="J52" s="565">
        <v>1</v>
      </c>
      <c r="K52" s="566">
        <v>22348.7</v>
      </c>
    </row>
    <row r="53" spans="1:11" ht="14.4" customHeight="1" x14ac:dyDescent="0.3">
      <c r="A53" s="547" t="s">
        <v>433</v>
      </c>
      <c r="B53" s="548" t="s">
        <v>490</v>
      </c>
      <c r="C53" s="551" t="s">
        <v>443</v>
      </c>
      <c r="D53" s="579" t="s">
        <v>492</v>
      </c>
      <c r="E53" s="551" t="s">
        <v>1018</v>
      </c>
      <c r="F53" s="579" t="s">
        <v>1019</v>
      </c>
      <c r="G53" s="551" t="s">
        <v>794</v>
      </c>
      <c r="H53" s="551" t="s">
        <v>795</v>
      </c>
      <c r="I53" s="565">
        <v>11.31</v>
      </c>
      <c r="J53" s="565">
        <v>400</v>
      </c>
      <c r="K53" s="566">
        <v>4525.3999999999996</v>
      </c>
    </row>
    <row r="54" spans="1:11" ht="14.4" customHeight="1" x14ac:dyDescent="0.3">
      <c r="A54" s="547" t="s">
        <v>433</v>
      </c>
      <c r="B54" s="548" t="s">
        <v>490</v>
      </c>
      <c r="C54" s="551" t="s">
        <v>443</v>
      </c>
      <c r="D54" s="579" t="s">
        <v>492</v>
      </c>
      <c r="E54" s="551" t="s">
        <v>1018</v>
      </c>
      <c r="F54" s="579" t="s">
        <v>1019</v>
      </c>
      <c r="G54" s="551" t="s">
        <v>796</v>
      </c>
      <c r="H54" s="551" t="s">
        <v>797</v>
      </c>
      <c r="I54" s="565">
        <v>7961.8</v>
      </c>
      <c r="J54" s="565">
        <v>1</v>
      </c>
      <c r="K54" s="566">
        <v>7961.8</v>
      </c>
    </row>
    <row r="55" spans="1:11" ht="14.4" customHeight="1" x14ac:dyDescent="0.3">
      <c r="A55" s="547" t="s">
        <v>433</v>
      </c>
      <c r="B55" s="548" t="s">
        <v>490</v>
      </c>
      <c r="C55" s="551" t="s">
        <v>443</v>
      </c>
      <c r="D55" s="579" t="s">
        <v>492</v>
      </c>
      <c r="E55" s="551" t="s">
        <v>1018</v>
      </c>
      <c r="F55" s="579" t="s">
        <v>1019</v>
      </c>
      <c r="G55" s="551" t="s">
        <v>798</v>
      </c>
      <c r="H55" s="551" t="s">
        <v>799</v>
      </c>
      <c r="I55" s="565">
        <v>0.9</v>
      </c>
      <c r="J55" s="565">
        <v>400</v>
      </c>
      <c r="K55" s="566">
        <v>358.16</v>
      </c>
    </row>
    <row r="56" spans="1:11" ht="14.4" customHeight="1" x14ac:dyDescent="0.3">
      <c r="A56" s="547" t="s">
        <v>433</v>
      </c>
      <c r="B56" s="548" t="s">
        <v>490</v>
      </c>
      <c r="C56" s="551" t="s">
        <v>443</v>
      </c>
      <c r="D56" s="579" t="s">
        <v>492</v>
      </c>
      <c r="E56" s="551" t="s">
        <v>1024</v>
      </c>
      <c r="F56" s="579" t="s">
        <v>1025</v>
      </c>
      <c r="G56" s="551" t="s">
        <v>800</v>
      </c>
      <c r="H56" s="551" t="s">
        <v>801</v>
      </c>
      <c r="I56" s="565">
        <v>1.89</v>
      </c>
      <c r="J56" s="565">
        <v>1024</v>
      </c>
      <c r="K56" s="566">
        <v>1936</v>
      </c>
    </row>
    <row r="57" spans="1:11" ht="14.4" customHeight="1" x14ac:dyDescent="0.3">
      <c r="A57" s="547" t="s">
        <v>433</v>
      </c>
      <c r="B57" s="548" t="s">
        <v>490</v>
      </c>
      <c r="C57" s="551" t="s">
        <v>443</v>
      </c>
      <c r="D57" s="579" t="s">
        <v>492</v>
      </c>
      <c r="E57" s="551" t="s">
        <v>1024</v>
      </c>
      <c r="F57" s="579" t="s">
        <v>1025</v>
      </c>
      <c r="G57" s="551" t="s">
        <v>802</v>
      </c>
      <c r="H57" s="551" t="s">
        <v>803</v>
      </c>
      <c r="I57" s="565">
        <v>1.4579999999999997</v>
      </c>
      <c r="J57" s="565">
        <v>3700</v>
      </c>
      <c r="K57" s="566">
        <v>5402.9699999999993</v>
      </c>
    </row>
    <row r="58" spans="1:11" ht="14.4" customHeight="1" x14ac:dyDescent="0.3">
      <c r="A58" s="547" t="s">
        <v>433</v>
      </c>
      <c r="B58" s="548" t="s">
        <v>490</v>
      </c>
      <c r="C58" s="551" t="s">
        <v>443</v>
      </c>
      <c r="D58" s="579" t="s">
        <v>492</v>
      </c>
      <c r="E58" s="551" t="s">
        <v>1024</v>
      </c>
      <c r="F58" s="579" t="s">
        <v>1025</v>
      </c>
      <c r="G58" s="551" t="s">
        <v>804</v>
      </c>
      <c r="H58" s="551" t="s">
        <v>805</v>
      </c>
      <c r="I58" s="565">
        <v>0.45875000000000005</v>
      </c>
      <c r="J58" s="565">
        <v>22000</v>
      </c>
      <c r="K58" s="566">
        <v>9969.9</v>
      </c>
    </row>
    <row r="59" spans="1:11" ht="14.4" customHeight="1" x14ac:dyDescent="0.3">
      <c r="A59" s="547" t="s">
        <v>433</v>
      </c>
      <c r="B59" s="548" t="s">
        <v>490</v>
      </c>
      <c r="C59" s="551" t="s">
        <v>443</v>
      </c>
      <c r="D59" s="579" t="s">
        <v>492</v>
      </c>
      <c r="E59" s="551" t="s">
        <v>1024</v>
      </c>
      <c r="F59" s="579" t="s">
        <v>1025</v>
      </c>
      <c r="G59" s="551" t="s">
        <v>806</v>
      </c>
      <c r="H59" s="551" t="s">
        <v>807</v>
      </c>
      <c r="I59" s="565">
        <v>0.12</v>
      </c>
      <c r="J59" s="565">
        <v>8000</v>
      </c>
      <c r="K59" s="566">
        <v>960</v>
      </c>
    </row>
    <row r="60" spans="1:11" ht="14.4" customHeight="1" x14ac:dyDescent="0.3">
      <c r="A60" s="547" t="s">
        <v>433</v>
      </c>
      <c r="B60" s="548" t="s">
        <v>490</v>
      </c>
      <c r="C60" s="551" t="s">
        <v>443</v>
      </c>
      <c r="D60" s="579" t="s">
        <v>492</v>
      </c>
      <c r="E60" s="551" t="s">
        <v>1024</v>
      </c>
      <c r="F60" s="579" t="s">
        <v>1025</v>
      </c>
      <c r="G60" s="551" t="s">
        <v>808</v>
      </c>
      <c r="H60" s="551" t="s">
        <v>809</v>
      </c>
      <c r="I60" s="565">
        <v>1.36</v>
      </c>
      <c r="J60" s="565">
        <v>4000</v>
      </c>
      <c r="K60" s="566">
        <v>5420.8</v>
      </c>
    </row>
    <row r="61" spans="1:11" ht="14.4" customHeight="1" x14ac:dyDescent="0.3">
      <c r="A61" s="547" t="s">
        <v>433</v>
      </c>
      <c r="B61" s="548" t="s">
        <v>490</v>
      </c>
      <c r="C61" s="551" t="s">
        <v>443</v>
      </c>
      <c r="D61" s="579" t="s">
        <v>492</v>
      </c>
      <c r="E61" s="551" t="s">
        <v>1024</v>
      </c>
      <c r="F61" s="579" t="s">
        <v>1025</v>
      </c>
      <c r="G61" s="551" t="s">
        <v>810</v>
      </c>
      <c r="H61" s="551" t="s">
        <v>811</v>
      </c>
      <c r="I61" s="565">
        <v>0.77</v>
      </c>
      <c r="J61" s="565">
        <v>3500</v>
      </c>
      <c r="K61" s="566">
        <v>2710.4</v>
      </c>
    </row>
    <row r="62" spans="1:11" ht="14.4" customHeight="1" x14ac:dyDescent="0.3">
      <c r="A62" s="547" t="s">
        <v>433</v>
      </c>
      <c r="B62" s="548" t="s">
        <v>490</v>
      </c>
      <c r="C62" s="551" t="s">
        <v>443</v>
      </c>
      <c r="D62" s="579" t="s">
        <v>492</v>
      </c>
      <c r="E62" s="551" t="s">
        <v>1024</v>
      </c>
      <c r="F62" s="579" t="s">
        <v>1025</v>
      </c>
      <c r="G62" s="551" t="s">
        <v>812</v>
      </c>
      <c r="H62" s="551" t="s">
        <v>813</v>
      </c>
      <c r="I62" s="565">
        <v>0.27666666666666667</v>
      </c>
      <c r="J62" s="565">
        <v>3000</v>
      </c>
      <c r="K62" s="566">
        <v>826.2</v>
      </c>
    </row>
    <row r="63" spans="1:11" ht="14.4" customHeight="1" x14ac:dyDescent="0.3">
      <c r="A63" s="547" t="s">
        <v>433</v>
      </c>
      <c r="B63" s="548" t="s">
        <v>490</v>
      </c>
      <c r="C63" s="551" t="s">
        <v>443</v>
      </c>
      <c r="D63" s="579" t="s">
        <v>492</v>
      </c>
      <c r="E63" s="551" t="s">
        <v>1024</v>
      </c>
      <c r="F63" s="579" t="s">
        <v>1025</v>
      </c>
      <c r="G63" s="551" t="s">
        <v>814</v>
      </c>
      <c r="H63" s="551" t="s">
        <v>815</v>
      </c>
      <c r="I63" s="565">
        <v>2.7774999999999999</v>
      </c>
      <c r="J63" s="565">
        <v>6720</v>
      </c>
      <c r="K63" s="566">
        <v>18614.97</v>
      </c>
    </row>
    <row r="64" spans="1:11" ht="14.4" customHeight="1" x14ac:dyDescent="0.3">
      <c r="A64" s="547" t="s">
        <v>433</v>
      </c>
      <c r="B64" s="548" t="s">
        <v>490</v>
      </c>
      <c r="C64" s="551" t="s">
        <v>443</v>
      </c>
      <c r="D64" s="579" t="s">
        <v>492</v>
      </c>
      <c r="E64" s="551" t="s">
        <v>1024</v>
      </c>
      <c r="F64" s="579" t="s">
        <v>1025</v>
      </c>
      <c r="G64" s="551" t="s">
        <v>816</v>
      </c>
      <c r="H64" s="551" t="s">
        <v>817</v>
      </c>
      <c r="I64" s="565">
        <v>37.51</v>
      </c>
      <c r="J64" s="565">
        <v>10</v>
      </c>
      <c r="K64" s="566">
        <v>375.1</v>
      </c>
    </row>
    <row r="65" spans="1:11" ht="14.4" customHeight="1" x14ac:dyDescent="0.3">
      <c r="A65" s="547" t="s">
        <v>433</v>
      </c>
      <c r="B65" s="548" t="s">
        <v>490</v>
      </c>
      <c r="C65" s="551" t="s">
        <v>443</v>
      </c>
      <c r="D65" s="579" t="s">
        <v>492</v>
      </c>
      <c r="E65" s="551" t="s">
        <v>1024</v>
      </c>
      <c r="F65" s="579" t="s">
        <v>1025</v>
      </c>
      <c r="G65" s="551" t="s">
        <v>818</v>
      </c>
      <c r="H65" s="551" t="s">
        <v>819</v>
      </c>
      <c r="I65" s="565">
        <v>26.22</v>
      </c>
      <c r="J65" s="565">
        <v>360</v>
      </c>
      <c r="K65" s="566">
        <v>9438</v>
      </c>
    </row>
    <row r="66" spans="1:11" ht="14.4" customHeight="1" x14ac:dyDescent="0.3">
      <c r="A66" s="547" t="s">
        <v>433</v>
      </c>
      <c r="B66" s="548" t="s">
        <v>490</v>
      </c>
      <c r="C66" s="551" t="s">
        <v>443</v>
      </c>
      <c r="D66" s="579" t="s">
        <v>492</v>
      </c>
      <c r="E66" s="551" t="s">
        <v>1024</v>
      </c>
      <c r="F66" s="579" t="s">
        <v>1025</v>
      </c>
      <c r="G66" s="551" t="s">
        <v>820</v>
      </c>
      <c r="H66" s="551" t="s">
        <v>821</v>
      </c>
      <c r="I66" s="565">
        <v>45.98</v>
      </c>
      <c r="J66" s="565">
        <v>1</v>
      </c>
      <c r="K66" s="566">
        <v>45.98</v>
      </c>
    </row>
    <row r="67" spans="1:11" ht="14.4" customHeight="1" x14ac:dyDescent="0.3">
      <c r="A67" s="547" t="s">
        <v>433</v>
      </c>
      <c r="B67" s="548" t="s">
        <v>490</v>
      </c>
      <c r="C67" s="551" t="s">
        <v>443</v>
      </c>
      <c r="D67" s="579" t="s">
        <v>492</v>
      </c>
      <c r="E67" s="551" t="s">
        <v>1024</v>
      </c>
      <c r="F67" s="579" t="s">
        <v>1025</v>
      </c>
      <c r="G67" s="551" t="s">
        <v>822</v>
      </c>
      <c r="H67" s="551" t="s">
        <v>823</v>
      </c>
      <c r="I67" s="565">
        <v>2.35</v>
      </c>
      <c r="J67" s="565">
        <v>3840</v>
      </c>
      <c r="K67" s="566">
        <v>9022.68</v>
      </c>
    </row>
    <row r="68" spans="1:11" ht="14.4" customHeight="1" x14ac:dyDescent="0.3">
      <c r="A68" s="547" t="s">
        <v>433</v>
      </c>
      <c r="B68" s="548" t="s">
        <v>490</v>
      </c>
      <c r="C68" s="551" t="s">
        <v>443</v>
      </c>
      <c r="D68" s="579" t="s">
        <v>492</v>
      </c>
      <c r="E68" s="551" t="s">
        <v>1024</v>
      </c>
      <c r="F68" s="579" t="s">
        <v>1025</v>
      </c>
      <c r="G68" s="551" t="s">
        <v>824</v>
      </c>
      <c r="H68" s="551" t="s">
        <v>825</v>
      </c>
      <c r="I68" s="565">
        <v>2.2999999999999998</v>
      </c>
      <c r="J68" s="565">
        <v>1920</v>
      </c>
      <c r="K68" s="566">
        <v>4421.2999999999993</v>
      </c>
    </row>
    <row r="69" spans="1:11" ht="14.4" customHeight="1" x14ac:dyDescent="0.3">
      <c r="A69" s="547" t="s">
        <v>433</v>
      </c>
      <c r="B69" s="548" t="s">
        <v>490</v>
      </c>
      <c r="C69" s="551" t="s">
        <v>443</v>
      </c>
      <c r="D69" s="579" t="s">
        <v>492</v>
      </c>
      <c r="E69" s="551" t="s">
        <v>1024</v>
      </c>
      <c r="F69" s="579" t="s">
        <v>1025</v>
      </c>
      <c r="G69" s="551" t="s">
        <v>826</v>
      </c>
      <c r="H69" s="551" t="s">
        <v>827</v>
      </c>
      <c r="I69" s="565">
        <v>1.4400000000000002</v>
      </c>
      <c r="J69" s="565">
        <v>4000</v>
      </c>
      <c r="K69" s="566">
        <v>5759.5999999999995</v>
      </c>
    </row>
    <row r="70" spans="1:11" ht="14.4" customHeight="1" x14ac:dyDescent="0.3">
      <c r="A70" s="547" t="s">
        <v>433</v>
      </c>
      <c r="B70" s="548" t="s">
        <v>490</v>
      </c>
      <c r="C70" s="551" t="s">
        <v>443</v>
      </c>
      <c r="D70" s="579" t="s">
        <v>492</v>
      </c>
      <c r="E70" s="551" t="s">
        <v>1024</v>
      </c>
      <c r="F70" s="579" t="s">
        <v>1025</v>
      </c>
      <c r="G70" s="551" t="s">
        <v>828</v>
      </c>
      <c r="H70" s="551" t="s">
        <v>829</v>
      </c>
      <c r="I70" s="565">
        <v>0.55000000000000004</v>
      </c>
      <c r="J70" s="565">
        <v>1000</v>
      </c>
      <c r="K70" s="566">
        <v>546.91999999999996</v>
      </c>
    </row>
    <row r="71" spans="1:11" ht="14.4" customHeight="1" x14ac:dyDescent="0.3">
      <c r="A71" s="547" t="s">
        <v>433</v>
      </c>
      <c r="B71" s="548" t="s">
        <v>490</v>
      </c>
      <c r="C71" s="551" t="s">
        <v>443</v>
      </c>
      <c r="D71" s="579" t="s">
        <v>492</v>
      </c>
      <c r="E71" s="551" t="s">
        <v>1024</v>
      </c>
      <c r="F71" s="579" t="s">
        <v>1025</v>
      </c>
      <c r="G71" s="551" t="s">
        <v>830</v>
      </c>
      <c r="H71" s="551" t="s">
        <v>831</v>
      </c>
      <c r="I71" s="565">
        <v>2.1</v>
      </c>
      <c r="J71" s="565">
        <v>960</v>
      </c>
      <c r="K71" s="566">
        <v>2020.7</v>
      </c>
    </row>
    <row r="72" spans="1:11" ht="14.4" customHeight="1" x14ac:dyDescent="0.3">
      <c r="A72" s="547" t="s">
        <v>433</v>
      </c>
      <c r="B72" s="548" t="s">
        <v>490</v>
      </c>
      <c r="C72" s="551" t="s">
        <v>443</v>
      </c>
      <c r="D72" s="579" t="s">
        <v>492</v>
      </c>
      <c r="E72" s="551" t="s">
        <v>1024</v>
      </c>
      <c r="F72" s="579" t="s">
        <v>1025</v>
      </c>
      <c r="G72" s="551" t="s">
        <v>832</v>
      </c>
      <c r="H72" s="551" t="s">
        <v>833</v>
      </c>
      <c r="I72" s="565">
        <v>2686.2</v>
      </c>
      <c r="J72" s="565">
        <v>1</v>
      </c>
      <c r="K72" s="566">
        <v>2686.2</v>
      </c>
    </row>
    <row r="73" spans="1:11" ht="14.4" customHeight="1" x14ac:dyDescent="0.3">
      <c r="A73" s="547" t="s">
        <v>433</v>
      </c>
      <c r="B73" s="548" t="s">
        <v>490</v>
      </c>
      <c r="C73" s="551" t="s">
        <v>443</v>
      </c>
      <c r="D73" s="579" t="s">
        <v>492</v>
      </c>
      <c r="E73" s="551" t="s">
        <v>1024</v>
      </c>
      <c r="F73" s="579" t="s">
        <v>1025</v>
      </c>
      <c r="G73" s="551" t="s">
        <v>834</v>
      </c>
      <c r="H73" s="551" t="s">
        <v>835</v>
      </c>
      <c r="I73" s="565">
        <v>106.7</v>
      </c>
      <c r="J73" s="565">
        <v>50</v>
      </c>
      <c r="K73" s="566">
        <v>5335</v>
      </c>
    </row>
    <row r="74" spans="1:11" ht="14.4" customHeight="1" x14ac:dyDescent="0.3">
      <c r="A74" s="547" t="s">
        <v>433</v>
      </c>
      <c r="B74" s="548" t="s">
        <v>490</v>
      </c>
      <c r="C74" s="551" t="s">
        <v>443</v>
      </c>
      <c r="D74" s="579" t="s">
        <v>492</v>
      </c>
      <c r="E74" s="551" t="s">
        <v>1024</v>
      </c>
      <c r="F74" s="579" t="s">
        <v>1025</v>
      </c>
      <c r="G74" s="551" t="s">
        <v>836</v>
      </c>
      <c r="H74" s="551" t="s">
        <v>837</v>
      </c>
      <c r="I74" s="565">
        <v>20.329999999999998</v>
      </c>
      <c r="J74" s="565">
        <v>125</v>
      </c>
      <c r="K74" s="566">
        <v>2541</v>
      </c>
    </row>
    <row r="75" spans="1:11" ht="14.4" customHeight="1" x14ac:dyDescent="0.3">
      <c r="A75" s="547" t="s">
        <v>433</v>
      </c>
      <c r="B75" s="548" t="s">
        <v>490</v>
      </c>
      <c r="C75" s="551" t="s">
        <v>443</v>
      </c>
      <c r="D75" s="579" t="s">
        <v>492</v>
      </c>
      <c r="E75" s="551" t="s">
        <v>1020</v>
      </c>
      <c r="F75" s="579" t="s">
        <v>1021</v>
      </c>
      <c r="G75" s="551" t="s">
        <v>762</v>
      </c>
      <c r="H75" s="551" t="s">
        <v>763</v>
      </c>
      <c r="I75" s="565">
        <v>0.30333333333333334</v>
      </c>
      <c r="J75" s="565">
        <v>1100</v>
      </c>
      <c r="K75" s="566">
        <v>333</v>
      </c>
    </row>
    <row r="76" spans="1:11" ht="14.4" customHeight="1" x14ac:dyDescent="0.3">
      <c r="A76" s="547" t="s">
        <v>433</v>
      </c>
      <c r="B76" s="548" t="s">
        <v>490</v>
      </c>
      <c r="C76" s="551" t="s">
        <v>443</v>
      </c>
      <c r="D76" s="579" t="s">
        <v>492</v>
      </c>
      <c r="E76" s="551" t="s">
        <v>1022</v>
      </c>
      <c r="F76" s="579" t="s">
        <v>1023</v>
      </c>
      <c r="G76" s="551" t="s">
        <v>838</v>
      </c>
      <c r="H76" s="551" t="s">
        <v>839</v>
      </c>
      <c r="I76" s="565">
        <v>7.5</v>
      </c>
      <c r="J76" s="565">
        <v>240</v>
      </c>
      <c r="K76" s="566">
        <v>1800</v>
      </c>
    </row>
    <row r="77" spans="1:11" ht="14.4" customHeight="1" x14ac:dyDescent="0.3">
      <c r="A77" s="547" t="s">
        <v>433</v>
      </c>
      <c r="B77" s="548" t="s">
        <v>490</v>
      </c>
      <c r="C77" s="551" t="s">
        <v>443</v>
      </c>
      <c r="D77" s="579" t="s">
        <v>492</v>
      </c>
      <c r="E77" s="551" t="s">
        <v>1022</v>
      </c>
      <c r="F77" s="579" t="s">
        <v>1023</v>
      </c>
      <c r="G77" s="551" t="s">
        <v>766</v>
      </c>
      <c r="H77" s="551" t="s">
        <v>767</v>
      </c>
      <c r="I77" s="565">
        <v>0.71</v>
      </c>
      <c r="J77" s="565">
        <v>2200</v>
      </c>
      <c r="K77" s="566">
        <v>1562</v>
      </c>
    </row>
    <row r="78" spans="1:11" ht="14.4" customHeight="1" x14ac:dyDescent="0.3">
      <c r="A78" s="547" t="s">
        <v>433</v>
      </c>
      <c r="B78" s="548" t="s">
        <v>490</v>
      </c>
      <c r="C78" s="551" t="s">
        <v>443</v>
      </c>
      <c r="D78" s="579" t="s">
        <v>492</v>
      </c>
      <c r="E78" s="551" t="s">
        <v>1022</v>
      </c>
      <c r="F78" s="579" t="s">
        <v>1023</v>
      </c>
      <c r="G78" s="551" t="s">
        <v>768</v>
      </c>
      <c r="H78" s="551" t="s">
        <v>769</v>
      </c>
      <c r="I78" s="565">
        <v>0.71</v>
      </c>
      <c r="J78" s="565">
        <v>1800</v>
      </c>
      <c r="K78" s="566">
        <v>1278</v>
      </c>
    </row>
    <row r="79" spans="1:11" ht="14.4" customHeight="1" x14ac:dyDescent="0.3">
      <c r="A79" s="547" t="s">
        <v>433</v>
      </c>
      <c r="B79" s="548" t="s">
        <v>490</v>
      </c>
      <c r="C79" s="551" t="s">
        <v>443</v>
      </c>
      <c r="D79" s="579" t="s">
        <v>492</v>
      </c>
      <c r="E79" s="551" t="s">
        <v>1022</v>
      </c>
      <c r="F79" s="579" t="s">
        <v>1023</v>
      </c>
      <c r="G79" s="551" t="s">
        <v>840</v>
      </c>
      <c r="H79" s="551" t="s">
        <v>841</v>
      </c>
      <c r="I79" s="565">
        <v>12.59</v>
      </c>
      <c r="J79" s="565">
        <v>100</v>
      </c>
      <c r="K79" s="566">
        <v>1259</v>
      </c>
    </row>
    <row r="80" spans="1:11" ht="14.4" customHeight="1" x14ac:dyDescent="0.3">
      <c r="A80" s="547" t="s">
        <v>433</v>
      </c>
      <c r="B80" s="548" t="s">
        <v>490</v>
      </c>
      <c r="C80" s="551" t="s">
        <v>443</v>
      </c>
      <c r="D80" s="579" t="s">
        <v>492</v>
      </c>
      <c r="E80" s="551" t="s">
        <v>1026</v>
      </c>
      <c r="F80" s="579" t="s">
        <v>1027</v>
      </c>
      <c r="G80" s="551" t="s">
        <v>842</v>
      </c>
      <c r="H80" s="551" t="s">
        <v>843</v>
      </c>
      <c r="I80" s="565">
        <v>256.74784914618698</v>
      </c>
      <c r="J80" s="565">
        <v>1</v>
      </c>
      <c r="K80" s="566">
        <v>256.74784914618698</v>
      </c>
    </row>
    <row r="81" spans="1:11" ht="14.4" customHeight="1" x14ac:dyDescent="0.3">
      <c r="A81" s="547" t="s">
        <v>433</v>
      </c>
      <c r="B81" s="548" t="s">
        <v>490</v>
      </c>
      <c r="C81" s="551" t="s">
        <v>443</v>
      </c>
      <c r="D81" s="579" t="s">
        <v>492</v>
      </c>
      <c r="E81" s="551" t="s">
        <v>1026</v>
      </c>
      <c r="F81" s="579" t="s">
        <v>1027</v>
      </c>
      <c r="G81" s="551" t="s">
        <v>844</v>
      </c>
      <c r="H81" s="551" t="s">
        <v>845</v>
      </c>
      <c r="I81" s="565">
        <v>828.46536449988662</v>
      </c>
      <c r="J81" s="565">
        <v>3</v>
      </c>
      <c r="K81" s="566">
        <v>2485.3960934996599</v>
      </c>
    </row>
    <row r="82" spans="1:11" ht="14.4" customHeight="1" x14ac:dyDescent="0.3">
      <c r="A82" s="547" t="s">
        <v>433</v>
      </c>
      <c r="B82" s="548" t="s">
        <v>490</v>
      </c>
      <c r="C82" s="551" t="s">
        <v>443</v>
      </c>
      <c r="D82" s="579" t="s">
        <v>492</v>
      </c>
      <c r="E82" s="551" t="s">
        <v>1026</v>
      </c>
      <c r="F82" s="579" t="s">
        <v>1027</v>
      </c>
      <c r="G82" s="551" t="s">
        <v>846</v>
      </c>
      <c r="H82" s="551" t="s">
        <v>847</v>
      </c>
      <c r="I82" s="565">
        <v>210.80066943270492</v>
      </c>
      <c r="J82" s="565">
        <v>39</v>
      </c>
      <c r="K82" s="566">
        <v>8187.6353673013891</v>
      </c>
    </row>
    <row r="83" spans="1:11" ht="14.4" customHeight="1" x14ac:dyDescent="0.3">
      <c r="A83" s="547" t="s">
        <v>433</v>
      </c>
      <c r="B83" s="548" t="s">
        <v>490</v>
      </c>
      <c r="C83" s="551" t="s">
        <v>443</v>
      </c>
      <c r="D83" s="579" t="s">
        <v>492</v>
      </c>
      <c r="E83" s="551" t="s">
        <v>1026</v>
      </c>
      <c r="F83" s="579" t="s">
        <v>1027</v>
      </c>
      <c r="G83" s="551" t="s">
        <v>848</v>
      </c>
      <c r="H83" s="551" t="s">
        <v>849</v>
      </c>
      <c r="I83" s="565">
        <v>187.96974056721524</v>
      </c>
      <c r="J83" s="565">
        <v>3</v>
      </c>
      <c r="K83" s="566">
        <v>563.90922170164572</v>
      </c>
    </row>
    <row r="84" spans="1:11" ht="14.4" customHeight="1" x14ac:dyDescent="0.3">
      <c r="A84" s="547" t="s">
        <v>433</v>
      </c>
      <c r="B84" s="548" t="s">
        <v>490</v>
      </c>
      <c r="C84" s="551" t="s">
        <v>443</v>
      </c>
      <c r="D84" s="579" t="s">
        <v>492</v>
      </c>
      <c r="E84" s="551" t="s">
        <v>1026</v>
      </c>
      <c r="F84" s="579" t="s">
        <v>1027</v>
      </c>
      <c r="G84" s="551" t="s">
        <v>850</v>
      </c>
      <c r="H84" s="551" t="s">
        <v>851</v>
      </c>
      <c r="I84" s="565">
        <v>289.08291701728371</v>
      </c>
      <c r="J84" s="565">
        <v>14</v>
      </c>
      <c r="K84" s="566">
        <v>4047.1608382419722</v>
      </c>
    </row>
    <row r="85" spans="1:11" ht="14.4" customHeight="1" x14ac:dyDescent="0.3">
      <c r="A85" s="547" t="s">
        <v>433</v>
      </c>
      <c r="B85" s="548" t="s">
        <v>490</v>
      </c>
      <c r="C85" s="551" t="s">
        <v>443</v>
      </c>
      <c r="D85" s="579" t="s">
        <v>492</v>
      </c>
      <c r="E85" s="551" t="s">
        <v>1026</v>
      </c>
      <c r="F85" s="579" t="s">
        <v>1027</v>
      </c>
      <c r="G85" s="551" t="s">
        <v>852</v>
      </c>
      <c r="H85" s="551" t="s">
        <v>853</v>
      </c>
      <c r="I85" s="565">
        <v>303.84385704312325</v>
      </c>
      <c r="J85" s="565">
        <v>9</v>
      </c>
      <c r="K85" s="566">
        <v>2734.5947133881091</v>
      </c>
    </row>
    <row r="86" spans="1:11" ht="14.4" customHeight="1" x14ac:dyDescent="0.3">
      <c r="A86" s="547" t="s">
        <v>433</v>
      </c>
      <c r="B86" s="548" t="s">
        <v>490</v>
      </c>
      <c r="C86" s="551" t="s">
        <v>443</v>
      </c>
      <c r="D86" s="579" t="s">
        <v>492</v>
      </c>
      <c r="E86" s="551" t="s">
        <v>1026</v>
      </c>
      <c r="F86" s="579" t="s">
        <v>1027</v>
      </c>
      <c r="G86" s="551" t="s">
        <v>854</v>
      </c>
      <c r="H86" s="551" t="s">
        <v>855</v>
      </c>
      <c r="I86" s="565">
        <v>233.90368800314786</v>
      </c>
      <c r="J86" s="565">
        <v>3</v>
      </c>
      <c r="K86" s="566">
        <v>701.71106400944359</v>
      </c>
    </row>
    <row r="87" spans="1:11" ht="14.4" customHeight="1" x14ac:dyDescent="0.3">
      <c r="A87" s="547" t="s">
        <v>433</v>
      </c>
      <c r="B87" s="548" t="s">
        <v>490</v>
      </c>
      <c r="C87" s="551" t="s">
        <v>443</v>
      </c>
      <c r="D87" s="579" t="s">
        <v>492</v>
      </c>
      <c r="E87" s="551" t="s">
        <v>1026</v>
      </c>
      <c r="F87" s="579" t="s">
        <v>1027</v>
      </c>
      <c r="G87" s="551" t="s">
        <v>856</v>
      </c>
      <c r="H87" s="551" t="s">
        <v>857</v>
      </c>
      <c r="I87" s="565">
        <v>125.84</v>
      </c>
      <c r="J87" s="565">
        <v>5</v>
      </c>
      <c r="K87" s="566">
        <v>629.20000000000005</v>
      </c>
    </row>
    <row r="88" spans="1:11" ht="14.4" customHeight="1" x14ac:dyDescent="0.3">
      <c r="A88" s="547" t="s">
        <v>433</v>
      </c>
      <c r="B88" s="548" t="s">
        <v>490</v>
      </c>
      <c r="C88" s="551" t="s">
        <v>443</v>
      </c>
      <c r="D88" s="579" t="s">
        <v>492</v>
      </c>
      <c r="E88" s="551" t="s">
        <v>1026</v>
      </c>
      <c r="F88" s="579" t="s">
        <v>1027</v>
      </c>
      <c r="G88" s="551" t="s">
        <v>858</v>
      </c>
      <c r="H88" s="551" t="s">
        <v>859</v>
      </c>
      <c r="I88" s="565">
        <v>799.78</v>
      </c>
      <c r="J88" s="565">
        <v>1</v>
      </c>
      <c r="K88" s="566">
        <v>799.78</v>
      </c>
    </row>
    <row r="89" spans="1:11" ht="14.4" customHeight="1" x14ac:dyDescent="0.3">
      <c r="A89" s="547" t="s">
        <v>433</v>
      </c>
      <c r="B89" s="548" t="s">
        <v>490</v>
      </c>
      <c r="C89" s="551" t="s">
        <v>443</v>
      </c>
      <c r="D89" s="579" t="s">
        <v>492</v>
      </c>
      <c r="E89" s="551" t="s">
        <v>1026</v>
      </c>
      <c r="F89" s="579" t="s">
        <v>1027</v>
      </c>
      <c r="G89" s="551" t="s">
        <v>860</v>
      </c>
      <c r="H89" s="551" t="s">
        <v>861</v>
      </c>
      <c r="I89" s="565">
        <v>646.12</v>
      </c>
      <c r="J89" s="565">
        <v>1</v>
      </c>
      <c r="K89" s="566">
        <v>646.12</v>
      </c>
    </row>
    <row r="90" spans="1:11" ht="14.4" customHeight="1" x14ac:dyDescent="0.3">
      <c r="A90" s="547" t="s">
        <v>433</v>
      </c>
      <c r="B90" s="548" t="s">
        <v>490</v>
      </c>
      <c r="C90" s="551" t="s">
        <v>443</v>
      </c>
      <c r="D90" s="579" t="s">
        <v>492</v>
      </c>
      <c r="E90" s="551" t="s">
        <v>1026</v>
      </c>
      <c r="F90" s="579" t="s">
        <v>1027</v>
      </c>
      <c r="G90" s="551" t="s">
        <v>862</v>
      </c>
      <c r="H90" s="551" t="s">
        <v>863</v>
      </c>
      <c r="I90" s="565">
        <v>642.59</v>
      </c>
      <c r="J90" s="565">
        <v>4</v>
      </c>
      <c r="K90" s="566">
        <v>2570.36</v>
      </c>
    </row>
    <row r="91" spans="1:11" ht="14.4" customHeight="1" x14ac:dyDescent="0.3">
      <c r="A91" s="547" t="s">
        <v>433</v>
      </c>
      <c r="B91" s="548" t="s">
        <v>490</v>
      </c>
      <c r="C91" s="551" t="s">
        <v>443</v>
      </c>
      <c r="D91" s="579" t="s">
        <v>492</v>
      </c>
      <c r="E91" s="551" t="s">
        <v>1026</v>
      </c>
      <c r="F91" s="579" t="s">
        <v>1027</v>
      </c>
      <c r="G91" s="551" t="s">
        <v>864</v>
      </c>
      <c r="H91" s="551" t="s">
        <v>865</v>
      </c>
      <c r="I91" s="565">
        <v>328.35666666666668</v>
      </c>
      <c r="J91" s="565">
        <v>479</v>
      </c>
      <c r="K91" s="566">
        <v>74120.2</v>
      </c>
    </row>
    <row r="92" spans="1:11" ht="14.4" customHeight="1" x14ac:dyDescent="0.3">
      <c r="A92" s="547" t="s">
        <v>433</v>
      </c>
      <c r="B92" s="548" t="s">
        <v>490</v>
      </c>
      <c r="C92" s="551" t="s">
        <v>443</v>
      </c>
      <c r="D92" s="579" t="s">
        <v>492</v>
      </c>
      <c r="E92" s="551" t="s">
        <v>1026</v>
      </c>
      <c r="F92" s="579" t="s">
        <v>1027</v>
      </c>
      <c r="G92" s="551" t="s">
        <v>866</v>
      </c>
      <c r="H92" s="551" t="s">
        <v>867</v>
      </c>
      <c r="I92" s="565">
        <v>12577.855</v>
      </c>
      <c r="J92" s="565">
        <v>3</v>
      </c>
      <c r="K92" s="566">
        <v>34771.360000000001</v>
      </c>
    </row>
    <row r="93" spans="1:11" ht="14.4" customHeight="1" x14ac:dyDescent="0.3">
      <c r="A93" s="547" t="s">
        <v>433</v>
      </c>
      <c r="B93" s="548" t="s">
        <v>490</v>
      </c>
      <c r="C93" s="551" t="s">
        <v>443</v>
      </c>
      <c r="D93" s="579" t="s">
        <v>492</v>
      </c>
      <c r="E93" s="551" t="s">
        <v>1026</v>
      </c>
      <c r="F93" s="579" t="s">
        <v>1027</v>
      </c>
      <c r="G93" s="551" t="s">
        <v>868</v>
      </c>
      <c r="H93" s="551" t="s">
        <v>869</v>
      </c>
      <c r="I93" s="565">
        <v>73.649999999999991</v>
      </c>
      <c r="J93" s="565">
        <v>4</v>
      </c>
      <c r="K93" s="566">
        <v>295.49</v>
      </c>
    </row>
    <row r="94" spans="1:11" ht="14.4" customHeight="1" x14ac:dyDescent="0.3">
      <c r="A94" s="547" t="s">
        <v>433</v>
      </c>
      <c r="B94" s="548" t="s">
        <v>490</v>
      </c>
      <c r="C94" s="551" t="s">
        <v>443</v>
      </c>
      <c r="D94" s="579" t="s">
        <v>492</v>
      </c>
      <c r="E94" s="551" t="s">
        <v>1026</v>
      </c>
      <c r="F94" s="579" t="s">
        <v>1027</v>
      </c>
      <c r="G94" s="551" t="s">
        <v>870</v>
      </c>
      <c r="H94" s="551" t="s">
        <v>871</v>
      </c>
      <c r="I94" s="565">
        <v>81.675000000000011</v>
      </c>
      <c r="J94" s="565">
        <v>12</v>
      </c>
      <c r="K94" s="566">
        <v>977.59999999999991</v>
      </c>
    </row>
    <row r="95" spans="1:11" ht="14.4" customHeight="1" x14ac:dyDescent="0.3">
      <c r="A95" s="547" t="s">
        <v>433</v>
      </c>
      <c r="B95" s="548" t="s">
        <v>490</v>
      </c>
      <c r="C95" s="551" t="s">
        <v>443</v>
      </c>
      <c r="D95" s="579" t="s">
        <v>492</v>
      </c>
      <c r="E95" s="551" t="s">
        <v>1026</v>
      </c>
      <c r="F95" s="579" t="s">
        <v>1027</v>
      </c>
      <c r="G95" s="551" t="s">
        <v>872</v>
      </c>
      <c r="H95" s="551" t="s">
        <v>873</v>
      </c>
      <c r="I95" s="565">
        <v>19012</v>
      </c>
      <c r="J95" s="565">
        <v>2</v>
      </c>
      <c r="K95" s="566">
        <v>38024</v>
      </c>
    </row>
    <row r="96" spans="1:11" ht="14.4" customHeight="1" x14ac:dyDescent="0.3">
      <c r="A96" s="547" t="s">
        <v>433</v>
      </c>
      <c r="B96" s="548" t="s">
        <v>490</v>
      </c>
      <c r="C96" s="551" t="s">
        <v>443</v>
      </c>
      <c r="D96" s="579" t="s">
        <v>492</v>
      </c>
      <c r="E96" s="551" t="s">
        <v>1026</v>
      </c>
      <c r="F96" s="579" t="s">
        <v>1027</v>
      </c>
      <c r="G96" s="551" t="s">
        <v>874</v>
      </c>
      <c r="H96" s="551" t="s">
        <v>875</v>
      </c>
      <c r="I96" s="565">
        <v>336.05</v>
      </c>
      <c r="J96" s="565">
        <v>8</v>
      </c>
      <c r="K96" s="566">
        <v>2688.4</v>
      </c>
    </row>
    <row r="97" spans="1:11" ht="14.4" customHeight="1" x14ac:dyDescent="0.3">
      <c r="A97" s="547" t="s">
        <v>433</v>
      </c>
      <c r="B97" s="548" t="s">
        <v>490</v>
      </c>
      <c r="C97" s="551" t="s">
        <v>443</v>
      </c>
      <c r="D97" s="579" t="s">
        <v>492</v>
      </c>
      <c r="E97" s="551" t="s">
        <v>1026</v>
      </c>
      <c r="F97" s="579" t="s">
        <v>1027</v>
      </c>
      <c r="G97" s="551" t="s">
        <v>876</v>
      </c>
      <c r="H97" s="551" t="s">
        <v>877</v>
      </c>
      <c r="I97" s="565">
        <v>1318.8999999999999</v>
      </c>
      <c r="J97" s="565">
        <v>30</v>
      </c>
      <c r="K97" s="566">
        <v>39567</v>
      </c>
    </row>
    <row r="98" spans="1:11" ht="14.4" customHeight="1" x14ac:dyDescent="0.3">
      <c r="A98" s="547" t="s">
        <v>433</v>
      </c>
      <c r="B98" s="548" t="s">
        <v>490</v>
      </c>
      <c r="C98" s="551" t="s">
        <v>443</v>
      </c>
      <c r="D98" s="579" t="s">
        <v>492</v>
      </c>
      <c r="E98" s="551" t="s">
        <v>1026</v>
      </c>
      <c r="F98" s="579" t="s">
        <v>1027</v>
      </c>
      <c r="G98" s="551" t="s">
        <v>878</v>
      </c>
      <c r="H98" s="551" t="s">
        <v>879</v>
      </c>
      <c r="I98" s="565">
        <v>3176.25</v>
      </c>
      <c r="J98" s="565">
        <v>2</v>
      </c>
      <c r="K98" s="566">
        <v>6352.5</v>
      </c>
    </row>
    <row r="99" spans="1:11" ht="14.4" customHeight="1" x14ac:dyDescent="0.3">
      <c r="A99" s="547" t="s">
        <v>433</v>
      </c>
      <c r="B99" s="548" t="s">
        <v>490</v>
      </c>
      <c r="C99" s="551" t="s">
        <v>443</v>
      </c>
      <c r="D99" s="579" t="s">
        <v>492</v>
      </c>
      <c r="E99" s="551" t="s">
        <v>1026</v>
      </c>
      <c r="F99" s="579" t="s">
        <v>1027</v>
      </c>
      <c r="G99" s="551" t="s">
        <v>880</v>
      </c>
      <c r="H99" s="551" t="s">
        <v>881</v>
      </c>
      <c r="I99" s="565">
        <v>1173.7</v>
      </c>
      <c r="J99" s="565">
        <v>8</v>
      </c>
      <c r="K99" s="566">
        <v>9389.6</v>
      </c>
    </row>
    <row r="100" spans="1:11" ht="14.4" customHeight="1" x14ac:dyDescent="0.3">
      <c r="A100" s="547" t="s">
        <v>433</v>
      </c>
      <c r="B100" s="548" t="s">
        <v>490</v>
      </c>
      <c r="C100" s="551" t="s">
        <v>443</v>
      </c>
      <c r="D100" s="579" t="s">
        <v>492</v>
      </c>
      <c r="E100" s="551" t="s">
        <v>1026</v>
      </c>
      <c r="F100" s="579" t="s">
        <v>1027</v>
      </c>
      <c r="G100" s="551" t="s">
        <v>882</v>
      </c>
      <c r="H100" s="551" t="s">
        <v>883</v>
      </c>
      <c r="I100" s="565">
        <v>4023.86</v>
      </c>
      <c r="J100" s="565">
        <v>1</v>
      </c>
      <c r="K100" s="566">
        <v>4023.86</v>
      </c>
    </row>
    <row r="101" spans="1:11" ht="14.4" customHeight="1" x14ac:dyDescent="0.3">
      <c r="A101" s="547" t="s">
        <v>433</v>
      </c>
      <c r="B101" s="548" t="s">
        <v>490</v>
      </c>
      <c r="C101" s="551" t="s">
        <v>443</v>
      </c>
      <c r="D101" s="579" t="s">
        <v>492</v>
      </c>
      <c r="E101" s="551" t="s">
        <v>1026</v>
      </c>
      <c r="F101" s="579" t="s">
        <v>1027</v>
      </c>
      <c r="G101" s="551" t="s">
        <v>884</v>
      </c>
      <c r="H101" s="551" t="s">
        <v>885</v>
      </c>
      <c r="I101" s="565">
        <v>14822.5</v>
      </c>
      <c r="J101" s="565">
        <v>1</v>
      </c>
      <c r="K101" s="566">
        <v>14822.5</v>
      </c>
    </row>
    <row r="102" spans="1:11" ht="14.4" customHeight="1" x14ac:dyDescent="0.3">
      <c r="A102" s="547" t="s">
        <v>433</v>
      </c>
      <c r="B102" s="548" t="s">
        <v>490</v>
      </c>
      <c r="C102" s="551" t="s">
        <v>443</v>
      </c>
      <c r="D102" s="579" t="s">
        <v>492</v>
      </c>
      <c r="E102" s="551" t="s">
        <v>1026</v>
      </c>
      <c r="F102" s="579" t="s">
        <v>1027</v>
      </c>
      <c r="G102" s="551" t="s">
        <v>886</v>
      </c>
      <c r="H102" s="551" t="s">
        <v>887</v>
      </c>
      <c r="I102" s="565">
        <v>15116.795</v>
      </c>
      <c r="J102" s="565">
        <v>2</v>
      </c>
      <c r="K102" s="566">
        <v>30233.59</v>
      </c>
    </row>
    <row r="103" spans="1:11" ht="14.4" customHeight="1" x14ac:dyDescent="0.3">
      <c r="A103" s="547" t="s">
        <v>433</v>
      </c>
      <c r="B103" s="548" t="s">
        <v>490</v>
      </c>
      <c r="C103" s="551" t="s">
        <v>443</v>
      </c>
      <c r="D103" s="579" t="s">
        <v>492</v>
      </c>
      <c r="E103" s="551" t="s">
        <v>1026</v>
      </c>
      <c r="F103" s="579" t="s">
        <v>1027</v>
      </c>
      <c r="G103" s="551" t="s">
        <v>888</v>
      </c>
      <c r="H103" s="551" t="s">
        <v>889</v>
      </c>
      <c r="I103" s="565">
        <v>37038.1</v>
      </c>
      <c r="J103" s="565">
        <v>1</v>
      </c>
      <c r="K103" s="566">
        <v>37038.1</v>
      </c>
    </row>
    <row r="104" spans="1:11" ht="14.4" customHeight="1" x14ac:dyDescent="0.3">
      <c r="A104" s="547" t="s">
        <v>433</v>
      </c>
      <c r="B104" s="548" t="s">
        <v>490</v>
      </c>
      <c r="C104" s="551" t="s">
        <v>443</v>
      </c>
      <c r="D104" s="579" t="s">
        <v>492</v>
      </c>
      <c r="E104" s="551" t="s">
        <v>1026</v>
      </c>
      <c r="F104" s="579" t="s">
        <v>1027</v>
      </c>
      <c r="G104" s="551" t="s">
        <v>890</v>
      </c>
      <c r="H104" s="551" t="s">
        <v>891</v>
      </c>
      <c r="I104" s="565">
        <v>7755.69</v>
      </c>
      <c r="J104" s="565">
        <v>1</v>
      </c>
      <c r="K104" s="566">
        <v>7755.69</v>
      </c>
    </row>
    <row r="105" spans="1:11" ht="14.4" customHeight="1" x14ac:dyDescent="0.3">
      <c r="A105" s="547" t="s">
        <v>433</v>
      </c>
      <c r="B105" s="548" t="s">
        <v>490</v>
      </c>
      <c r="C105" s="551" t="s">
        <v>443</v>
      </c>
      <c r="D105" s="579" t="s">
        <v>492</v>
      </c>
      <c r="E105" s="551" t="s">
        <v>1026</v>
      </c>
      <c r="F105" s="579" t="s">
        <v>1027</v>
      </c>
      <c r="G105" s="551" t="s">
        <v>892</v>
      </c>
      <c r="H105" s="551" t="s">
        <v>893</v>
      </c>
      <c r="I105" s="565">
        <v>14367.205</v>
      </c>
      <c r="J105" s="565">
        <v>2</v>
      </c>
      <c r="K105" s="566">
        <v>28734.41</v>
      </c>
    </row>
    <row r="106" spans="1:11" ht="14.4" customHeight="1" x14ac:dyDescent="0.3">
      <c r="A106" s="547" t="s">
        <v>433</v>
      </c>
      <c r="B106" s="548" t="s">
        <v>490</v>
      </c>
      <c r="C106" s="551" t="s">
        <v>443</v>
      </c>
      <c r="D106" s="579" t="s">
        <v>492</v>
      </c>
      <c r="E106" s="551" t="s">
        <v>1026</v>
      </c>
      <c r="F106" s="579" t="s">
        <v>1027</v>
      </c>
      <c r="G106" s="551" t="s">
        <v>894</v>
      </c>
      <c r="H106" s="551" t="s">
        <v>895</v>
      </c>
      <c r="I106" s="565">
        <v>44300.639999999999</v>
      </c>
      <c r="J106" s="565">
        <v>2</v>
      </c>
      <c r="K106" s="566">
        <v>88601.279999999999</v>
      </c>
    </row>
    <row r="107" spans="1:11" ht="14.4" customHeight="1" x14ac:dyDescent="0.3">
      <c r="A107" s="547" t="s">
        <v>433</v>
      </c>
      <c r="B107" s="548" t="s">
        <v>490</v>
      </c>
      <c r="C107" s="551" t="s">
        <v>443</v>
      </c>
      <c r="D107" s="579" t="s">
        <v>492</v>
      </c>
      <c r="E107" s="551" t="s">
        <v>1026</v>
      </c>
      <c r="F107" s="579" t="s">
        <v>1027</v>
      </c>
      <c r="G107" s="551" t="s">
        <v>896</v>
      </c>
      <c r="H107" s="551" t="s">
        <v>897</v>
      </c>
      <c r="I107" s="565">
        <v>24865.5</v>
      </c>
      <c r="J107" s="565">
        <v>5</v>
      </c>
      <c r="K107" s="566">
        <v>124327.5</v>
      </c>
    </row>
    <row r="108" spans="1:11" ht="14.4" customHeight="1" x14ac:dyDescent="0.3">
      <c r="A108" s="547" t="s">
        <v>433</v>
      </c>
      <c r="B108" s="548" t="s">
        <v>490</v>
      </c>
      <c r="C108" s="551" t="s">
        <v>443</v>
      </c>
      <c r="D108" s="579" t="s">
        <v>492</v>
      </c>
      <c r="E108" s="551" t="s">
        <v>1026</v>
      </c>
      <c r="F108" s="579" t="s">
        <v>1027</v>
      </c>
      <c r="G108" s="551" t="s">
        <v>898</v>
      </c>
      <c r="H108" s="551" t="s">
        <v>899</v>
      </c>
      <c r="I108" s="565">
        <v>3739</v>
      </c>
      <c r="J108" s="565">
        <v>6</v>
      </c>
      <c r="K108" s="566">
        <v>22434</v>
      </c>
    </row>
    <row r="109" spans="1:11" ht="14.4" customHeight="1" x14ac:dyDescent="0.3">
      <c r="A109" s="547" t="s">
        <v>433</v>
      </c>
      <c r="B109" s="548" t="s">
        <v>490</v>
      </c>
      <c r="C109" s="551" t="s">
        <v>443</v>
      </c>
      <c r="D109" s="579" t="s">
        <v>492</v>
      </c>
      <c r="E109" s="551" t="s">
        <v>1026</v>
      </c>
      <c r="F109" s="579" t="s">
        <v>1027</v>
      </c>
      <c r="G109" s="551" t="s">
        <v>900</v>
      </c>
      <c r="H109" s="551" t="s">
        <v>901</v>
      </c>
      <c r="I109" s="565">
        <v>39216.1</v>
      </c>
      <c r="J109" s="565">
        <v>1</v>
      </c>
      <c r="K109" s="566">
        <v>39216.1</v>
      </c>
    </row>
    <row r="110" spans="1:11" ht="14.4" customHeight="1" x14ac:dyDescent="0.3">
      <c r="A110" s="547" t="s">
        <v>433</v>
      </c>
      <c r="B110" s="548" t="s">
        <v>490</v>
      </c>
      <c r="C110" s="551" t="s">
        <v>443</v>
      </c>
      <c r="D110" s="579" t="s">
        <v>492</v>
      </c>
      <c r="E110" s="551" t="s">
        <v>1026</v>
      </c>
      <c r="F110" s="579" t="s">
        <v>1027</v>
      </c>
      <c r="G110" s="551" t="s">
        <v>902</v>
      </c>
      <c r="H110" s="551" t="s">
        <v>903</v>
      </c>
      <c r="I110" s="565">
        <v>264.99</v>
      </c>
      <c r="J110" s="565">
        <v>1</v>
      </c>
      <c r="K110" s="566">
        <v>264.99</v>
      </c>
    </row>
    <row r="111" spans="1:11" ht="14.4" customHeight="1" x14ac:dyDescent="0.3">
      <c r="A111" s="547" t="s">
        <v>433</v>
      </c>
      <c r="B111" s="548" t="s">
        <v>490</v>
      </c>
      <c r="C111" s="551" t="s">
        <v>443</v>
      </c>
      <c r="D111" s="579" t="s">
        <v>492</v>
      </c>
      <c r="E111" s="551" t="s">
        <v>1026</v>
      </c>
      <c r="F111" s="579" t="s">
        <v>1027</v>
      </c>
      <c r="G111" s="551" t="s">
        <v>904</v>
      </c>
      <c r="H111" s="551" t="s">
        <v>905</v>
      </c>
      <c r="I111" s="565">
        <v>7749.2450000000008</v>
      </c>
      <c r="J111" s="565">
        <v>3</v>
      </c>
      <c r="K111" s="566">
        <v>23247.02</v>
      </c>
    </row>
    <row r="112" spans="1:11" ht="14.4" customHeight="1" x14ac:dyDescent="0.3">
      <c r="A112" s="547" t="s">
        <v>433</v>
      </c>
      <c r="B112" s="548" t="s">
        <v>490</v>
      </c>
      <c r="C112" s="551" t="s">
        <v>443</v>
      </c>
      <c r="D112" s="579" t="s">
        <v>492</v>
      </c>
      <c r="E112" s="551" t="s">
        <v>1026</v>
      </c>
      <c r="F112" s="579" t="s">
        <v>1027</v>
      </c>
      <c r="G112" s="551" t="s">
        <v>906</v>
      </c>
      <c r="H112" s="551" t="s">
        <v>907</v>
      </c>
      <c r="I112" s="565">
        <v>15504.22</v>
      </c>
      <c r="J112" s="565">
        <v>2</v>
      </c>
      <c r="K112" s="566">
        <v>31008.44</v>
      </c>
    </row>
    <row r="113" spans="1:11" ht="14.4" customHeight="1" x14ac:dyDescent="0.3">
      <c r="A113" s="547" t="s">
        <v>433</v>
      </c>
      <c r="B113" s="548" t="s">
        <v>490</v>
      </c>
      <c r="C113" s="551" t="s">
        <v>443</v>
      </c>
      <c r="D113" s="579" t="s">
        <v>492</v>
      </c>
      <c r="E113" s="551" t="s">
        <v>1026</v>
      </c>
      <c r="F113" s="579" t="s">
        <v>1027</v>
      </c>
      <c r="G113" s="551" t="s">
        <v>908</v>
      </c>
      <c r="H113" s="551" t="s">
        <v>909</v>
      </c>
      <c r="I113" s="565">
        <v>12909.97</v>
      </c>
      <c r="J113" s="565">
        <v>2</v>
      </c>
      <c r="K113" s="566">
        <v>25819.94</v>
      </c>
    </row>
    <row r="114" spans="1:11" ht="14.4" customHeight="1" x14ac:dyDescent="0.3">
      <c r="A114" s="547" t="s">
        <v>433</v>
      </c>
      <c r="B114" s="548" t="s">
        <v>490</v>
      </c>
      <c r="C114" s="551" t="s">
        <v>443</v>
      </c>
      <c r="D114" s="579" t="s">
        <v>492</v>
      </c>
      <c r="E114" s="551" t="s">
        <v>1026</v>
      </c>
      <c r="F114" s="579" t="s">
        <v>1027</v>
      </c>
      <c r="G114" s="551" t="s">
        <v>910</v>
      </c>
      <c r="H114" s="551" t="s">
        <v>911</v>
      </c>
      <c r="I114" s="565">
        <v>20703.12</v>
      </c>
      <c r="J114" s="565">
        <v>2</v>
      </c>
      <c r="K114" s="566">
        <v>41406.239999999998</v>
      </c>
    </row>
    <row r="115" spans="1:11" ht="14.4" customHeight="1" x14ac:dyDescent="0.3">
      <c r="A115" s="547" t="s">
        <v>433</v>
      </c>
      <c r="B115" s="548" t="s">
        <v>490</v>
      </c>
      <c r="C115" s="551" t="s">
        <v>443</v>
      </c>
      <c r="D115" s="579" t="s">
        <v>492</v>
      </c>
      <c r="E115" s="551" t="s">
        <v>1026</v>
      </c>
      <c r="F115" s="579" t="s">
        <v>1027</v>
      </c>
      <c r="G115" s="551" t="s">
        <v>912</v>
      </c>
      <c r="H115" s="551" t="s">
        <v>913</v>
      </c>
      <c r="I115" s="565">
        <v>15333.12</v>
      </c>
      <c r="J115" s="565">
        <v>1</v>
      </c>
      <c r="K115" s="566">
        <v>15333.12</v>
      </c>
    </row>
    <row r="116" spans="1:11" ht="14.4" customHeight="1" x14ac:dyDescent="0.3">
      <c r="A116" s="547" t="s">
        <v>433</v>
      </c>
      <c r="B116" s="548" t="s">
        <v>490</v>
      </c>
      <c r="C116" s="551" t="s">
        <v>443</v>
      </c>
      <c r="D116" s="579" t="s">
        <v>492</v>
      </c>
      <c r="E116" s="551" t="s">
        <v>1026</v>
      </c>
      <c r="F116" s="579" t="s">
        <v>1027</v>
      </c>
      <c r="G116" s="551" t="s">
        <v>914</v>
      </c>
      <c r="H116" s="551" t="s">
        <v>915</v>
      </c>
      <c r="I116" s="565">
        <v>25719.33</v>
      </c>
      <c r="J116" s="565">
        <v>3</v>
      </c>
      <c r="K116" s="566">
        <v>77158</v>
      </c>
    </row>
    <row r="117" spans="1:11" ht="14.4" customHeight="1" x14ac:dyDescent="0.3">
      <c r="A117" s="547" t="s">
        <v>433</v>
      </c>
      <c r="B117" s="548" t="s">
        <v>490</v>
      </c>
      <c r="C117" s="551" t="s">
        <v>443</v>
      </c>
      <c r="D117" s="579" t="s">
        <v>492</v>
      </c>
      <c r="E117" s="551" t="s">
        <v>1026</v>
      </c>
      <c r="F117" s="579" t="s">
        <v>1027</v>
      </c>
      <c r="G117" s="551" t="s">
        <v>916</v>
      </c>
      <c r="H117" s="551" t="s">
        <v>917</v>
      </c>
      <c r="I117" s="565">
        <v>29500.81</v>
      </c>
      <c r="J117" s="565">
        <v>1</v>
      </c>
      <c r="K117" s="566">
        <v>29500.81</v>
      </c>
    </row>
    <row r="118" spans="1:11" ht="14.4" customHeight="1" x14ac:dyDescent="0.3">
      <c r="A118" s="547" t="s">
        <v>433</v>
      </c>
      <c r="B118" s="548" t="s">
        <v>490</v>
      </c>
      <c r="C118" s="551" t="s">
        <v>443</v>
      </c>
      <c r="D118" s="579" t="s">
        <v>492</v>
      </c>
      <c r="E118" s="551" t="s">
        <v>1026</v>
      </c>
      <c r="F118" s="579" t="s">
        <v>1027</v>
      </c>
      <c r="G118" s="551" t="s">
        <v>918</v>
      </c>
      <c r="H118" s="551" t="s">
        <v>919</v>
      </c>
      <c r="I118" s="565">
        <v>31005.57</v>
      </c>
      <c r="J118" s="565">
        <v>1</v>
      </c>
      <c r="K118" s="566">
        <v>31005.57</v>
      </c>
    </row>
    <row r="119" spans="1:11" ht="14.4" customHeight="1" x14ac:dyDescent="0.3">
      <c r="A119" s="547" t="s">
        <v>433</v>
      </c>
      <c r="B119" s="548" t="s">
        <v>490</v>
      </c>
      <c r="C119" s="551" t="s">
        <v>443</v>
      </c>
      <c r="D119" s="579" t="s">
        <v>492</v>
      </c>
      <c r="E119" s="551" t="s">
        <v>1026</v>
      </c>
      <c r="F119" s="579" t="s">
        <v>1027</v>
      </c>
      <c r="G119" s="551" t="s">
        <v>920</v>
      </c>
      <c r="H119" s="551" t="s">
        <v>921</v>
      </c>
      <c r="I119" s="565">
        <v>2236.08</v>
      </c>
      <c r="J119" s="565">
        <v>1</v>
      </c>
      <c r="K119" s="566">
        <v>2236.08</v>
      </c>
    </row>
    <row r="120" spans="1:11" ht="14.4" customHeight="1" x14ac:dyDescent="0.3">
      <c r="A120" s="547" t="s">
        <v>433</v>
      </c>
      <c r="B120" s="548" t="s">
        <v>490</v>
      </c>
      <c r="C120" s="551" t="s">
        <v>443</v>
      </c>
      <c r="D120" s="579" t="s">
        <v>492</v>
      </c>
      <c r="E120" s="551" t="s">
        <v>1026</v>
      </c>
      <c r="F120" s="579" t="s">
        <v>1027</v>
      </c>
      <c r="G120" s="551" t="s">
        <v>922</v>
      </c>
      <c r="H120" s="551" t="s">
        <v>923</v>
      </c>
      <c r="I120" s="565">
        <v>180653</v>
      </c>
      <c r="J120" s="565">
        <v>1</v>
      </c>
      <c r="K120" s="566">
        <v>180653</v>
      </c>
    </row>
    <row r="121" spans="1:11" ht="14.4" customHeight="1" x14ac:dyDescent="0.3">
      <c r="A121" s="547" t="s">
        <v>433</v>
      </c>
      <c r="B121" s="548" t="s">
        <v>490</v>
      </c>
      <c r="C121" s="551" t="s">
        <v>443</v>
      </c>
      <c r="D121" s="579" t="s">
        <v>492</v>
      </c>
      <c r="E121" s="551" t="s">
        <v>1026</v>
      </c>
      <c r="F121" s="579" t="s">
        <v>1027</v>
      </c>
      <c r="G121" s="551" t="s">
        <v>924</v>
      </c>
      <c r="H121" s="551" t="s">
        <v>925</v>
      </c>
      <c r="I121" s="565">
        <v>52541.35</v>
      </c>
      <c r="J121" s="565">
        <v>1</v>
      </c>
      <c r="K121" s="566">
        <v>52541.35</v>
      </c>
    </row>
    <row r="122" spans="1:11" ht="14.4" customHeight="1" x14ac:dyDescent="0.3">
      <c r="A122" s="547" t="s">
        <v>433</v>
      </c>
      <c r="B122" s="548" t="s">
        <v>490</v>
      </c>
      <c r="C122" s="551" t="s">
        <v>443</v>
      </c>
      <c r="D122" s="579" t="s">
        <v>492</v>
      </c>
      <c r="E122" s="551" t="s">
        <v>1026</v>
      </c>
      <c r="F122" s="579" t="s">
        <v>1027</v>
      </c>
      <c r="G122" s="551" t="s">
        <v>926</v>
      </c>
      <c r="H122" s="551" t="s">
        <v>927</v>
      </c>
      <c r="I122" s="565">
        <v>126.89369356764617</v>
      </c>
      <c r="J122" s="565">
        <v>1</v>
      </c>
      <c r="K122" s="566">
        <v>126.89369356764617</v>
      </c>
    </row>
    <row r="123" spans="1:11" ht="14.4" customHeight="1" x14ac:dyDescent="0.3">
      <c r="A123" s="547" t="s">
        <v>433</v>
      </c>
      <c r="B123" s="548" t="s">
        <v>490</v>
      </c>
      <c r="C123" s="551" t="s">
        <v>443</v>
      </c>
      <c r="D123" s="579" t="s">
        <v>492</v>
      </c>
      <c r="E123" s="551" t="s">
        <v>1026</v>
      </c>
      <c r="F123" s="579" t="s">
        <v>1027</v>
      </c>
      <c r="G123" s="551" t="s">
        <v>928</v>
      </c>
      <c r="H123" s="551" t="s">
        <v>929</v>
      </c>
      <c r="I123" s="565">
        <v>3994.72</v>
      </c>
      <c r="J123" s="565">
        <v>1</v>
      </c>
      <c r="K123" s="566">
        <v>3994.72</v>
      </c>
    </row>
    <row r="124" spans="1:11" ht="14.4" customHeight="1" x14ac:dyDescent="0.3">
      <c r="A124" s="547" t="s">
        <v>433</v>
      </c>
      <c r="B124" s="548" t="s">
        <v>490</v>
      </c>
      <c r="C124" s="551" t="s">
        <v>443</v>
      </c>
      <c r="D124" s="579" t="s">
        <v>492</v>
      </c>
      <c r="E124" s="551" t="s">
        <v>1026</v>
      </c>
      <c r="F124" s="579" t="s">
        <v>1027</v>
      </c>
      <c r="G124" s="551" t="s">
        <v>930</v>
      </c>
      <c r="H124" s="551" t="s">
        <v>931</v>
      </c>
      <c r="I124" s="565">
        <v>3994.72</v>
      </c>
      <c r="J124" s="565">
        <v>1</v>
      </c>
      <c r="K124" s="566">
        <v>3994.72</v>
      </c>
    </row>
    <row r="125" spans="1:11" ht="14.4" customHeight="1" x14ac:dyDescent="0.3">
      <c r="A125" s="547" t="s">
        <v>433</v>
      </c>
      <c r="B125" s="548" t="s">
        <v>490</v>
      </c>
      <c r="C125" s="551" t="s">
        <v>443</v>
      </c>
      <c r="D125" s="579" t="s">
        <v>492</v>
      </c>
      <c r="E125" s="551" t="s">
        <v>1026</v>
      </c>
      <c r="F125" s="579" t="s">
        <v>1027</v>
      </c>
      <c r="G125" s="551" t="s">
        <v>932</v>
      </c>
      <c r="H125" s="551" t="s">
        <v>933</v>
      </c>
      <c r="I125" s="565">
        <v>7748.53</v>
      </c>
      <c r="J125" s="565">
        <v>1</v>
      </c>
      <c r="K125" s="566">
        <v>7748.53</v>
      </c>
    </row>
    <row r="126" spans="1:11" ht="14.4" customHeight="1" x14ac:dyDescent="0.3">
      <c r="A126" s="547" t="s">
        <v>433</v>
      </c>
      <c r="B126" s="548" t="s">
        <v>490</v>
      </c>
      <c r="C126" s="551" t="s">
        <v>443</v>
      </c>
      <c r="D126" s="579" t="s">
        <v>492</v>
      </c>
      <c r="E126" s="551" t="s">
        <v>1026</v>
      </c>
      <c r="F126" s="579" t="s">
        <v>1027</v>
      </c>
      <c r="G126" s="551" t="s">
        <v>934</v>
      </c>
      <c r="H126" s="551" t="s">
        <v>935</v>
      </c>
      <c r="I126" s="565">
        <v>6536.15</v>
      </c>
      <c r="J126" s="565">
        <v>1</v>
      </c>
      <c r="K126" s="566">
        <v>6536.15</v>
      </c>
    </row>
    <row r="127" spans="1:11" ht="14.4" customHeight="1" x14ac:dyDescent="0.3">
      <c r="A127" s="547" t="s">
        <v>433</v>
      </c>
      <c r="B127" s="548" t="s">
        <v>490</v>
      </c>
      <c r="C127" s="551" t="s">
        <v>443</v>
      </c>
      <c r="D127" s="579" t="s">
        <v>492</v>
      </c>
      <c r="E127" s="551" t="s">
        <v>1026</v>
      </c>
      <c r="F127" s="579" t="s">
        <v>1027</v>
      </c>
      <c r="G127" s="551" t="s">
        <v>936</v>
      </c>
      <c r="H127" s="551" t="s">
        <v>937</v>
      </c>
      <c r="I127" s="565">
        <v>7754.26</v>
      </c>
      <c r="J127" s="565">
        <v>1</v>
      </c>
      <c r="K127" s="566">
        <v>7754.26</v>
      </c>
    </row>
    <row r="128" spans="1:11" ht="14.4" customHeight="1" x14ac:dyDescent="0.3">
      <c r="A128" s="547" t="s">
        <v>433</v>
      </c>
      <c r="B128" s="548" t="s">
        <v>490</v>
      </c>
      <c r="C128" s="551" t="s">
        <v>443</v>
      </c>
      <c r="D128" s="579" t="s">
        <v>492</v>
      </c>
      <c r="E128" s="551" t="s">
        <v>1026</v>
      </c>
      <c r="F128" s="579" t="s">
        <v>1027</v>
      </c>
      <c r="G128" s="551" t="s">
        <v>938</v>
      </c>
      <c r="H128" s="551" t="s">
        <v>939</v>
      </c>
      <c r="I128" s="565">
        <v>7754.26</v>
      </c>
      <c r="J128" s="565">
        <v>1</v>
      </c>
      <c r="K128" s="566">
        <v>7754.26</v>
      </c>
    </row>
    <row r="129" spans="1:11" ht="14.4" customHeight="1" x14ac:dyDescent="0.3">
      <c r="A129" s="547" t="s">
        <v>433</v>
      </c>
      <c r="B129" s="548" t="s">
        <v>490</v>
      </c>
      <c r="C129" s="551" t="s">
        <v>443</v>
      </c>
      <c r="D129" s="579" t="s">
        <v>492</v>
      </c>
      <c r="E129" s="551" t="s">
        <v>1026</v>
      </c>
      <c r="F129" s="579" t="s">
        <v>1027</v>
      </c>
      <c r="G129" s="551" t="s">
        <v>940</v>
      </c>
      <c r="H129" s="551" t="s">
        <v>941</v>
      </c>
      <c r="I129" s="565">
        <v>57499.199999999997</v>
      </c>
      <c r="J129" s="565">
        <v>1</v>
      </c>
      <c r="K129" s="566">
        <v>57499.199999999997</v>
      </c>
    </row>
    <row r="130" spans="1:11" ht="14.4" customHeight="1" x14ac:dyDescent="0.3">
      <c r="A130" s="547" t="s">
        <v>433</v>
      </c>
      <c r="B130" s="548" t="s">
        <v>490</v>
      </c>
      <c r="C130" s="551" t="s">
        <v>443</v>
      </c>
      <c r="D130" s="579" t="s">
        <v>492</v>
      </c>
      <c r="E130" s="551" t="s">
        <v>1026</v>
      </c>
      <c r="F130" s="579" t="s">
        <v>1027</v>
      </c>
      <c r="G130" s="551" t="s">
        <v>942</v>
      </c>
      <c r="H130" s="551" t="s">
        <v>943</v>
      </c>
      <c r="I130" s="565">
        <v>47819.199999999997</v>
      </c>
      <c r="J130" s="565">
        <v>1</v>
      </c>
      <c r="K130" s="566">
        <v>47819.199999999997</v>
      </c>
    </row>
    <row r="131" spans="1:11" ht="14.4" customHeight="1" x14ac:dyDescent="0.3">
      <c r="A131" s="547" t="s">
        <v>433</v>
      </c>
      <c r="B131" s="548" t="s">
        <v>490</v>
      </c>
      <c r="C131" s="551" t="s">
        <v>443</v>
      </c>
      <c r="D131" s="579" t="s">
        <v>492</v>
      </c>
      <c r="E131" s="551" t="s">
        <v>1026</v>
      </c>
      <c r="F131" s="579" t="s">
        <v>1027</v>
      </c>
      <c r="G131" s="551" t="s">
        <v>944</v>
      </c>
      <c r="H131" s="551" t="s">
        <v>945</v>
      </c>
      <c r="I131" s="565">
        <v>33323.4</v>
      </c>
      <c r="J131" s="565">
        <v>1</v>
      </c>
      <c r="K131" s="566">
        <v>33323.4</v>
      </c>
    </row>
    <row r="132" spans="1:11" ht="14.4" customHeight="1" x14ac:dyDescent="0.3">
      <c r="A132" s="547" t="s">
        <v>433</v>
      </c>
      <c r="B132" s="548" t="s">
        <v>490</v>
      </c>
      <c r="C132" s="551" t="s">
        <v>443</v>
      </c>
      <c r="D132" s="579" t="s">
        <v>492</v>
      </c>
      <c r="E132" s="551" t="s">
        <v>1026</v>
      </c>
      <c r="F132" s="579" t="s">
        <v>1027</v>
      </c>
      <c r="G132" s="551" t="s">
        <v>946</v>
      </c>
      <c r="H132" s="551" t="s">
        <v>947</v>
      </c>
      <c r="I132" s="565">
        <v>33275</v>
      </c>
      <c r="J132" s="565">
        <v>1</v>
      </c>
      <c r="K132" s="566">
        <v>33275</v>
      </c>
    </row>
    <row r="133" spans="1:11" ht="14.4" customHeight="1" x14ac:dyDescent="0.3">
      <c r="A133" s="547" t="s">
        <v>433</v>
      </c>
      <c r="B133" s="548" t="s">
        <v>490</v>
      </c>
      <c r="C133" s="551" t="s">
        <v>443</v>
      </c>
      <c r="D133" s="579" t="s">
        <v>492</v>
      </c>
      <c r="E133" s="551" t="s">
        <v>1026</v>
      </c>
      <c r="F133" s="579" t="s">
        <v>1027</v>
      </c>
      <c r="G133" s="551" t="s">
        <v>948</v>
      </c>
      <c r="H133" s="551" t="s">
        <v>949</v>
      </c>
      <c r="I133" s="565">
        <v>4936.8</v>
      </c>
      <c r="J133" s="565">
        <v>2</v>
      </c>
      <c r="K133" s="566">
        <v>9873.6</v>
      </c>
    </row>
    <row r="134" spans="1:11" ht="14.4" customHeight="1" x14ac:dyDescent="0.3">
      <c r="A134" s="547" t="s">
        <v>433</v>
      </c>
      <c r="B134" s="548" t="s">
        <v>490</v>
      </c>
      <c r="C134" s="551" t="s">
        <v>443</v>
      </c>
      <c r="D134" s="579" t="s">
        <v>492</v>
      </c>
      <c r="E134" s="551" t="s">
        <v>1026</v>
      </c>
      <c r="F134" s="579" t="s">
        <v>1027</v>
      </c>
      <c r="G134" s="551" t="s">
        <v>950</v>
      </c>
      <c r="H134" s="551" t="s">
        <v>951</v>
      </c>
      <c r="I134" s="565">
        <v>31005.58</v>
      </c>
      <c r="J134" s="565">
        <v>1</v>
      </c>
      <c r="K134" s="566">
        <v>31005.58</v>
      </c>
    </row>
    <row r="135" spans="1:11" ht="14.4" customHeight="1" x14ac:dyDescent="0.3">
      <c r="A135" s="547" t="s">
        <v>433</v>
      </c>
      <c r="B135" s="548" t="s">
        <v>490</v>
      </c>
      <c r="C135" s="551" t="s">
        <v>443</v>
      </c>
      <c r="D135" s="579" t="s">
        <v>492</v>
      </c>
      <c r="E135" s="551" t="s">
        <v>1026</v>
      </c>
      <c r="F135" s="579" t="s">
        <v>1027</v>
      </c>
      <c r="G135" s="551" t="s">
        <v>952</v>
      </c>
      <c r="H135" s="551" t="s">
        <v>953</v>
      </c>
      <c r="I135" s="565">
        <v>15553.5</v>
      </c>
      <c r="J135" s="565">
        <v>2</v>
      </c>
      <c r="K135" s="566">
        <v>31107</v>
      </c>
    </row>
    <row r="136" spans="1:11" ht="14.4" customHeight="1" x14ac:dyDescent="0.3">
      <c r="A136" s="547" t="s">
        <v>433</v>
      </c>
      <c r="B136" s="548" t="s">
        <v>490</v>
      </c>
      <c r="C136" s="551" t="s">
        <v>443</v>
      </c>
      <c r="D136" s="579" t="s">
        <v>492</v>
      </c>
      <c r="E136" s="551" t="s">
        <v>1026</v>
      </c>
      <c r="F136" s="579" t="s">
        <v>1027</v>
      </c>
      <c r="G136" s="551" t="s">
        <v>954</v>
      </c>
      <c r="H136" s="551" t="s">
        <v>955</v>
      </c>
      <c r="I136" s="565">
        <v>13492</v>
      </c>
      <c r="J136" s="565">
        <v>2</v>
      </c>
      <c r="K136" s="566">
        <v>26984</v>
      </c>
    </row>
    <row r="137" spans="1:11" ht="14.4" customHeight="1" x14ac:dyDescent="0.3">
      <c r="A137" s="547" t="s">
        <v>433</v>
      </c>
      <c r="B137" s="548" t="s">
        <v>490</v>
      </c>
      <c r="C137" s="551" t="s">
        <v>443</v>
      </c>
      <c r="D137" s="579" t="s">
        <v>492</v>
      </c>
      <c r="E137" s="551" t="s">
        <v>1026</v>
      </c>
      <c r="F137" s="579" t="s">
        <v>1027</v>
      </c>
      <c r="G137" s="551" t="s">
        <v>956</v>
      </c>
      <c r="H137" s="551" t="s">
        <v>957</v>
      </c>
      <c r="I137" s="565">
        <v>8204</v>
      </c>
      <c r="J137" s="565">
        <v>1</v>
      </c>
      <c r="K137" s="566">
        <v>8204</v>
      </c>
    </row>
    <row r="138" spans="1:11" ht="14.4" customHeight="1" x14ac:dyDescent="0.3">
      <c r="A138" s="547" t="s">
        <v>433</v>
      </c>
      <c r="B138" s="548" t="s">
        <v>490</v>
      </c>
      <c r="C138" s="551" t="s">
        <v>443</v>
      </c>
      <c r="D138" s="579" t="s">
        <v>492</v>
      </c>
      <c r="E138" s="551" t="s">
        <v>1026</v>
      </c>
      <c r="F138" s="579" t="s">
        <v>1027</v>
      </c>
      <c r="G138" s="551" t="s">
        <v>958</v>
      </c>
      <c r="H138" s="551" t="s">
        <v>959</v>
      </c>
      <c r="I138" s="565">
        <v>10600.28</v>
      </c>
      <c r="J138" s="565">
        <v>1</v>
      </c>
      <c r="K138" s="566">
        <v>10600.28</v>
      </c>
    </row>
    <row r="139" spans="1:11" ht="14.4" customHeight="1" x14ac:dyDescent="0.3">
      <c r="A139" s="547" t="s">
        <v>433</v>
      </c>
      <c r="B139" s="548" t="s">
        <v>490</v>
      </c>
      <c r="C139" s="551" t="s">
        <v>443</v>
      </c>
      <c r="D139" s="579" t="s">
        <v>492</v>
      </c>
      <c r="E139" s="551" t="s">
        <v>1026</v>
      </c>
      <c r="F139" s="579" t="s">
        <v>1027</v>
      </c>
      <c r="G139" s="551" t="s">
        <v>960</v>
      </c>
      <c r="H139" s="551" t="s">
        <v>961</v>
      </c>
      <c r="I139" s="565">
        <v>5750.61</v>
      </c>
      <c r="J139" s="565">
        <v>1</v>
      </c>
      <c r="K139" s="566">
        <v>5750.61</v>
      </c>
    </row>
    <row r="140" spans="1:11" ht="14.4" customHeight="1" x14ac:dyDescent="0.3">
      <c r="A140" s="547" t="s">
        <v>433</v>
      </c>
      <c r="B140" s="548" t="s">
        <v>490</v>
      </c>
      <c r="C140" s="551" t="s">
        <v>443</v>
      </c>
      <c r="D140" s="579" t="s">
        <v>492</v>
      </c>
      <c r="E140" s="551" t="s">
        <v>1026</v>
      </c>
      <c r="F140" s="579" t="s">
        <v>1027</v>
      </c>
      <c r="G140" s="551" t="s">
        <v>962</v>
      </c>
      <c r="H140" s="551" t="s">
        <v>963</v>
      </c>
      <c r="I140" s="565">
        <v>7169.08</v>
      </c>
      <c r="J140" s="565">
        <v>1</v>
      </c>
      <c r="K140" s="566">
        <v>7169.08</v>
      </c>
    </row>
    <row r="141" spans="1:11" ht="14.4" customHeight="1" x14ac:dyDescent="0.3">
      <c r="A141" s="547" t="s">
        <v>433</v>
      </c>
      <c r="B141" s="548" t="s">
        <v>490</v>
      </c>
      <c r="C141" s="551" t="s">
        <v>443</v>
      </c>
      <c r="D141" s="579" t="s">
        <v>492</v>
      </c>
      <c r="E141" s="551" t="s">
        <v>1026</v>
      </c>
      <c r="F141" s="579" t="s">
        <v>1027</v>
      </c>
      <c r="G141" s="551" t="s">
        <v>964</v>
      </c>
      <c r="H141" s="551" t="s">
        <v>965</v>
      </c>
      <c r="I141" s="565">
        <v>7755.69</v>
      </c>
      <c r="J141" s="565">
        <v>1</v>
      </c>
      <c r="K141" s="566">
        <v>7755.69</v>
      </c>
    </row>
    <row r="142" spans="1:11" ht="14.4" customHeight="1" x14ac:dyDescent="0.3">
      <c r="A142" s="547" t="s">
        <v>433</v>
      </c>
      <c r="B142" s="548" t="s">
        <v>490</v>
      </c>
      <c r="C142" s="551" t="s">
        <v>443</v>
      </c>
      <c r="D142" s="579" t="s">
        <v>492</v>
      </c>
      <c r="E142" s="551" t="s">
        <v>1026</v>
      </c>
      <c r="F142" s="579" t="s">
        <v>1027</v>
      </c>
      <c r="G142" s="551" t="s">
        <v>966</v>
      </c>
      <c r="H142" s="551" t="s">
        <v>967</v>
      </c>
      <c r="I142" s="565">
        <v>15511.39</v>
      </c>
      <c r="J142" s="565">
        <v>1</v>
      </c>
      <c r="K142" s="566">
        <v>15511.39</v>
      </c>
    </row>
    <row r="143" spans="1:11" ht="14.4" customHeight="1" x14ac:dyDescent="0.3">
      <c r="A143" s="547" t="s">
        <v>433</v>
      </c>
      <c r="B143" s="548" t="s">
        <v>490</v>
      </c>
      <c r="C143" s="551" t="s">
        <v>443</v>
      </c>
      <c r="D143" s="579" t="s">
        <v>492</v>
      </c>
      <c r="E143" s="551" t="s">
        <v>1026</v>
      </c>
      <c r="F143" s="579" t="s">
        <v>1027</v>
      </c>
      <c r="G143" s="551" t="s">
        <v>968</v>
      </c>
      <c r="H143" s="551" t="s">
        <v>969</v>
      </c>
      <c r="I143" s="565">
        <v>5990</v>
      </c>
      <c r="J143" s="565">
        <v>1</v>
      </c>
      <c r="K143" s="566">
        <v>5990</v>
      </c>
    </row>
    <row r="144" spans="1:11" ht="14.4" customHeight="1" x14ac:dyDescent="0.3">
      <c r="A144" s="547" t="s">
        <v>433</v>
      </c>
      <c r="B144" s="548" t="s">
        <v>490</v>
      </c>
      <c r="C144" s="551" t="s">
        <v>443</v>
      </c>
      <c r="D144" s="579" t="s">
        <v>492</v>
      </c>
      <c r="E144" s="551" t="s">
        <v>1026</v>
      </c>
      <c r="F144" s="579" t="s">
        <v>1027</v>
      </c>
      <c r="G144" s="551" t="s">
        <v>970</v>
      </c>
      <c r="H144" s="551" t="s">
        <v>971</v>
      </c>
      <c r="I144" s="565">
        <v>2516.1950000000002</v>
      </c>
      <c r="J144" s="565">
        <v>4</v>
      </c>
      <c r="K144" s="566">
        <v>10064.780000000001</v>
      </c>
    </row>
    <row r="145" spans="1:11" ht="14.4" customHeight="1" x14ac:dyDescent="0.3">
      <c r="A145" s="547" t="s">
        <v>433</v>
      </c>
      <c r="B145" s="548" t="s">
        <v>490</v>
      </c>
      <c r="C145" s="551" t="s">
        <v>443</v>
      </c>
      <c r="D145" s="579" t="s">
        <v>492</v>
      </c>
      <c r="E145" s="551" t="s">
        <v>1026</v>
      </c>
      <c r="F145" s="579" t="s">
        <v>1027</v>
      </c>
      <c r="G145" s="551" t="s">
        <v>972</v>
      </c>
      <c r="H145" s="551" t="s">
        <v>973</v>
      </c>
      <c r="I145" s="565">
        <v>59229.56</v>
      </c>
      <c r="J145" s="565">
        <v>1</v>
      </c>
      <c r="K145" s="566">
        <v>59229.56</v>
      </c>
    </row>
    <row r="146" spans="1:11" ht="14.4" customHeight="1" x14ac:dyDescent="0.3">
      <c r="A146" s="547" t="s">
        <v>433</v>
      </c>
      <c r="B146" s="548" t="s">
        <v>490</v>
      </c>
      <c r="C146" s="551" t="s">
        <v>443</v>
      </c>
      <c r="D146" s="579" t="s">
        <v>492</v>
      </c>
      <c r="E146" s="551" t="s">
        <v>1026</v>
      </c>
      <c r="F146" s="579" t="s">
        <v>1027</v>
      </c>
      <c r="G146" s="551" t="s">
        <v>974</v>
      </c>
      <c r="H146" s="551" t="s">
        <v>975</v>
      </c>
      <c r="I146" s="565">
        <v>253846.2</v>
      </c>
      <c r="J146" s="565">
        <v>1</v>
      </c>
      <c r="K146" s="566">
        <v>253846.2</v>
      </c>
    </row>
    <row r="147" spans="1:11" ht="14.4" customHeight="1" x14ac:dyDescent="0.3">
      <c r="A147" s="547" t="s">
        <v>433</v>
      </c>
      <c r="B147" s="548" t="s">
        <v>490</v>
      </c>
      <c r="C147" s="551" t="s">
        <v>443</v>
      </c>
      <c r="D147" s="579" t="s">
        <v>492</v>
      </c>
      <c r="E147" s="551" t="s">
        <v>1026</v>
      </c>
      <c r="F147" s="579" t="s">
        <v>1027</v>
      </c>
      <c r="G147" s="551" t="s">
        <v>976</v>
      </c>
      <c r="H147" s="551" t="s">
        <v>977</v>
      </c>
      <c r="I147" s="565">
        <v>9929.26</v>
      </c>
      <c r="J147" s="565">
        <v>1</v>
      </c>
      <c r="K147" s="566">
        <v>9929.26</v>
      </c>
    </row>
    <row r="148" spans="1:11" ht="14.4" customHeight="1" x14ac:dyDescent="0.3">
      <c r="A148" s="547" t="s">
        <v>433</v>
      </c>
      <c r="B148" s="548" t="s">
        <v>490</v>
      </c>
      <c r="C148" s="551" t="s">
        <v>443</v>
      </c>
      <c r="D148" s="579" t="s">
        <v>492</v>
      </c>
      <c r="E148" s="551" t="s">
        <v>1026</v>
      </c>
      <c r="F148" s="579" t="s">
        <v>1027</v>
      </c>
      <c r="G148" s="551" t="s">
        <v>978</v>
      </c>
      <c r="H148" s="551" t="s">
        <v>979</v>
      </c>
      <c r="I148" s="565">
        <v>242</v>
      </c>
      <c r="J148" s="565">
        <v>4</v>
      </c>
      <c r="K148" s="566">
        <v>968</v>
      </c>
    </row>
    <row r="149" spans="1:11" ht="14.4" customHeight="1" x14ac:dyDescent="0.3">
      <c r="A149" s="547" t="s">
        <v>433</v>
      </c>
      <c r="B149" s="548" t="s">
        <v>490</v>
      </c>
      <c r="C149" s="551" t="s">
        <v>443</v>
      </c>
      <c r="D149" s="579" t="s">
        <v>492</v>
      </c>
      <c r="E149" s="551" t="s">
        <v>1026</v>
      </c>
      <c r="F149" s="579" t="s">
        <v>1027</v>
      </c>
      <c r="G149" s="551" t="s">
        <v>980</v>
      </c>
      <c r="H149" s="551" t="s">
        <v>981</v>
      </c>
      <c r="I149" s="565">
        <v>1230.57</v>
      </c>
      <c r="J149" s="565">
        <v>2</v>
      </c>
      <c r="K149" s="566">
        <v>2461.14</v>
      </c>
    </row>
    <row r="150" spans="1:11" ht="14.4" customHeight="1" x14ac:dyDescent="0.3">
      <c r="A150" s="547" t="s">
        <v>433</v>
      </c>
      <c r="B150" s="548" t="s">
        <v>490</v>
      </c>
      <c r="C150" s="551" t="s">
        <v>443</v>
      </c>
      <c r="D150" s="579" t="s">
        <v>492</v>
      </c>
      <c r="E150" s="551" t="s">
        <v>1026</v>
      </c>
      <c r="F150" s="579" t="s">
        <v>1027</v>
      </c>
      <c r="G150" s="551" t="s">
        <v>982</v>
      </c>
      <c r="H150" s="551" t="s">
        <v>983</v>
      </c>
      <c r="I150" s="565">
        <v>5215</v>
      </c>
      <c r="J150" s="565">
        <v>1</v>
      </c>
      <c r="K150" s="566">
        <v>5215</v>
      </c>
    </row>
    <row r="151" spans="1:11" ht="14.4" customHeight="1" x14ac:dyDescent="0.3">
      <c r="A151" s="547" t="s">
        <v>433</v>
      </c>
      <c r="B151" s="548" t="s">
        <v>490</v>
      </c>
      <c r="C151" s="551" t="s">
        <v>443</v>
      </c>
      <c r="D151" s="579" t="s">
        <v>492</v>
      </c>
      <c r="E151" s="551" t="s">
        <v>1026</v>
      </c>
      <c r="F151" s="579" t="s">
        <v>1027</v>
      </c>
      <c r="G151" s="551" t="s">
        <v>984</v>
      </c>
      <c r="H151" s="551" t="s">
        <v>985</v>
      </c>
      <c r="I151" s="565">
        <v>6536.15</v>
      </c>
      <c r="J151" s="565">
        <v>1</v>
      </c>
      <c r="K151" s="566">
        <v>6536.15</v>
      </c>
    </row>
    <row r="152" spans="1:11" ht="14.4" customHeight="1" x14ac:dyDescent="0.3">
      <c r="A152" s="547" t="s">
        <v>433</v>
      </c>
      <c r="B152" s="548" t="s">
        <v>490</v>
      </c>
      <c r="C152" s="551" t="s">
        <v>443</v>
      </c>
      <c r="D152" s="579" t="s">
        <v>492</v>
      </c>
      <c r="E152" s="551" t="s">
        <v>1026</v>
      </c>
      <c r="F152" s="579" t="s">
        <v>1027</v>
      </c>
      <c r="G152" s="551" t="s">
        <v>986</v>
      </c>
      <c r="H152" s="551" t="s">
        <v>987</v>
      </c>
      <c r="I152" s="565">
        <v>3596.12</v>
      </c>
      <c r="J152" s="565">
        <v>1</v>
      </c>
      <c r="K152" s="566">
        <v>3596.12</v>
      </c>
    </row>
    <row r="153" spans="1:11" ht="14.4" customHeight="1" x14ac:dyDescent="0.3">
      <c r="A153" s="547" t="s">
        <v>433</v>
      </c>
      <c r="B153" s="548" t="s">
        <v>490</v>
      </c>
      <c r="C153" s="551" t="s">
        <v>443</v>
      </c>
      <c r="D153" s="579" t="s">
        <v>492</v>
      </c>
      <c r="E153" s="551" t="s">
        <v>1026</v>
      </c>
      <c r="F153" s="579" t="s">
        <v>1027</v>
      </c>
      <c r="G153" s="551" t="s">
        <v>988</v>
      </c>
      <c r="H153" s="551" t="s">
        <v>989</v>
      </c>
      <c r="I153" s="565">
        <v>262.57</v>
      </c>
      <c r="J153" s="565">
        <v>1</v>
      </c>
      <c r="K153" s="566">
        <v>262.57</v>
      </c>
    </row>
    <row r="154" spans="1:11" ht="14.4" customHeight="1" x14ac:dyDescent="0.3">
      <c r="A154" s="547" t="s">
        <v>433</v>
      </c>
      <c r="B154" s="548" t="s">
        <v>490</v>
      </c>
      <c r="C154" s="551" t="s">
        <v>443</v>
      </c>
      <c r="D154" s="579" t="s">
        <v>492</v>
      </c>
      <c r="E154" s="551" t="s">
        <v>1026</v>
      </c>
      <c r="F154" s="579" t="s">
        <v>1027</v>
      </c>
      <c r="G154" s="551" t="s">
        <v>990</v>
      </c>
      <c r="H154" s="551" t="s">
        <v>991</v>
      </c>
      <c r="I154" s="565">
        <v>14516.37</v>
      </c>
      <c r="J154" s="565">
        <v>1</v>
      </c>
      <c r="K154" s="566">
        <v>14516.37</v>
      </c>
    </row>
    <row r="155" spans="1:11" ht="14.4" customHeight="1" x14ac:dyDescent="0.3">
      <c r="A155" s="547" t="s">
        <v>433</v>
      </c>
      <c r="B155" s="548" t="s">
        <v>490</v>
      </c>
      <c r="C155" s="551" t="s">
        <v>443</v>
      </c>
      <c r="D155" s="579" t="s">
        <v>492</v>
      </c>
      <c r="E155" s="551" t="s">
        <v>1026</v>
      </c>
      <c r="F155" s="579" t="s">
        <v>1027</v>
      </c>
      <c r="G155" s="551" t="s">
        <v>992</v>
      </c>
      <c r="H155" s="551" t="s">
        <v>993</v>
      </c>
      <c r="I155" s="565">
        <v>580.65</v>
      </c>
      <c r="J155" s="565">
        <v>1</v>
      </c>
      <c r="K155" s="566">
        <v>580.65</v>
      </c>
    </row>
    <row r="156" spans="1:11" ht="14.4" customHeight="1" x14ac:dyDescent="0.3">
      <c r="A156" s="547" t="s">
        <v>433</v>
      </c>
      <c r="B156" s="548" t="s">
        <v>490</v>
      </c>
      <c r="C156" s="551" t="s">
        <v>443</v>
      </c>
      <c r="D156" s="579" t="s">
        <v>492</v>
      </c>
      <c r="E156" s="551" t="s">
        <v>1026</v>
      </c>
      <c r="F156" s="579" t="s">
        <v>1027</v>
      </c>
      <c r="G156" s="551" t="s">
        <v>994</v>
      </c>
      <c r="H156" s="551" t="s">
        <v>995</v>
      </c>
      <c r="I156" s="565">
        <v>151.74</v>
      </c>
      <c r="J156" s="565">
        <v>3</v>
      </c>
      <c r="K156" s="566">
        <v>455.21000000000004</v>
      </c>
    </row>
    <row r="157" spans="1:11" ht="14.4" customHeight="1" x14ac:dyDescent="0.3">
      <c r="A157" s="547" t="s">
        <v>433</v>
      </c>
      <c r="B157" s="548" t="s">
        <v>490</v>
      </c>
      <c r="C157" s="551" t="s">
        <v>443</v>
      </c>
      <c r="D157" s="579" t="s">
        <v>492</v>
      </c>
      <c r="E157" s="551" t="s">
        <v>1026</v>
      </c>
      <c r="F157" s="579" t="s">
        <v>1027</v>
      </c>
      <c r="G157" s="551" t="s">
        <v>996</v>
      </c>
      <c r="H157" s="551" t="s">
        <v>997</v>
      </c>
      <c r="I157" s="565">
        <v>3369</v>
      </c>
      <c r="J157" s="565">
        <v>1</v>
      </c>
      <c r="K157" s="566">
        <v>3369</v>
      </c>
    </row>
    <row r="158" spans="1:11" ht="14.4" customHeight="1" x14ac:dyDescent="0.3">
      <c r="A158" s="547" t="s">
        <v>433</v>
      </c>
      <c r="B158" s="548" t="s">
        <v>490</v>
      </c>
      <c r="C158" s="551" t="s">
        <v>443</v>
      </c>
      <c r="D158" s="579" t="s">
        <v>492</v>
      </c>
      <c r="E158" s="551" t="s">
        <v>1026</v>
      </c>
      <c r="F158" s="579" t="s">
        <v>1027</v>
      </c>
      <c r="G158" s="551" t="s">
        <v>998</v>
      </c>
      <c r="H158" s="551" t="s">
        <v>999</v>
      </c>
      <c r="I158" s="565">
        <v>82195.3</v>
      </c>
      <c r="J158" s="565">
        <v>1</v>
      </c>
      <c r="K158" s="566">
        <v>82195.3</v>
      </c>
    </row>
    <row r="159" spans="1:11" ht="14.4" customHeight="1" x14ac:dyDescent="0.3">
      <c r="A159" s="547" t="s">
        <v>433</v>
      </c>
      <c r="B159" s="548" t="s">
        <v>490</v>
      </c>
      <c r="C159" s="551" t="s">
        <v>443</v>
      </c>
      <c r="D159" s="579" t="s">
        <v>492</v>
      </c>
      <c r="E159" s="551" t="s">
        <v>1026</v>
      </c>
      <c r="F159" s="579" t="s">
        <v>1027</v>
      </c>
      <c r="G159" s="551" t="s">
        <v>1000</v>
      </c>
      <c r="H159" s="551" t="s">
        <v>1001</v>
      </c>
      <c r="I159" s="565">
        <v>9638.7800000000007</v>
      </c>
      <c r="J159" s="565">
        <v>1</v>
      </c>
      <c r="K159" s="566">
        <v>9638.7800000000007</v>
      </c>
    </row>
    <row r="160" spans="1:11" ht="14.4" customHeight="1" x14ac:dyDescent="0.3">
      <c r="A160" s="547" t="s">
        <v>433</v>
      </c>
      <c r="B160" s="548" t="s">
        <v>490</v>
      </c>
      <c r="C160" s="551" t="s">
        <v>443</v>
      </c>
      <c r="D160" s="579" t="s">
        <v>492</v>
      </c>
      <c r="E160" s="551" t="s">
        <v>1026</v>
      </c>
      <c r="F160" s="579" t="s">
        <v>1027</v>
      </c>
      <c r="G160" s="551" t="s">
        <v>1002</v>
      </c>
      <c r="H160" s="551" t="s">
        <v>1003</v>
      </c>
      <c r="I160" s="565">
        <v>15540.07</v>
      </c>
      <c r="J160" s="565">
        <v>1</v>
      </c>
      <c r="K160" s="566">
        <v>15540.07</v>
      </c>
    </row>
    <row r="161" spans="1:11" ht="14.4" customHeight="1" x14ac:dyDescent="0.3">
      <c r="A161" s="547" t="s">
        <v>433</v>
      </c>
      <c r="B161" s="548" t="s">
        <v>490</v>
      </c>
      <c r="C161" s="551" t="s">
        <v>443</v>
      </c>
      <c r="D161" s="579" t="s">
        <v>492</v>
      </c>
      <c r="E161" s="551" t="s">
        <v>1026</v>
      </c>
      <c r="F161" s="579" t="s">
        <v>1027</v>
      </c>
      <c r="G161" s="551" t="s">
        <v>1004</v>
      </c>
      <c r="H161" s="551" t="s">
        <v>1005</v>
      </c>
      <c r="I161" s="565">
        <v>128005.96</v>
      </c>
      <c r="J161" s="565">
        <v>1</v>
      </c>
      <c r="K161" s="566">
        <v>128005.96</v>
      </c>
    </row>
    <row r="162" spans="1:11" ht="14.4" customHeight="1" x14ac:dyDescent="0.3">
      <c r="A162" s="547" t="s">
        <v>433</v>
      </c>
      <c r="B162" s="548" t="s">
        <v>490</v>
      </c>
      <c r="C162" s="551" t="s">
        <v>443</v>
      </c>
      <c r="D162" s="579" t="s">
        <v>492</v>
      </c>
      <c r="E162" s="551" t="s">
        <v>1026</v>
      </c>
      <c r="F162" s="579" t="s">
        <v>1027</v>
      </c>
      <c r="G162" s="551" t="s">
        <v>1006</v>
      </c>
      <c r="H162" s="551" t="s">
        <v>1007</v>
      </c>
      <c r="I162" s="565">
        <v>6877.04</v>
      </c>
      <c r="J162" s="565">
        <v>1</v>
      </c>
      <c r="K162" s="566">
        <v>6877.04</v>
      </c>
    </row>
    <row r="163" spans="1:11" ht="14.4" customHeight="1" x14ac:dyDescent="0.3">
      <c r="A163" s="547" t="s">
        <v>433</v>
      </c>
      <c r="B163" s="548" t="s">
        <v>490</v>
      </c>
      <c r="C163" s="551" t="s">
        <v>443</v>
      </c>
      <c r="D163" s="579" t="s">
        <v>492</v>
      </c>
      <c r="E163" s="551" t="s">
        <v>1026</v>
      </c>
      <c r="F163" s="579" t="s">
        <v>1027</v>
      </c>
      <c r="G163" s="551" t="s">
        <v>1008</v>
      </c>
      <c r="H163" s="551" t="s">
        <v>1009</v>
      </c>
      <c r="I163" s="565">
        <v>15497.05</v>
      </c>
      <c r="J163" s="565">
        <v>1</v>
      </c>
      <c r="K163" s="566">
        <v>15497.05</v>
      </c>
    </row>
    <row r="164" spans="1:11" ht="14.4" customHeight="1" x14ac:dyDescent="0.3">
      <c r="A164" s="547" t="s">
        <v>433</v>
      </c>
      <c r="B164" s="548" t="s">
        <v>490</v>
      </c>
      <c r="C164" s="551" t="s">
        <v>443</v>
      </c>
      <c r="D164" s="579" t="s">
        <v>492</v>
      </c>
      <c r="E164" s="551" t="s">
        <v>1026</v>
      </c>
      <c r="F164" s="579" t="s">
        <v>1027</v>
      </c>
      <c r="G164" s="551" t="s">
        <v>1010</v>
      </c>
      <c r="H164" s="551" t="s">
        <v>1011</v>
      </c>
      <c r="I164" s="565">
        <v>21993</v>
      </c>
      <c r="J164" s="565">
        <v>1</v>
      </c>
      <c r="K164" s="566">
        <v>21993</v>
      </c>
    </row>
    <row r="165" spans="1:11" ht="14.4" customHeight="1" x14ac:dyDescent="0.3">
      <c r="A165" s="547" t="s">
        <v>433</v>
      </c>
      <c r="B165" s="548" t="s">
        <v>490</v>
      </c>
      <c r="C165" s="551" t="s">
        <v>443</v>
      </c>
      <c r="D165" s="579" t="s">
        <v>492</v>
      </c>
      <c r="E165" s="551" t="s">
        <v>1026</v>
      </c>
      <c r="F165" s="579" t="s">
        <v>1027</v>
      </c>
      <c r="G165" s="551" t="s">
        <v>1012</v>
      </c>
      <c r="H165" s="551" t="s">
        <v>1013</v>
      </c>
      <c r="I165" s="565">
        <v>15505.65</v>
      </c>
      <c r="J165" s="565">
        <v>1</v>
      </c>
      <c r="K165" s="566">
        <v>15505.65</v>
      </c>
    </row>
    <row r="166" spans="1:11" ht="14.4" customHeight="1" thickBot="1" x14ac:dyDescent="0.35">
      <c r="A166" s="555" t="s">
        <v>433</v>
      </c>
      <c r="B166" s="556" t="s">
        <v>490</v>
      </c>
      <c r="C166" s="559" t="s">
        <v>443</v>
      </c>
      <c r="D166" s="580" t="s">
        <v>492</v>
      </c>
      <c r="E166" s="559" t="s">
        <v>1026</v>
      </c>
      <c r="F166" s="580" t="s">
        <v>1027</v>
      </c>
      <c r="G166" s="559" t="s">
        <v>1014</v>
      </c>
      <c r="H166" s="559" t="s">
        <v>1015</v>
      </c>
      <c r="I166" s="567">
        <v>2761.22</v>
      </c>
      <c r="J166" s="567">
        <v>1</v>
      </c>
      <c r="K166" s="568">
        <v>2761.22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15" thickBot="1" x14ac:dyDescent="0.35">
      <c r="A2" s="234" t="s">
        <v>256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3" x14ac:dyDescent="0.3">
      <c r="A3" s="253" t="s">
        <v>199</v>
      </c>
      <c r="B3" s="394" t="s">
        <v>181</v>
      </c>
      <c r="C3" s="236">
        <v>0</v>
      </c>
      <c r="D3" s="237">
        <v>99</v>
      </c>
      <c r="E3" s="256">
        <v>101</v>
      </c>
      <c r="F3" s="256">
        <v>302</v>
      </c>
      <c r="G3" s="256">
        <v>304</v>
      </c>
      <c r="H3" s="256">
        <v>305</v>
      </c>
      <c r="I3" s="256">
        <v>409</v>
      </c>
      <c r="J3" s="256">
        <v>526</v>
      </c>
      <c r="K3" s="237">
        <v>642</v>
      </c>
      <c r="L3" s="595">
        <v>930</v>
      </c>
      <c r="M3" s="610"/>
    </row>
    <row r="4" spans="1:13" ht="36.6" outlineLevel="1" thickBot="1" x14ac:dyDescent="0.35">
      <c r="A4" s="254">
        <v>2016</v>
      </c>
      <c r="B4" s="395"/>
      <c r="C4" s="238" t="s">
        <v>182</v>
      </c>
      <c r="D4" s="239" t="s">
        <v>183</v>
      </c>
      <c r="E4" s="257" t="s">
        <v>228</v>
      </c>
      <c r="F4" s="257" t="s">
        <v>229</v>
      </c>
      <c r="G4" s="257" t="s">
        <v>230</v>
      </c>
      <c r="H4" s="257" t="s">
        <v>231</v>
      </c>
      <c r="I4" s="257" t="s">
        <v>208</v>
      </c>
      <c r="J4" s="257" t="s">
        <v>209</v>
      </c>
      <c r="K4" s="239" t="s">
        <v>210</v>
      </c>
      <c r="L4" s="596" t="s">
        <v>201</v>
      </c>
      <c r="M4" s="610"/>
    </row>
    <row r="5" spans="1:13" x14ac:dyDescent="0.3">
      <c r="A5" s="240" t="s">
        <v>184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597"/>
      <c r="M5" s="610"/>
    </row>
    <row r="6" spans="1:13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26.3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2.4</v>
      </c>
      <c r="E6" s="281">
        <f xml:space="preserve">
TRUNC(IF($A$4&lt;=12,SUMIFS('ON Data'!K:K,'ON Data'!$D:$D,$A$4,'ON Data'!$E:$E,1),SUMIFS('ON Data'!K:K,'ON Data'!$E:$E,1)/'ON Data'!$D$3),1)</f>
        <v>2.8</v>
      </c>
      <c r="F6" s="281">
        <f xml:space="preserve">
TRUNC(IF($A$4&lt;=12,SUMIFS('ON Data'!O:O,'ON Data'!$D:$D,$A$4,'ON Data'!$E:$E,1),SUMIFS('ON Data'!O:O,'ON Data'!$E:$E,1)/'ON Data'!$D$3),1)</f>
        <v>0</v>
      </c>
      <c r="G6" s="281">
        <f xml:space="preserve">
TRUNC(IF($A$4&lt;=12,SUMIFS('ON Data'!Q:Q,'ON Data'!$D:$D,$A$4,'ON Data'!$E:$E,1),SUMIFS('ON Data'!Q:Q,'ON Data'!$E:$E,1)/'ON Data'!$D$3),1)</f>
        <v>1.7</v>
      </c>
      <c r="H6" s="281">
        <f xml:space="preserve">
TRUNC(IF($A$4&lt;=12,SUMIFS('ON Data'!R:R,'ON Data'!$D:$D,$A$4,'ON Data'!$E:$E,1),SUMIFS('ON Data'!R:R,'ON Data'!$E:$E,1)/'ON Data'!$D$3),1)</f>
        <v>1</v>
      </c>
      <c r="I6" s="281">
        <f xml:space="preserve">
TRUNC(IF($A$4&lt;=12,SUMIFS('ON Data'!V:V,'ON Data'!$D:$D,$A$4,'ON Data'!$E:$E,1),SUMIFS('ON Data'!V:V,'ON Data'!$E:$E,1)/'ON Data'!$D$3),1)</f>
        <v>4.9000000000000004</v>
      </c>
      <c r="J6" s="281">
        <f xml:space="preserve">
TRUNC(IF($A$4&lt;=12,SUMIFS('ON Data'!AJ:AJ,'ON Data'!$D:$D,$A$4,'ON Data'!$E:$E,1),SUMIFS('ON Data'!AJ:AJ,'ON Data'!$E:$E,1)/'ON Data'!$D$3),1)</f>
        <v>10.6</v>
      </c>
      <c r="K6" s="281">
        <f xml:space="preserve">
TRUNC(IF($A$4&lt;=12,SUMIFS('ON Data'!AR:AR,'ON Data'!$D:$D,$A$4,'ON Data'!$E:$E,1),SUMIFS('ON Data'!AR:AR,'ON Data'!$E:$E,1)/'ON Data'!$D$3),1)</f>
        <v>1</v>
      </c>
      <c r="L6" s="598">
        <f xml:space="preserve">
TRUNC(IF($A$4&lt;=12,SUMIFS('ON Data'!AW:AW,'ON Data'!$D:$D,$A$4,'ON Data'!$E:$E,1),SUMIFS('ON Data'!AW:AW,'ON Data'!$E:$E,1)/'ON Data'!$D$3),1)</f>
        <v>1.8</v>
      </c>
      <c r="M6" s="610"/>
    </row>
    <row r="7" spans="1:13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598"/>
      <c r="M7" s="610"/>
    </row>
    <row r="8" spans="1:13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598"/>
      <c r="M8" s="610"/>
    </row>
    <row r="9" spans="1:13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599"/>
      <c r="M9" s="610"/>
    </row>
    <row r="10" spans="1:13" x14ac:dyDescent="0.3">
      <c r="A10" s="243" t="s">
        <v>185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600"/>
      <c r="M10" s="610"/>
    </row>
    <row r="11" spans="1:13" x14ac:dyDescent="0.3">
      <c r="A11" s="244" t="s">
        <v>186</v>
      </c>
      <c r="B11" s="261">
        <f xml:space="preserve">
IF($A$4&lt;=12,SUMIFS('ON Data'!F:F,'ON Data'!$D:$D,$A$4,'ON Data'!$E:$E,2),SUMIFS('ON Data'!F:F,'ON Data'!$E:$E,2))</f>
        <v>28270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2624</v>
      </c>
      <c r="E11" s="263">
        <f xml:space="preserve">
IF($A$4&lt;=12,SUMIFS('ON Data'!K:K,'ON Data'!$D:$D,$A$4,'ON Data'!$E:$E,2),SUMIFS('ON Data'!K:K,'ON Data'!$E:$E,2))</f>
        <v>3022</v>
      </c>
      <c r="F11" s="263">
        <f xml:space="preserve">
IF($A$4&lt;=12,SUMIFS('ON Data'!O:O,'ON Data'!$D:$D,$A$4,'ON Data'!$E:$E,2),SUMIFS('ON Data'!O:O,'ON Data'!$E:$E,2))</f>
        <v>0</v>
      </c>
      <c r="G11" s="263">
        <f xml:space="preserve">
IF($A$4&lt;=12,SUMIFS('ON Data'!Q:Q,'ON Data'!$D:$D,$A$4,'ON Data'!$E:$E,2),SUMIFS('ON Data'!Q:Q,'ON Data'!$E:$E,2))</f>
        <v>1801.6</v>
      </c>
      <c r="H11" s="263">
        <f xml:space="preserve">
IF($A$4&lt;=12,SUMIFS('ON Data'!R:R,'ON Data'!$D:$D,$A$4,'ON Data'!$E:$E,2),SUMIFS('ON Data'!R:R,'ON Data'!$E:$E,2))</f>
        <v>1080</v>
      </c>
      <c r="I11" s="263">
        <f xml:space="preserve">
IF($A$4&lt;=12,SUMIFS('ON Data'!V:V,'ON Data'!$D:$D,$A$4,'ON Data'!$E:$E,2),SUMIFS('ON Data'!V:V,'ON Data'!$E:$E,2))</f>
        <v>5158.3999999999996</v>
      </c>
      <c r="J11" s="263">
        <f xml:space="preserve">
IF($A$4&lt;=12,SUMIFS('ON Data'!AJ:AJ,'ON Data'!$D:$D,$A$4,'ON Data'!$E:$E,2),SUMIFS('ON Data'!AJ:AJ,'ON Data'!$E:$E,2))</f>
        <v>11555.2</v>
      </c>
      <c r="K11" s="263">
        <f xml:space="preserve">
IF($A$4&lt;=12,SUMIFS('ON Data'!AR:AR,'ON Data'!$D:$D,$A$4,'ON Data'!$E:$E,2),SUMIFS('ON Data'!AR:AR,'ON Data'!$E:$E,2))</f>
        <v>1032</v>
      </c>
      <c r="L11" s="601">
        <f xml:space="preserve">
IF($A$4&lt;=12,SUMIFS('ON Data'!AW:AW,'ON Data'!$D:$D,$A$4,'ON Data'!$E:$E,2),SUMIFS('ON Data'!AW:AW,'ON Data'!$E:$E,2))</f>
        <v>1996.8000000000002</v>
      </c>
      <c r="M11" s="610"/>
    </row>
    <row r="12" spans="1:13" x14ac:dyDescent="0.3">
      <c r="A12" s="244" t="s">
        <v>187</v>
      </c>
      <c r="B12" s="261">
        <f xml:space="preserve">
IF($A$4&lt;=12,SUMIFS('ON Data'!F:F,'ON Data'!$D:$D,$A$4,'ON Data'!$E:$E,3),SUMIFS('ON Data'!F:F,'ON Data'!$E:$E,3))</f>
        <v>225.79999999999998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43.4</v>
      </c>
      <c r="E12" s="263">
        <f xml:space="preserve">
IF($A$4&lt;=12,SUMIFS('ON Data'!K:K,'ON Data'!$D:$D,$A$4,'ON Data'!$E:$E,3),SUMIFS('ON Data'!K:K,'ON Data'!$E:$E,3))</f>
        <v>103</v>
      </c>
      <c r="F12" s="263">
        <f xml:space="preserve">
IF($A$4&lt;=12,SUMIFS('ON Data'!O:O,'ON Data'!$D:$D,$A$4,'ON Data'!$E:$E,3),SUMIFS('ON Data'!O:O,'ON Data'!$E:$E,3))</f>
        <v>0</v>
      </c>
      <c r="G12" s="263">
        <f xml:space="preserve">
IF($A$4&lt;=12,SUMIFS('ON Data'!Q:Q,'ON Data'!$D:$D,$A$4,'ON Data'!$E:$E,3),SUMIFS('ON Data'!Q:Q,'ON Data'!$E:$E,3))</f>
        <v>79.400000000000006</v>
      </c>
      <c r="H12" s="263">
        <f xml:space="preserve">
IF($A$4&lt;=12,SUMIFS('ON Data'!R:R,'ON Data'!$D:$D,$A$4,'ON Data'!$E:$E,3),SUMIFS('ON Data'!R:R,'ON Data'!$E:$E,3))</f>
        <v>0</v>
      </c>
      <c r="I12" s="263">
        <f xml:space="preserve">
IF($A$4&lt;=12,SUMIFS('ON Data'!V:V,'ON Data'!$D:$D,$A$4,'ON Data'!$E:$E,3),SUMIFS('ON Data'!V:V,'ON Data'!$E:$E,3))</f>
        <v>0</v>
      </c>
      <c r="J12" s="263">
        <f xml:space="preserve">
IF($A$4&lt;=12,SUMIFS('ON Data'!AJ:AJ,'ON Data'!$D:$D,$A$4,'ON Data'!$E:$E,3),SUMIFS('ON Data'!AJ:AJ,'ON Data'!$E:$E,3))</f>
        <v>0</v>
      </c>
      <c r="K12" s="263">
        <f xml:space="preserve">
IF($A$4&lt;=12,SUMIFS('ON Data'!AR:AR,'ON Data'!$D:$D,$A$4,'ON Data'!$E:$E,3),SUMIFS('ON Data'!AR:AR,'ON Data'!$E:$E,3))</f>
        <v>0</v>
      </c>
      <c r="L12" s="601">
        <f xml:space="preserve">
IF($A$4&lt;=12,SUMIFS('ON Data'!AW:AW,'ON Data'!$D:$D,$A$4,'ON Data'!$E:$E,3),SUMIFS('ON Data'!AW:AW,'ON Data'!$E:$E,3))</f>
        <v>0</v>
      </c>
      <c r="M12" s="610"/>
    </row>
    <row r="13" spans="1:13" x14ac:dyDescent="0.3">
      <c r="A13" s="244" t="s">
        <v>194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Data'!K:K,'ON Data'!$D:$D,$A$4,'ON Data'!$E:$E,4),SUMIFS('ON Data'!K:K,'ON Data'!$E:$E,4))</f>
        <v>0</v>
      </c>
      <c r="F13" s="263">
        <f xml:space="preserve">
IF($A$4&lt;=12,SUMIFS('ON Data'!O:O,'ON Data'!$D:$D,$A$4,'ON Data'!$E:$E,4),SUMIFS('ON Data'!O:O,'ON Data'!$E:$E,4))</f>
        <v>0</v>
      </c>
      <c r="G13" s="263">
        <f xml:space="preserve">
IF($A$4&lt;=12,SUMIFS('ON Data'!Q:Q,'ON Data'!$D:$D,$A$4,'ON Data'!$E:$E,4),SUMIFS('ON Data'!Q:Q,'ON Data'!$E:$E,4))</f>
        <v>0</v>
      </c>
      <c r="H13" s="263">
        <f xml:space="preserve">
IF($A$4&lt;=12,SUMIFS('ON Data'!R:R,'ON Data'!$D:$D,$A$4,'ON Data'!$E:$E,4),SUMIFS('ON Data'!R:R,'ON Data'!$E:$E,4))</f>
        <v>0</v>
      </c>
      <c r="I13" s="263">
        <f xml:space="preserve">
IF($A$4&lt;=12,SUMIFS('ON Data'!V:V,'ON Data'!$D:$D,$A$4,'ON Data'!$E:$E,4),SUMIFS('ON Data'!V:V,'ON Data'!$E:$E,4))</f>
        <v>0</v>
      </c>
      <c r="J13" s="263">
        <f xml:space="preserve">
IF($A$4&lt;=12,SUMIFS('ON Data'!AJ:AJ,'ON Data'!$D:$D,$A$4,'ON Data'!$E:$E,4),SUMIFS('ON Data'!AJ:AJ,'ON Data'!$E:$E,4))</f>
        <v>0</v>
      </c>
      <c r="K13" s="263">
        <f xml:space="preserve">
IF($A$4&lt;=12,SUMIFS('ON Data'!AR:AR,'ON Data'!$D:$D,$A$4,'ON Data'!$E:$E,4),SUMIFS('ON Data'!AR:AR,'ON Data'!$E:$E,4))</f>
        <v>0</v>
      </c>
      <c r="L13" s="601">
        <f xml:space="preserve">
IF($A$4&lt;=12,SUMIFS('ON Data'!AW:AW,'ON Data'!$D:$D,$A$4,'ON Data'!$E:$E,4),SUMIFS('ON Data'!AW:AW,'ON Data'!$E:$E,4))</f>
        <v>0</v>
      </c>
      <c r="M13" s="610"/>
    </row>
    <row r="14" spans="1:13" ht="15" thickBot="1" x14ac:dyDescent="0.35">
      <c r="A14" s="245" t="s">
        <v>188</v>
      </c>
      <c r="B14" s="264">
        <f xml:space="preserve">
IF($A$4&lt;=12,SUMIFS('ON Data'!F:F,'ON Data'!$D:$D,$A$4,'ON Data'!$E:$E,5),SUMIFS('ON Data'!F:F,'ON Data'!$E:$E,5))</f>
        <v>230</v>
      </c>
      <c r="C14" s="265">
        <f xml:space="preserve">
IF($A$4&lt;=12,SUMIFS('ON Data'!G:G,'ON Data'!$D:$D,$A$4,'ON Data'!$E:$E,5),SUMIFS('ON Data'!G:G,'ON Data'!$E:$E,5))</f>
        <v>230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Data'!Q:Q,'ON Data'!$D:$D,$A$4,'ON Data'!$E:$E,5),SUMIFS('ON Data'!Q:Q,'ON Data'!$E:$E,5))</f>
        <v>0</v>
      </c>
      <c r="H14" s="266">
        <f xml:space="preserve">
IF($A$4&lt;=12,SUMIFS('ON Data'!R:R,'ON Data'!$D:$D,$A$4,'ON Data'!$E:$E,5),SUMIFS('ON Data'!R:R,'ON Data'!$E:$E,5))</f>
        <v>0</v>
      </c>
      <c r="I14" s="266">
        <f xml:space="preserve">
IF($A$4&lt;=12,SUMIFS('ON Data'!V:V,'ON Data'!$D:$D,$A$4,'ON Data'!$E:$E,5),SUMIFS('ON Data'!V:V,'ON Data'!$E:$E,5))</f>
        <v>0</v>
      </c>
      <c r="J14" s="266">
        <f xml:space="preserve">
IF($A$4&lt;=12,SUMIFS('ON Data'!AJ:AJ,'ON Data'!$D:$D,$A$4,'ON Data'!$E:$E,5),SUMIFS('ON Data'!AJ:AJ,'ON Data'!$E:$E,5))</f>
        <v>0</v>
      </c>
      <c r="K14" s="266">
        <f xml:space="preserve">
IF($A$4&lt;=12,SUMIFS('ON Data'!AR:AR,'ON Data'!$D:$D,$A$4,'ON Data'!$E:$E,5),SUMIFS('ON Data'!AR:AR,'ON Data'!$E:$E,5))</f>
        <v>0</v>
      </c>
      <c r="L14" s="602">
        <f xml:space="preserve">
IF($A$4&lt;=12,SUMIFS('ON Data'!AW:AW,'ON Data'!$D:$D,$A$4,'ON Data'!$E:$E,5),SUMIFS('ON Data'!AW:AW,'ON Data'!$E:$E,5))</f>
        <v>0</v>
      </c>
      <c r="M14" s="610"/>
    </row>
    <row r="15" spans="1:13" x14ac:dyDescent="0.3">
      <c r="A15" s="163" t="s">
        <v>198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603"/>
      <c r="M15" s="610"/>
    </row>
    <row r="16" spans="1:13" x14ac:dyDescent="0.3">
      <c r="A16" s="246" t="s">
        <v>189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Data'!K:K,'ON Data'!$D:$D,$A$4,'ON Data'!$E:$E,7),SUMIFS('ON Data'!K:K,'ON Data'!$E:$E,7))</f>
        <v>0</v>
      </c>
      <c r="F16" s="263">
        <f xml:space="preserve">
IF($A$4&lt;=12,SUMIFS('ON Data'!O:O,'ON Data'!$D:$D,$A$4,'ON Data'!$E:$E,7),SUMIFS('ON Data'!O:O,'ON Data'!$E:$E,7))</f>
        <v>0</v>
      </c>
      <c r="G16" s="263">
        <f xml:space="preserve">
IF($A$4&lt;=12,SUMIFS('ON Data'!Q:Q,'ON Data'!$D:$D,$A$4,'ON Data'!$E:$E,7),SUMIFS('ON Data'!Q:Q,'ON Data'!$E:$E,7))</f>
        <v>0</v>
      </c>
      <c r="H16" s="263">
        <f xml:space="preserve">
IF($A$4&lt;=12,SUMIFS('ON Data'!R:R,'ON Data'!$D:$D,$A$4,'ON Data'!$E:$E,7),SUMIFS('ON Data'!R:R,'ON Data'!$E:$E,7))</f>
        <v>0</v>
      </c>
      <c r="I16" s="263">
        <f xml:space="preserve">
IF($A$4&lt;=12,SUMIFS('ON Data'!V:V,'ON Data'!$D:$D,$A$4,'ON Data'!$E:$E,7),SUMIFS('ON Data'!V:V,'ON Data'!$E:$E,7))</f>
        <v>0</v>
      </c>
      <c r="J16" s="263">
        <f xml:space="preserve">
IF($A$4&lt;=12,SUMIFS('ON Data'!AJ:AJ,'ON Data'!$D:$D,$A$4,'ON Data'!$E:$E,7),SUMIFS('ON Data'!AJ:AJ,'ON Data'!$E:$E,7))</f>
        <v>0</v>
      </c>
      <c r="K16" s="263">
        <f xml:space="preserve">
IF($A$4&lt;=12,SUMIFS('ON Data'!AR:AR,'ON Data'!$D:$D,$A$4,'ON Data'!$E:$E,7),SUMIFS('ON Data'!AR:AR,'ON Data'!$E:$E,7))</f>
        <v>0</v>
      </c>
      <c r="L16" s="601">
        <f xml:space="preserve">
IF($A$4&lt;=12,SUMIFS('ON Data'!AW:AW,'ON Data'!$D:$D,$A$4,'ON Data'!$E:$E,7),SUMIFS('ON Data'!AW:AW,'ON Data'!$E:$E,7))</f>
        <v>0</v>
      </c>
      <c r="M16" s="610"/>
    </row>
    <row r="17" spans="1:13" x14ac:dyDescent="0.3">
      <c r="A17" s="246" t="s">
        <v>190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Data'!K:K,'ON Data'!$D:$D,$A$4,'ON Data'!$E:$E,8),SUMIFS('ON Data'!K:K,'ON Data'!$E:$E,8))</f>
        <v>0</v>
      </c>
      <c r="F17" s="263">
        <f xml:space="preserve">
IF($A$4&lt;=12,SUMIFS('ON Data'!O:O,'ON Data'!$D:$D,$A$4,'ON Data'!$E:$E,8),SUMIFS('ON Data'!O:O,'ON Data'!$E:$E,8))</f>
        <v>0</v>
      </c>
      <c r="G17" s="263">
        <f xml:space="preserve">
IF($A$4&lt;=12,SUMIFS('ON Data'!Q:Q,'ON Data'!$D:$D,$A$4,'ON Data'!$E:$E,8),SUMIFS('ON Data'!Q:Q,'ON Data'!$E:$E,8))</f>
        <v>0</v>
      </c>
      <c r="H17" s="263">
        <f xml:space="preserve">
IF($A$4&lt;=12,SUMIFS('ON Data'!R:R,'ON Data'!$D:$D,$A$4,'ON Data'!$E:$E,8),SUMIFS('ON Data'!R:R,'ON Data'!$E:$E,8))</f>
        <v>0</v>
      </c>
      <c r="I17" s="263">
        <f xml:space="preserve">
IF($A$4&lt;=12,SUMIFS('ON Data'!V:V,'ON Data'!$D:$D,$A$4,'ON Data'!$E:$E,8),SUMIFS('ON Data'!V:V,'ON Data'!$E:$E,8))</f>
        <v>0</v>
      </c>
      <c r="J17" s="263">
        <f xml:space="preserve">
IF($A$4&lt;=12,SUMIFS('ON Data'!AJ:AJ,'ON Data'!$D:$D,$A$4,'ON Data'!$E:$E,8),SUMIFS('ON Data'!AJ:AJ,'ON Data'!$E:$E,8))</f>
        <v>0</v>
      </c>
      <c r="K17" s="263">
        <f xml:space="preserve">
IF($A$4&lt;=12,SUMIFS('ON Data'!AR:AR,'ON Data'!$D:$D,$A$4,'ON Data'!$E:$E,8),SUMIFS('ON Data'!AR:AR,'ON Data'!$E:$E,8))</f>
        <v>0</v>
      </c>
      <c r="L17" s="601">
        <f xml:space="preserve">
IF($A$4&lt;=12,SUMIFS('ON Data'!AW:AW,'ON Data'!$D:$D,$A$4,'ON Data'!$E:$E,8),SUMIFS('ON Data'!AW:AW,'ON Data'!$E:$E,8))</f>
        <v>0</v>
      </c>
      <c r="M17" s="610"/>
    </row>
    <row r="18" spans="1:13" x14ac:dyDescent="0.3">
      <c r="A18" s="246" t="s">
        <v>191</v>
      </c>
      <c r="B18" s="261">
        <f xml:space="preserve">
B19-B16-B17</f>
        <v>442000</v>
      </c>
      <c r="C18" s="262">
        <f t="shared" ref="C18:E18" si="0" xml:space="preserve">
C19-C16-C17</f>
        <v>0</v>
      </c>
      <c r="D18" s="263">
        <f t="shared" si="0"/>
        <v>23337</v>
      </c>
      <c r="E18" s="263">
        <f t="shared" si="0"/>
        <v>123306</v>
      </c>
      <c r="F18" s="263">
        <f t="shared" ref="F18:J18" si="1" xml:space="preserve">
F19-F16-F17</f>
        <v>0</v>
      </c>
      <c r="G18" s="263">
        <f t="shared" si="1"/>
        <v>17697</v>
      </c>
      <c r="H18" s="263">
        <f t="shared" si="1"/>
        <v>27037</v>
      </c>
      <c r="I18" s="263">
        <f t="shared" si="1"/>
        <v>42307</v>
      </c>
      <c r="J18" s="263">
        <f t="shared" si="1"/>
        <v>193223</v>
      </c>
      <c r="K18" s="263">
        <f t="shared" ref="K18:L18" si="2" xml:space="preserve">
K19-K16-K17</f>
        <v>4816</v>
      </c>
      <c r="L18" s="601">
        <f t="shared" si="2"/>
        <v>10277</v>
      </c>
      <c r="M18" s="610"/>
    </row>
    <row r="19" spans="1:13" ht="15" thickBot="1" x14ac:dyDescent="0.35">
      <c r="A19" s="247" t="s">
        <v>192</v>
      </c>
      <c r="B19" s="270">
        <f xml:space="preserve">
IF($A$4&lt;=12,SUMIFS('ON Data'!F:F,'ON Data'!$D:$D,$A$4,'ON Data'!$E:$E,9),SUMIFS('ON Data'!F:F,'ON Data'!$E:$E,9))</f>
        <v>442000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23337</v>
      </c>
      <c r="E19" s="272">
        <f xml:space="preserve">
IF($A$4&lt;=12,SUMIFS('ON Data'!K:K,'ON Data'!$D:$D,$A$4,'ON Data'!$E:$E,9),SUMIFS('ON Data'!K:K,'ON Data'!$E:$E,9))</f>
        <v>123306</v>
      </c>
      <c r="F19" s="272">
        <f xml:space="preserve">
IF($A$4&lt;=12,SUMIFS('ON Data'!O:O,'ON Data'!$D:$D,$A$4,'ON Data'!$E:$E,9),SUMIFS('ON Data'!O:O,'ON Data'!$E:$E,9))</f>
        <v>0</v>
      </c>
      <c r="G19" s="272">
        <f xml:space="preserve">
IF($A$4&lt;=12,SUMIFS('ON Data'!Q:Q,'ON Data'!$D:$D,$A$4,'ON Data'!$E:$E,9),SUMIFS('ON Data'!Q:Q,'ON Data'!$E:$E,9))</f>
        <v>17697</v>
      </c>
      <c r="H19" s="272">
        <f xml:space="preserve">
IF($A$4&lt;=12,SUMIFS('ON Data'!R:R,'ON Data'!$D:$D,$A$4,'ON Data'!$E:$E,9),SUMIFS('ON Data'!R:R,'ON Data'!$E:$E,9))</f>
        <v>27037</v>
      </c>
      <c r="I19" s="272">
        <f xml:space="preserve">
IF($A$4&lt;=12,SUMIFS('ON Data'!V:V,'ON Data'!$D:$D,$A$4,'ON Data'!$E:$E,9),SUMIFS('ON Data'!V:V,'ON Data'!$E:$E,9))</f>
        <v>42307</v>
      </c>
      <c r="J19" s="272">
        <f xml:space="preserve">
IF($A$4&lt;=12,SUMIFS('ON Data'!AJ:AJ,'ON Data'!$D:$D,$A$4,'ON Data'!$E:$E,9),SUMIFS('ON Data'!AJ:AJ,'ON Data'!$E:$E,9))</f>
        <v>193223</v>
      </c>
      <c r="K19" s="272">
        <f xml:space="preserve">
IF($A$4&lt;=12,SUMIFS('ON Data'!AR:AR,'ON Data'!$D:$D,$A$4,'ON Data'!$E:$E,9),SUMIFS('ON Data'!AR:AR,'ON Data'!$E:$E,9))</f>
        <v>4816</v>
      </c>
      <c r="L19" s="604">
        <f xml:space="preserve">
IF($A$4&lt;=12,SUMIFS('ON Data'!AW:AW,'ON Data'!$D:$D,$A$4,'ON Data'!$E:$E,9),SUMIFS('ON Data'!AW:AW,'ON Data'!$E:$E,9))</f>
        <v>10277</v>
      </c>
      <c r="M19" s="610"/>
    </row>
    <row r="20" spans="1:13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7279679</v>
      </c>
      <c r="C20" s="274">
        <f xml:space="preserve">
IF($A$4&lt;=12,SUMIFS('ON Data'!G:G,'ON Data'!$D:$D,$A$4,'ON Data'!$E:$E,6),SUMIFS('ON Data'!G:G,'ON Data'!$E:$E,6))</f>
        <v>92000</v>
      </c>
      <c r="D20" s="275">
        <f xml:space="preserve">
IF($A$4&lt;=12,SUMIFS('ON Data'!I:I,'ON Data'!$D:$D,$A$4,'ON Data'!$E:$E,6),SUMIFS('ON Data'!I:I,'ON Data'!$E:$E,6))</f>
        <v>536647</v>
      </c>
      <c r="E20" s="275">
        <f xml:space="preserve">
IF($A$4&lt;=12,SUMIFS('ON Data'!K:K,'ON Data'!$D:$D,$A$4,'ON Data'!$E:$E,6),SUMIFS('ON Data'!K:K,'ON Data'!$E:$E,6))</f>
        <v>1484282</v>
      </c>
      <c r="F20" s="275">
        <f xml:space="preserve">
IF($A$4&lt;=12,SUMIFS('ON Data'!O:O,'ON Data'!$D:$D,$A$4,'ON Data'!$E:$E,6),SUMIFS('ON Data'!O:O,'ON Data'!$E:$E,6))</f>
        <v>0</v>
      </c>
      <c r="G20" s="275">
        <f xml:space="preserve">
IF($A$4&lt;=12,SUMIFS('ON Data'!Q:Q,'ON Data'!$D:$D,$A$4,'ON Data'!$E:$E,6),SUMIFS('ON Data'!Q:Q,'ON Data'!$E:$E,6))</f>
        <v>409818</v>
      </c>
      <c r="H20" s="275">
        <f xml:space="preserve">
IF($A$4&lt;=12,SUMIFS('ON Data'!R:R,'ON Data'!$D:$D,$A$4,'ON Data'!$E:$E,6),SUMIFS('ON Data'!R:R,'ON Data'!$E:$E,6))</f>
        <v>330979</v>
      </c>
      <c r="I20" s="275">
        <f xml:space="preserve">
IF($A$4&lt;=12,SUMIFS('ON Data'!V:V,'ON Data'!$D:$D,$A$4,'ON Data'!$E:$E,6),SUMIFS('ON Data'!V:V,'ON Data'!$E:$E,6))</f>
        <v>1015381</v>
      </c>
      <c r="J20" s="275">
        <f xml:space="preserve">
IF($A$4&lt;=12,SUMIFS('ON Data'!AJ:AJ,'ON Data'!$D:$D,$A$4,'ON Data'!$E:$E,6),SUMIFS('ON Data'!AJ:AJ,'ON Data'!$E:$E,6))</f>
        <v>2986510</v>
      </c>
      <c r="K20" s="275">
        <f xml:space="preserve">
IF($A$4&lt;=12,SUMIFS('ON Data'!AR:AR,'ON Data'!$D:$D,$A$4,'ON Data'!$E:$E,6),SUMIFS('ON Data'!AR:AR,'ON Data'!$E:$E,6))</f>
        <v>121201</v>
      </c>
      <c r="L20" s="605">
        <f xml:space="preserve">
IF($A$4&lt;=12,SUMIFS('ON Data'!AW:AW,'ON Data'!$D:$D,$A$4,'ON Data'!$E:$E,6),SUMIFS('ON Data'!AW:AW,'ON Data'!$E:$E,6))</f>
        <v>302861</v>
      </c>
      <c r="M20" s="610"/>
    </row>
    <row r="21" spans="1:13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Data'!K:K,'ON Data'!$D:$D,$A$4,'ON Data'!$E:$E,12),SUMIFS('ON Data'!K:K,'ON Data'!$E:$E,12))</f>
        <v>0</v>
      </c>
      <c r="F21" s="263">
        <f xml:space="preserve">
IF($A$4&lt;=12,SUMIFS('ON Data'!O:O,'ON Data'!$D:$D,$A$4,'ON Data'!$E:$E,12),SUMIFS('ON Data'!O:O,'ON Data'!$E:$E,12))</f>
        <v>0</v>
      </c>
      <c r="G21" s="263">
        <f xml:space="preserve">
IF($A$4&lt;=12,SUMIFS('ON Data'!Q:Q,'ON Data'!$D:$D,$A$4,'ON Data'!$E:$E,12),SUMIFS('ON Data'!Q:Q,'ON Data'!$E:$E,12))</f>
        <v>0</v>
      </c>
      <c r="H21" s="263">
        <f xml:space="preserve">
IF($A$4&lt;=12,SUMIFS('ON Data'!R:R,'ON Data'!$D:$D,$A$4,'ON Data'!$E:$E,12),SUMIFS('ON Data'!R:R,'ON Data'!$E:$E,12))</f>
        <v>0</v>
      </c>
      <c r="I21" s="263">
        <f xml:space="preserve">
IF($A$4&lt;=12,SUMIFS('ON Data'!V:V,'ON Data'!$D:$D,$A$4,'ON Data'!$E:$E,12),SUMIFS('ON Data'!V:V,'ON Data'!$E:$E,12))</f>
        <v>0</v>
      </c>
      <c r="J21" s="263">
        <f xml:space="preserve">
IF($A$4&lt;=12,SUMIFS('ON Data'!AJ:AJ,'ON Data'!$D:$D,$A$4,'ON Data'!$E:$E,12),SUMIFS('ON Data'!AJ:AJ,'ON Data'!$E:$E,12))</f>
        <v>0</v>
      </c>
      <c r="M21" s="610"/>
    </row>
    <row r="22" spans="1:13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E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ref="F22:J22" si="4" xml:space="preserve">
IF(OR(F21="",F21=0),"",F20/F21)</f>
        <v/>
      </c>
      <c r="G22" s="319" t="str">
        <f t="shared" si="4"/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M22" s="610"/>
    </row>
    <row r="23" spans="1:13" ht="15" hidden="1" outlineLevel="1" thickBot="1" x14ac:dyDescent="0.35">
      <c r="A23" s="249" t="s">
        <v>68</v>
      </c>
      <c r="B23" s="264">
        <f xml:space="preserve">
IF(B21="","",B20-B21)</f>
        <v>7279679</v>
      </c>
      <c r="C23" s="265">
        <f t="shared" ref="C23:E23" si="5" xml:space="preserve">
IF(C21="","",C20-C21)</f>
        <v>92000</v>
      </c>
      <c r="D23" s="266">
        <f t="shared" si="5"/>
        <v>536647</v>
      </c>
      <c r="E23" s="266">
        <f t="shared" si="5"/>
        <v>1484282</v>
      </c>
      <c r="F23" s="266">
        <f t="shared" ref="F23:J23" si="6" xml:space="preserve">
IF(F21="","",F20-F21)</f>
        <v>0</v>
      </c>
      <c r="G23" s="266">
        <f t="shared" si="6"/>
        <v>409818</v>
      </c>
      <c r="H23" s="266">
        <f t="shared" si="6"/>
        <v>330979</v>
      </c>
      <c r="I23" s="266">
        <f t="shared" si="6"/>
        <v>1015381</v>
      </c>
      <c r="J23" s="266">
        <f t="shared" si="6"/>
        <v>2986510</v>
      </c>
      <c r="M23" s="610"/>
    </row>
    <row r="24" spans="1:13" x14ac:dyDescent="0.3">
      <c r="A24" s="243" t="s">
        <v>193</v>
      </c>
      <c r="B24" s="290" t="s">
        <v>3</v>
      </c>
      <c r="C24" s="611" t="s">
        <v>204</v>
      </c>
      <c r="D24" s="581"/>
      <c r="E24" s="582"/>
      <c r="F24" s="583" t="s">
        <v>205</v>
      </c>
      <c r="G24" s="584"/>
      <c r="H24" s="584"/>
      <c r="I24" s="584"/>
      <c r="J24" s="584"/>
      <c r="K24" s="584"/>
      <c r="L24" s="606" t="s">
        <v>206</v>
      </c>
      <c r="M24" s="610"/>
    </row>
    <row r="25" spans="1:13" x14ac:dyDescent="0.3">
      <c r="A25" s="244" t="s">
        <v>73</v>
      </c>
      <c r="B25" s="261">
        <f xml:space="preserve">
SUM(C25:L25)</f>
        <v>7302.5</v>
      </c>
      <c r="C25" s="612">
        <f xml:space="preserve">
IF($A$4&lt;=12,SUMIFS('ON Data'!J:J,'ON Data'!$D:$D,$A$4,'ON Data'!$E:$E,10),SUMIFS('ON Data'!J:J,'ON Data'!$E:$E,10))</f>
        <v>3500</v>
      </c>
      <c r="D25" s="585"/>
      <c r="E25" s="586"/>
      <c r="F25" s="587">
        <f xml:space="preserve">
IF($A$4&lt;=12,SUMIFS('ON Data'!O:O,'ON Data'!$D:$D,$A$4,'ON Data'!$E:$E,10),SUMIFS('ON Data'!O:O,'ON Data'!$E:$E,10))</f>
        <v>3802.5</v>
      </c>
      <c r="G25" s="586"/>
      <c r="H25" s="586"/>
      <c r="I25" s="586"/>
      <c r="J25" s="586"/>
      <c r="K25" s="586"/>
      <c r="L25" s="607">
        <f xml:space="preserve">
IF($A$4&lt;=12,SUMIFS('ON Data'!AW:AW,'ON Data'!$D:$D,$A$4,'ON Data'!$E:$E,10),SUMIFS('ON Data'!AW:AW,'ON Data'!$E:$E,10))</f>
        <v>0</v>
      </c>
      <c r="M25" s="610"/>
    </row>
    <row r="26" spans="1:13" x14ac:dyDescent="0.3">
      <c r="A26" s="250" t="s">
        <v>203</v>
      </c>
      <c r="B26" s="270">
        <f xml:space="preserve">
SUM(C26:L26)</f>
        <v>45103.689567430032</v>
      </c>
      <c r="C26" s="612">
        <f xml:space="preserve">
IF($A$4&lt;=12,SUMIFS('ON Data'!J:J,'ON Data'!$D:$D,$A$4,'ON Data'!$E:$E,11),SUMIFS('ON Data'!J:J,'ON Data'!$E:$E,11))</f>
        <v>10687.022900763359</v>
      </c>
      <c r="D26" s="585"/>
      <c r="E26" s="586"/>
      <c r="F26" s="588">
        <f xml:space="preserve">
IF($A$4&lt;=12,SUMIFS('ON Data'!O:O,'ON Data'!$D:$D,$A$4,'ON Data'!$E:$E,11),SUMIFS('ON Data'!O:O,'ON Data'!$E:$E,11))</f>
        <v>34416.666666666672</v>
      </c>
      <c r="G26" s="589"/>
      <c r="H26" s="589"/>
      <c r="I26" s="589"/>
      <c r="J26" s="589"/>
      <c r="K26" s="589"/>
      <c r="L26" s="607">
        <f xml:space="preserve">
IF($A$4&lt;=12,SUMIFS('ON Data'!AW:AW,'ON Data'!$D:$D,$A$4,'ON Data'!$E:$E,11),SUMIFS('ON Data'!AW:AW,'ON Data'!$E:$E,11))</f>
        <v>0</v>
      </c>
      <c r="M26" s="610"/>
    </row>
    <row r="27" spans="1:13" x14ac:dyDescent="0.3">
      <c r="A27" s="250" t="s">
        <v>75</v>
      </c>
      <c r="B27" s="291">
        <f xml:space="preserve">
IF(B26=0,0,B25/B26)</f>
        <v>0.16190471489217662</v>
      </c>
      <c r="C27" s="613">
        <f xml:space="preserve">
IF(C26=0,0,C25/C26)</f>
        <v>0.32750000000000001</v>
      </c>
      <c r="D27" s="590"/>
      <c r="E27" s="586"/>
      <c r="F27" s="591">
        <f xml:space="preserve">
IF(F26=0,0,F25/F26)</f>
        <v>0.11048426150121064</v>
      </c>
      <c r="G27" s="586"/>
      <c r="H27" s="586"/>
      <c r="I27" s="586"/>
      <c r="J27" s="586"/>
      <c r="K27" s="586"/>
      <c r="L27" s="608">
        <f xml:space="preserve">
IF(L26=0,0,L25/L26)</f>
        <v>0</v>
      </c>
      <c r="M27" s="610"/>
    </row>
    <row r="28" spans="1:13" ht="15" thickBot="1" x14ac:dyDescent="0.35">
      <c r="A28" s="250" t="s">
        <v>202</v>
      </c>
      <c r="B28" s="270">
        <f xml:space="preserve">
SUM(C28:L28)</f>
        <v>37801.189567430032</v>
      </c>
      <c r="C28" s="614">
        <f xml:space="preserve">
C26-C25</f>
        <v>7187.0229007633588</v>
      </c>
      <c r="D28" s="592"/>
      <c r="E28" s="593"/>
      <c r="F28" s="594">
        <f xml:space="preserve">
F26-F25</f>
        <v>30614.166666666672</v>
      </c>
      <c r="G28" s="593"/>
      <c r="H28" s="593"/>
      <c r="I28" s="593"/>
      <c r="J28" s="593"/>
      <c r="K28" s="593"/>
      <c r="L28" s="609">
        <f xml:space="preserve">
L26-L25</f>
        <v>0</v>
      </c>
      <c r="M28" s="610"/>
    </row>
    <row r="29" spans="1:13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</row>
    <row r="30" spans="1:13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3" x14ac:dyDescent="0.3">
      <c r="A31" s="114" t="s">
        <v>200</v>
      </c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3" ht="14.4" customHeight="1" x14ac:dyDescent="0.3">
      <c r="A32" s="287" t="s">
        <v>197</v>
      </c>
      <c r="B32" s="288"/>
      <c r="C32" s="288"/>
      <c r="D32" s="288"/>
      <c r="E32" s="288"/>
      <c r="F32" s="288"/>
      <c r="G32" s="288"/>
      <c r="H32" s="288"/>
      <c r="I32" s="288"/>
      <c r="J32" s="288"/>
    </row>
    <row r="33" spans="1:1" x14ac:dyDescent="0.3">
      <c r="A33" s="289" t="s">
        <v>232</v>
      </c>
    </row>
    <row r="34" spans="1:1" x14ac:dyDescent="0.3">
      <c r="A34" s="289" t="s">
        <v>233</v>
      </c>
    </row>
    <row r="35" spans="1:1" x14ac:dyDescent="0.3">
      <c r="A35" s="289" t="s">
        <v>234</v>
      </c>
    </row>
    <row r="36" spans="1:1" x14ac:dyDescent="0.3">
      <c r="A36" s="289" t="s">
        <v>207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L27">
    <cfRule type="cellIs" dxfId="4" priority="4" operator="greaterThan">
      <formula>1</formula>
    </cfRule>
  </conditionalFormatting>
  <conditionalFormatting sqref="L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13554.075422175232</v>
      </c>
      <c r="D4" s="161">
        <f ca="1">IF(ISERROR(VLOOKUP("Náklady celkem",INDIRECT("HI!$A:$G"),5,0)),0,VLOOKUP("Náklady celkem",INDIRECT("HI!$A:$G"),5,0))</f>
        <v>14644.685140000001</v>
      </c>
      <c r="E4" s="162">
        <f ca="1">IF(C4=0,0,D4/C4)</f>
        <v>1.0804636010834403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35.583336545777421</v>
      </c>
      <c r="D7" s="169">
        <f>IF(ISERROR(HI!E5),"",HI!E5)</f>
        <v>15.595219999999999</v>
      </c>
      <c r="E7" s="166">
        <f t="shared" ref="E7:E15" si="0">IF(C7=0,0,D7/C7)</f>
        <v>0.43827312202544544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222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0.90537769773575782</v>
      </c>
      <c r="E11" s="166">
        <f t="shared" si="0"/>
        <v>1.5089628295595965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2847.0711929162353</v>
      </c>
      <c r="D15" s="169">
        <f>IF(ISERROR(HI!E6),"",HI!E6)</f>
        <v>2324.0439900000001</v>
      </c>
      <c r="E15" s="166">
        <f t="shared" si="0"/>
        <v>0.81629289628669166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8692.2507847319266</v>
      </c>
      <c r="D16" s="165">
        <f ca="1">IF(ISERROR(VLOOKUP("Osobní náklady (Kč) *",INDIRECT("HI!$A:$G"),5,0)),0,VLOOKUP("Osobní náklady (Kč) *",INDIRECT("HI!$A:$G"),5,0))</f>
        <v>9859.8730500000038</v>
      </c>
      <c r="E16" s="166">
        <f ca="1">IF(C16=0,0,D16/C16)</f>
        <v>1.1343291046456028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38434.775000000001</v>
      </c>
      <c r="D18" s="184">
        <f ca="1">IF(ISERROR(VLOOKUP("Výnosy celkem",INDIRECT("HI!$A:$G"),5,0)),0,VLOOKUP("Výnosy celkem",INDIRECT("HI!$A:$G"),5,0))</f>
        <v>64192.445380000005</v>
      </c>
      <c r="E18" s="185">
        <f t="shared" ref="E18:E21" ca="1" si="1">IF(C18=0,0,D18/C18)</f>
        <v>1.6701657647273855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38434.775000000001</v>
      </c>
      <c r="D19" s="165">
        <f ca="1">IF(ISERROR(VLOOKUP("Ambulance *",INDIRECT("HI!$A:$G"),5,0)),0,VLOOKUP("Ambulance *",INDIRECT("HI!$A:$G"),5,0))</f>
        <v>64192.445380000005</v>
      </c>
      <c r="E19" s="166">
        <f t="shared" ca="1" si="1"/>
        <v>1.6701657647273855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1.6701657647273855</v>
      </c>
      <c r="E20" s="166">
        <f t="shared" si="1"/>
        <v>1.6701657647273855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1.3229571058656864</v>
      </c>
      <c r="E21" s="166">
        <f t="shared" si="1"/>
        <v>1.5564201245478664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0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1029</v>
      </c>
    </row>
    <row r="2" spans="1:49" x14ac:dyDescent="0.3">
      <c r="A2" s="234" t="s">
        <v>256</v>
      </c>
    </row>
    <row r="3" spans="1:49" x14ac:dyDescent="0.3">
      <c r="A3" s="230" t="s">
        <v>168</v>
      </c>
      <c r="B3" s="255">
        <v>2016</v>
      </c>
      <c r="D3" s="231">
        <f>MAX(D5:D1048576)</f>
        <v>7</v>
      </c>
      <c r="F3" s="231">
        <f>SUMIF($E5:$E1048576,"&lt;10",F5:F1048576)</f>
        <v>7750589.1000000015</v>
      </c>
      <c r="G3" s="231">
        <f t="shared" ref="G3:AW3" si="0">SUMIF($E5:$E1048576,"&lt;10",G5:G1048576)</f>
        <v>92230</v>
      </c>
      <c r="H3" s="231">
        <f t="shared" si="0"/>
        <v>0</v>
      </c>
      <c r="I3" s="231">
        <f t="shared" si="0"/>
        <v>562668.20000000019</v>
      </c>
      <c r="J3" s="231">
        <f t="shared" si="0"/>
        <v>0</v>
      </c>
      <c r="K3" s="231">
        <f t="shared" si="0"/>
        <v>1610732.6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0</v>
      </c>
      <c r="Q3" s="231">
        <f t="shared" si="0"/>
        <v>429408</v>
      </c>
      <c r="R3" s="231">
        <f t="shared" si="0"/>
        <v>359103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1062881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3191362.9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127056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315147.39999999997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25.2</v>
      </c>
      <c r="G5" s="230">
        <v>0</v>
      </c>
      <c r="H5" s="230">
        <v>0</v>
      </c>
      <c r="I5" s="230">
        <v>2.4</v>
      </c>
      <c r="J5" s="230">
        <v>0</v>
      </c>
      <c r="K5" s="230">
        <v>2.8</v>
      </c>
      <c r="L5" s="230">
        <v>0</v>
      </c>
      <c r="M5" s="230">
        <v>0</v>
      </c>
      <c r="N5" s="230">
        <v>0</v>
      </c>
      <c r="O5" s="230">
        <v>0</v>
      </c>
      <c r="P5" s="230">
        <v>0</v>
      </c>
      <c r="Q5" s="230">
        <v>1.5</v>
      </c>
      <c r="R5" s="230">
        <v>1</v>
      </c>
      <c r="S5" s="230">
        <v>0</v>
      </c>
      <c r="T5" s="230">
        <v>0</v>
      </c>
      <c r="U5" s="230">
        <v>0</v>
      </c>
      <c r="V5" s="230">
        <v>4.8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9.9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1</v>
      </c>
      <c r="AS5" s="230">
        <v>0</v>
      </c>
      <c r="AT5" s="230">
        <v>0</v>
      </c>
      <c r="AU5" s="230">
        <v>0</v>
      </c>
      <c r="AV5" s="230">
        <v>0</v>
      </c>
      <c r="AW5" s="230">
        <v>1.8</v>
      </c>
    </row>
    <row r="6" spans="1:49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3946.4</v>
      </c>
      <c r="G6" s="230">
        <v>0</v>
      </c>
      <c r="H6" s="230">
        <v>0</v>
      </c>
      <c r="I6" s="230">
        <v>358.4</v>
      </c>
      <c r="J6" s="230">
        <v>0</v>
      </c>
      <c r="K6" s="230">
        <v>464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252</v>
      </c>
      <c r="R6" s="230">
        <v>168</v>
      </c>
      <c r="S6" s="230">
        <v>0</v>
      </c>
      <c r="T6" s="230">
        <v>0</v>
      </c>
      <c r="U6" s="230">
        <v>0</v>
      </c>
      <c r="V6" s="230">
        <v>742.4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1515.2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152</v>
      </c>
      <c r="AS6" s="230">
        <v>0</v>
      </c>
      <c r="AT6" s="230">
        <v>0</v>
      </c>
      <c r="AU6" s="230">
        <v>0</v>
      </c>
      <c r="AV6" s="230">
        <v>0</v>
      </c>
      <c r="AW6" s="230">
        <v>294.39999999999998</v>
      </c>
    </row>
    <row r="7" spans="1:49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87.7</v>
      </c>
      <c r="G7" s="230">
        <v>0</v>
      </c>
      <c r="H7" s="230">
        <v>0</v>
      </c>
      <c r="I7" s="230">
        <v>8.6999999999999993</v>
      </c>
      <c r="J7" s="230">
        <v>0</v>
      </c>
      <c r="K7" s="230">
        <v>52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27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5</v>
      </c>
      <c r="F8" s="230">
        <v>29</v>
      </c>
      <c r="G8" s="230">
        <v>29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6</v>
      </c>
      <c r="F9" s="230">
        <v>942063</v>
      </c>
      <c r="G9" s="230">
        <v>11600</v>
      </c>
      <c r="H9" s="230">
        <v>0</v>
      </c>
      <c r="I9" s="230">
        <v>68921</v>
      </c>
      <c r="J9" s="230">
        <v>0</v>
      </c>
      <c r="K9" s="230">
        <v>209437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50477</v>
      </c>
      <c r="R9" s="230">
        <v>38820</v>
      </c>
      <c r="S9" s="230">
        <v>0</v>
      </c>
      <c r="T9" s="230">
        <v>0</v>
      </c>
      <c r="U9" s="230">
        <v>0</v>
      </c>
      <c r="V9" s="230">
        <v>129882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376429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16094</v>
      </c>
      <c r="AS9" s="230">
        <v>0</v>
      </c>
      <c r="AT9" s="230">
        <v>0</v>
      </c>
      <c r="AU9" s="230">
        <v>0</v>
      </c>
      <c r="AV9" s="230">
        <v>0</v>
      </c>
      <c r="AW9" s="230">
        <v>40403</v>
      </c>
    </row>
    <row r="10" spans="1:49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4300</v>
      </c>
      <c r="G10" s="230">
        <v>0</v>
      </c>
      <c r="H10" s="230">
        <v>0</v>
      </c>
      <c r="I10" s="230">
        <v>0</v>
      </c>
      <c r="J10" s="230">
        <v>1000</v>
      </c>
      <c r="K10" s="230">
        <v>0</v>
      </c>
      <c r="L10" s="230">
        <v>0</v>
      </c>
      <c r="M10" s="230">
        <v>0</v>
      </c>
      <c r="N10" s="230">
        <v>0</v>
      </c>
      <c r="O10" s="230">
        <v>3300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6443.3842239185751</v>
      </c>
      <c r="G11" s="230">
        <v>0</v>
      </c>
      <c r="H11" s="230">
        <v>0</v>
      </c>
      <c r="I11" s="230">
        <v>0</v>
      </c>
      <c r="J11" s="230">
        <v>1526.7175572519084</v>
      </c>
      <c r="K11" s="230">
        <v>0</v>
      </c>
      <c r="L11" s="230">
        <v>0</v>
      </c>
      <c r="M11" s="230">
        <v>0</v>
      </c>
      <c r="N11" s="230">
        <v>0</v>
      </c>
      <c r="O11" s="230">
        <v>4916.666666666667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27.1</v>
      </c>
      <c r="G12" s="230">
        <v>0</v>
      </c>
      <c r="H12" s="230">
        <v>0</v>
      </c>
      <c r="I12" s="230">
        <v>2.4</v>
      </c>
      <c r="J12" s="230">
        <v>0</v>
      </c>
      <c r="K12" s="230">
        <v>2.8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1.5</v>
      </c>
      <c r="R12" s="230">
        <v>1</v>
      </c>
      <c r="S12" s="230">
        <v>0</v>
      </c>
      <c r="T12" s="230">
        <v>0</v>
      </c>
      <c r="U12" s="230">
        <v>0</v>
      </c>
      <c r="V12" s="230">
        <v>5.8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10.8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1</v>
      </c>
      <c r="AS12" s="230">
        <v>0</v>
      </c>
      <c r="AT12" s="230">
        <v>0</v>
      </c>
      <c r="AU12" s="230">
        <v>0</v>
      </c>
      <c r="AV12" s="230">
        <v>0</v>
      </c>
      <c r="AW12" s="230">
        <v>1.8</v>
      </c>
    </row>
    <row r="13" spans="1:49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3883.2</v>
      </c>
      <c r="G13" s="230">
        <v>0</v>
      </c>
      <c r="H13" s="230">
        <v>0</v>
      </c>
      <c r="I13" s="230">
        <v>364.8</v>
      </c>
      <c r="J13" s="230">
        <v>0</v>
      </c>
      <c r="K13" s="230">
        <v>356</v>
      </c>
      <c r="L13" s="230">
        <v>0</v>
      </c>
      <c r="M13" s="230">
        <v>0</v>
      </c>
      <c r="N13" s="230">
        <v>0</v>
      </c>
      <c r="O13" s="230">
        <v>0</v>
      </c>
      <c r="P13" s="230">
        <v>0</v>
      </c>
      <c r="Q13" s="230">
        <v>208</v>
      </c>
      <c r="R13" s="230">
        <v>168</v>
      </c>
      <c r="S13" s="230">
        <v>0</v>
      </c>
      <c r="T13" s="230">
        <v>0</v>
      </c>
      <c r="U13" s="230">
        <v>0</v>
      </c>
      <c r="V13" s="230">
        <v>656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1684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152</v>
      </c>
      <c r="AS13" s="230">
        <v>0</v>
      </c>
      <c r="AT13" s="230">
        <v>0</v>
      </c>
      <c r="AU13" s="230">
        <v>0</v>
      </c>
      <c r="AV13" s="230">
        <v>0</v>
      </c>
      <c r="AW13" s="230">
        <v>294.39999999999998</v>
      </c>
    </row>
    <row r="14" spans="1:49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37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37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5</v>
      </c>
      <c r="F15" s="230">
        <v>35</v>
      </c>
      <c r="G15" s="230">
        <v>35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28</v>
      </c>
      <c r="D16" s="230">
        <v>2</v>
      </c>
      <c r="E16" s="230">
        <v>6</v>
      </c>
      <c r="F16" s="230">
        <v>958169</v>
      </c>
      <c r="G16" s="230">
        <v>14000</v>
      </c>
      <c r="H16" s="230">
        <v>0</v>
      </c>
      <c r="I16" s="230">
        <v>67366</v>
      </c>
      <c r="J16" s="230">
        <v>0</v>
      </c>
      <c r="K16" s="230">
        <v>208984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52656</v>
      </c>
      <c r="R16" s="230">
        <v>38820</v>
      </c>
      <c r="S16" s="230">
        <v>0</v>
      </c>
      <c r="T16" s="230">
        <v>0</v>
      </c>
      <c r="U16" s="230">
        <v>0</v>
      </c>
      <c r="V16" s="230">
        <v>128366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391481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16093</v>
      </c>
      <c r="AS16" s="230">
        <v>0</v>
      </c>
      <c r="AT16" s="230">
        <v>0</v>
      </c>
      <c r="AU16" s="230">
        <v>0</v>
      </c>
      <c r="AV16" s="230">
        <v>0</v>
      </c>
      <c r="AW16" s="230">
        <v>40403</v>
      </c>
    </row>
    <row r="17" spans="3:49" x14ac:dyDescent="0.3">
      <c r="C17" s="230">
        <v>28</v>
      </c>
      <c r="D17" s="230">
        <v>2</v>
      </c>
      <c r="E17" s="230">
        <v>11</v>
      </c>
      <c r="F17" s="230">
        <v>6443.3842239185751</v>
      </c>
      <c r="G17" s="230">
        <v>0</v>
      </c>
      <c r="H17" s="230">
        <v>0</v>
      </c>
      <c r="I17" s="230">
        <v>0</v>
      </c>
      <c r="J17" s="230">
        <v>1526.7175572519084</v>
      </c>
      <c r="K17" s="230">
        <v>0</v>
      </c>
      <c r="L17" s="230">
        <v>0</v>
      </c>
      <c r="M17" s="230">
        <v>0</v>
      </c>
      <c r="N17" s="230">
        <v>0</v>
      </c>
      <c r="O17" s="230">
        <v>4916.666666666667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28</v>
      </c>
      <c r="D18" s="230">
        <v>3</v>
      </c>
      <c r="E18" s="230">
        <v>1</v>
      </c>
      <c r="F18" s="230">
        <v>26.4</v>
      </c>
      <c r="G18" s="230">
        <v>0</v>
      </c>
      <c r="H18" s="230">
        <v>0</v>
      </c>
      <c r="I18" s="230">
        <v>2.4</v>
      </c>
      <c r="J18" s="230">
        <v>0</v>
      </c>
      <c r="K18" s="230">
        <v>2.8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1.8</v>
      </c>
      <c r="R18" s="230">
        <v>1</v>
      </c>
      <c r="S18" s="230">
        <v>0</v>
      </c>
      <c r="T18" s="230">
        <v>0</v>
      </c>
      <c r="U18" s="230">
        <v>0</v>
      </c>
      <c r="V18" s="230">
        <v>4.8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10.8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1</v>
      </c>
      <c r="AS18" s="230">
        <v>0</v>
      </c>
      <c r="AT18" s="230">
        <v>0</v>
      </c>
      <c r="AU18" s="230">
        <v>0</v>
      </c>
      <c r="AV18" s="230">
        <v>0</v>
      </c>
      <c r="AW18" s="230">
        <v>1.8</v>
      </c>
    </row>
    <row r="19" spans="3:49" x14ac:dyDescent="0.3">
      <c r="C19" s="230">
        <v>28</v>
      </c>
      <c r="D19" s="230">
        <v>3</v>
      </c>
      <c r="E19" s="230">
        <v>2</v>
      </c>
      <c r="F19" s="230">
        <v>4516.3999999999996</v>
      </c>
      <c r="G19" s="230">
        <v>0</v>
      </c>
      <c r="H19" s="230">
        <v>0</v>
      </c>
      <c r="I19" s="230">
        <v>441.6</v>
      </c>
      <c r="J19" s="230">
        <v>0</v>
      </c>
      <c r="K19" s="230">
        <v>510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281.60000000000002</v>
      </c>
      <c r="R19" s="230">
        <v>128</v>
      </c>
      <c r="S19" s="230">
        <v>0</v>
      </c>
      <c r="T19" s="230">
        <v>0</v>
      </c>
      <c r="U19" s="230">
        <v>0</v>
      </c>
      <c r="V19" s="230">
        <v>844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1836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184</v>
      </c>
      <c r="AS19" s="230">
        <v>0</v>
      </c>
      <c r="AT19" s="230">
        <v>0</v>
      </c>
      <c r="AU19" s="230">
        <v>0</v>
      </c>
      <c r="AV19" s="230">
        <v>0</v>
      </c>
      <c r="AW19" s="230">
        <v>291.2</v>
      </c>
    </row>
    <row r="20" spans="3:49" x14ac:dyDescent="0.3">
      <c r="C20" s="230">
        <v>28</v>
      </c>
      <c r="D20" s="230">
        <v>3</v>
      </c>
      <c r="E20" s="230">
        <v>3</v>
      </c>
      <c r="F20" s="230">
        <v>28</v>
      </c>
      <c r="G20" s="230">
        <v>0</v>
      </c>
      <c r="H20" s="230">
        <v>0</v>
      </c>
      <c r="I20" s="230">
        <v>10</v>
      </c>
      <c r="J20" s="230">
        <v>0</v>
      </c>
      <c r="K20" s="230">
        <v>10</v>
      </c>
      <c r="L20" s="230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8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28</v>
      </c>
      <c r="D21" s="230">
        <v>3</v>
      </c>
      <c r="E21" s="230">
        <v>5</v>
      </c>
      <c r="F21" s="230">
        <v>41</v>
      </c>
      <c r="G21" s="230">
        <v>41</v>
      </c>
      <c r="H21" s="230">
        <v>0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</v>
      </c>
    </row>
    <row r="22" spans="3:49" x14ac:dyDescent="0.3">
      <c r="C22" s="230">
        <v>28</v>
      </c>
      <c r="D22" s="230">
        <v>3</v>
      </c>
      <c r="E22" s="230">
        <v>6</v>
      </c>
      <c r="F22" s="230">
        <v>981108</v>
      </c>
      <c r="G22" s="230">
        <v>16400</v>
      </c>
      <c r="H22" s="230">
        <v>0</v>
      </c>
      <c r="I22" s="230">
        <v>68872</v>
      </c>
      <c r="J22" s="230">
        <v>0</v>
      </c>
      <c r="K22" s="230">
        <v>186072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57544</v>
      </c>
      <c r="R22" s="230">
        <v>42589</v>
      </c>
      <c r="S22" s="230">
        <v>0</v>
      </c>
      <c r="T22" s="230">
        <v>0</v>
      </c>
      <c r="U22" s="230">
        <v>0</v>
      </c>
      <c r="V22" s="230">
        <v>153446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398961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16040</v>
      </c>
      <c r="AS22" s="230">
        <v>0</v>
      </c>
      <c r="AT22" s="230">
        <v>0</v>
      </c>
      <c r="AU22" s="230">
        <v>0</v>
      </c>
      <c r="AV22" s="230">
        <v>0</v>
      </c>
      <c r="AW22" s="230">
        <v>41184</v>
      </c>
    </row>
    <row r="23" spans="3:49" x14ac:dyDescent="0.3">
      <c r="C23" s="230">
        <v>28</v>
      </c>
      <c r="D23" s="230">
        <v>3</v>
      </c>
      <c r="E23" s="230">
        <v>10</v>
      </c>
      <c r="F23" s="230">
        <v>2400</v>
      </c>
      <c r="G23" s="230">
        <v>0</v>
      </c>
      <c r="H23" s="230">
        <v>0</v>
      </c>
      <c r="I23" s="230">
        <v>0</v>
      </c>
      <c r="J23" s="230">
        <v>2200</v>
      </c>
      <c r="K23" s="230">
        <v>0</v>
      </c>
      <c r="L23" s="230">
        <v>0</v>
      </c>
      <c r="M23" s="230">
        <v>0</v>
      </c>
      <c r="N23" s="230">
        <v>0</v>
      </c>
      <c r="O23" s="230">
        <v>200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28</v>
      </c>
      <c r="D24" s="230">
        <v>3</v>
      </c>
      <c r="E24" s="230">
        <v>11</v>
      </c>
      <c r="F24" s="230">
        <v>6443.3842239185751</v>
      </c>
      <c r="G24" s="230">
        <v>0</v>
      </c>
      <c r="H24" s="230">
        <v>0</v>
      </c>
      <c r="I24" s="230">
        <v>0</v>
      </c>
      <c r="J24" s="230">
        <v>1526.7175572519084</v>
      </c>
      <c r="K24" s="230">
        <v>0</v>
      </c>
      <c r="L24" s="230">
        <v>0</v>
      </c>
      <c r="M24" s="230">
        <v>0</v>
      </c>
      <c r="N24" s="230">
        <v>0</v>
      </c>
      <c r="O24" s="230">
        <v>4916.666666666667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0</v>
      </c>
    </row>
    <row r="25" spans="3:49" x14ac:dyDescent="0.3">
      <c r="C25" s="230">
        <v>28</v>
      </c>
      <c r="D25" s="230">
        <v>4</v>
      </c>
      <c r="E25" s="230">
        <v>1</v>
      </c>
      <c r="F25" s="230">
        <v>26.4</v>
      </c>
      <c r="G25" s="230">
        <v>0</v>
      </c>
      <c r="H25" s="230">
        <v>0</v>
      </c>
      <c r="I25" s="230">
        <v>2.4</v>
      </c>
      <c r="J25" s="230">
        <v>0</v>
      </c>
      <c r="K25" s="230">
        <v>2.8</v>
      </c>
      <c r="L25" s="230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1.8</v>
      </c>
      <c r="R25" s="230">
        <v>1</v>
      </c>
      <c r="S25" s="230">
        <v>0</v>
      </c>
      <c r="T25" s="230">
        <v>0</v>
      </c>
      <c r="U25" s="230">
        <v>0</v>
      </c>
      <c r="V25" s="230">
        <v>4.8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10.8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1</v>
      </c>
      <c r="AS25" s="230">
        <v>0</v>
      </c>
      <c r="AT25" s="230">
        <v>0</v>
      </c>
      <c r="AU25" s="230">
        <v>0</v>
      </c>
      <c r="AV25" s="230">
        <v>0</v>
      </c>
      <c r="AW25" s="230">
        <v>1.8</v>
      </c>
    </row>
    <row r="26" spans="3:49" x14ac:dyDescent="0.3">
      <c r="C26" s="230">
        <v>28</v>
      </c>
      <c r="D26" s="230">
        <v>4</v>
      </c>
      <c r="E26" s="230">
        <v>2</v>
      </c>
      <c r="F26" s="230">
        <v>4307.2</v>
      </c>
      <c r="G26" s="230">
        <v>0</v>
      </c>
      <c r="H26" s="230">
        <v>0</v>
      </c>
      <c r="I26" s="230">
        <v>403.2</v>
      </c>
      <c r="J26" s="230">
        <v>0</v>
      </c>
      <c r="K26" s="230">
        <v>460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280</v>
      </c>
      <c r="R26" s="230">
        <v>168</v>
      </c>
      <c r="S26" s="230">
        <v>0</v>
      </c>
      <c r="T26" s="230">
        <v>0</v>
      </c>
      <c r="U26" s="230">
        <v>0</v>
      </c>
      <c r="V26" s="230">
        <v>792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1740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168</v>
      </c>
      <c r="AS26" s="230">
        <v>0</v>
      </c>
      <c r="AT26" s="230">
        <v>0</v>
      </c>
      <c r="AU26" s="230">
        <v>0</v>
      </c>
      <c r="AV26" s="230">
        <v>0</v>
      </c>
      <c r="AW26" s="230">
        <v>296</v>
      </c>
    </row>
    <row r="27" spans="3:49" x14ac:dyDescent="0.3">
      <c r="C27" s="230">
        <v>28</v>
      </c>
      <c r="D27" s="230">
        <v>4</v>
      </c>
      <c r="E27" s="230">
        <v>3</v>
      </c>
      <c r="F27" s="230">
        <v>23</v>
      </c>
      <c r="G27" s="230">
        <v>0</v>
      </c>
      <c r="H27" s="230">
        <v>0</v>
      </c>
      <c r="I27" s="230">
        <v>11</v>
      </c>
      <c r="J27" s="230">
        <v>0</v>
      </c>
      <c r="K27" s="230">
        <v>12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28</v>
      </c>
      <c r="D28" s="230">
        <v>4</v>
      </c>
      <c r="E28" s="230">
        <v>5</v>
      </c>
      <c r="F28" s="230">
        <v>20</v>
      </c>
      <c r="G28" s="230">
        <v>20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28</v>
      </c>
      <c r="D29" s="230">
        <v>4</v>
      </c>
      <c r="E29" s="230">
        <v>6</v>
      </c>
      <c r="F29" s="230">
        <v>997882</v>
      </c>
      <c r="G29" s="230">
        <v>8000</v>
      </c>
      <c r="H29" s="230">
        <v>0</v>
      </c>
      <c r="I29" s="230">
        <v>78378</v>
      </c>
      <c r="J29" s="230">
        <v>0</v>
      </c>
      <c r="K29" s="230">
        <v>188398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57460</v>
      </c>
      <c r="R29" s="230">
        <v>43820</v>
      </c>
      <c r="S29" s="230">
        <v>0</v>
      </c>
      <c r="T29" s="230">
        <v>0</v>
      </c>
      <c r="U29" s="230">
        <v>0</v>
      </c>
      <c r="V29" s="230">
        <v>141252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420824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17040</v>
      </c>
      <c r="AS29" s="230">
        <v>0</v>
      </c>
      <c r="AT29" s="230">
        <v>0</v>
      </c>
      <c r="AU29" s="230">
        <v>0</v>
      </c>
      <c r="AV29" s="230">
        <v>0</v>
      </c>
      <c r="AW29" s="230">
        <v>42710</v>
      </c>
    </row>
    <row r="30" spans="3:49" x14ac:dyDescent="0.3">
      <c r="C30" s="230">
        <v>28</v>
      </c>
      <c r="D30" s="230">
        <v>4</v>
      </c>
      <c r="E30" s="230">
        <v>9</v>
      </c>
      <c r="F30" s="230">
        <v>15000</v>
      </c>
      <c r="G30" s="230">
        <v>0</v>
      </c>
      <c r="H30" s="230">
        <v>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15000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28</v>
      </c>
      <c r="D31" s="230">
        <v>4</v>
      </c>
      <c r="E31" s="230">
        <v>10</v>
      </c>
      <c r="F31" s="230">
        <v>602.5</v>
      </c>
      <c r="G31" s="230">
        <v>0</v>
      </c>
      <c r="H31" s="230">
        <v>0</v>
      </c>
      <c r="I31" s="230">
        <v>0</v>
      </c>
      <c r="J31" s="230">
        <v>300</v>
      </c>
      <c r="K31" s="230">
        <v>0</v>
      </c>
      <c r="L31" s="230">
        <v>0</v>
      </c>
      <c r="M31" s="230">
        <v>0</v>
      </c>
      <c r="N31" s="230">
        <v>0</v>
      </c>
      <c r="O31" s="230">
        <v>302.5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0</v>
      </c>
    </row>
    <row r="32" spans="3:49" x14ac:dyDescent="0.3">
      <c r="C32" s="230">
        <v>28</v>
      </c>
      <c r="D32" s="230">
        <v>4</v>
      </c>
      <c r="E32" s="230">
        <v>11</v>
      </c>
      <c r="F32" s="230">
        <v>6443.3842239185751</v>
      </c>
      <c r="G32" s="230">
        <v>0</v>
      </c>
      <c r="H32" s="230">
        <v>0</v>
      </c>
      <c r="I32" s="230">
        <v>0</v>
      </c>
      <c r="J32" s="230">
        <v>1526.7175572519084</v>
      </c>
      <c r="K32" s="230">
        <v>0</v>
      </c>
      <c r="L32" s="230">
        <v>0</v>
      </c>
      <c r="M32" s="230">
        <v>0</v>
      </c>
      <c r="N32" s="230">
        <v>0</v>
      </c>
      <c r="O32" s="230">
        <v>4916.666666666667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28</v>
      </c>
      <c r="D33" s="230">
        <v>5</v>
      </c>
      <c r="E33" s="230">
        <v>1</v>
      </c>
      <c r="F33" s="230">
        <v>26.4</v>
      </c>
      <c r="G33" s="230">
        <v>0</v>
      </c>
      <c r="H33" s="230">
        <v>0</v>
      </c>
      <c r="I33" s="230">
        <v>2.4</v>
      </c>
      <c r="J33" s="230">
        <v>0</v>
      </c>
      <c r="K33" s="230">
        <v>2.8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1.8</v>
      </c>
      <c r="R33" s="230">
        <v>1</v>
      </c>
      <c r="S33" s="230">
        <v>0</v>
      </c>
      <c r="T33" s="230">
        <v>0</v>
      </c>
      <c r="U33" s="230">
        <v>0</v>
      </c>
      <c r="V33" s="230">
        <v>4.8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10.8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1</v>
      </c>
      <c r="AS33" s="230">
        <v>0</v>
      </c>
      <c r="AT33" s="230">
        <v>0</v>
      </c>
      <c r="AU33" s="230">
        <v>0</v>
      </c>
      <c r="AV33" s="230">
        <v>0</v>
      </c>
      <c r="AW33" s="230">
        <v>1.8</v>
      </c>
    </row>
    <row r="34" spans="3:49" x14ac:dyDescent="0.3">
      <c r="C34" s="230">
        <v>28</v>
      </c>
      <c r="D34" s="230">
        <v>5</v>
      </c>
      <c r="E34" s="230">
        <v>2</v>
      </c>
      <c r="F34" s="230">
        <v>4244</v>
      </c>
      <c r="G34" s="230">
        <v>0</v>
      </c>
      <c r="H34" s="230">
        <v>0</v>
      </c>
      <c r="I34" s="230">
        <v>352</v>
      </c>
      <c r="J34" s="230">
        <v>0</v>
      </c>
      <c r="K34" s="230">
        <v>512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280</v>
      </c>
      <c r="R34" s="230">
        <v>152</v>
      </c>
      <c r="S34" s="230">
        <v>0</v>
      </c>
      <c r="T34" s="230">
        <v>0</v>
      </c>
      <c r="U34" s="230">
        <v>0</v>
      </c>
      <c r="V34" s="230">
        <v>780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1776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96</v>
      </c>
      <c r="AS34" s="230">
        <v>0</v>
      </c>
      <c r="AT34" s="230">
        <v>0</v>
      </c>
      <c r="AU34" s="230">
        <v>0</v>
      </c>
      <c r="AV34" s="230">
        <v>0</v>
      </c>
      <c r="AW34" s="230">
        <v>296</v>
      </c>
    </row>
    <row r="35" spans="3:49" x14ac:dyDescent="0.3">
      <c r="C35" s="230">
        <v>28</v>
      </c>
      <c r="D35" s="230">
        <v>5</v>
      </c>
      <c r="E35" s="230">
        <v>3</v>
      </c>
      <c r="F35" s="230">
        <v>23.7</v>
      </c>
      <c r="G35" s="230">
        <v>0</v>
      </c>
      <c r="H35" s="230">
        <v>0</v>
      </c>
      <c r="I35" s="230">
        <v>13.7</v>
      </c>
      <c r="J35" s="230">
        <v>0</v>
      </c>
      <c r="K35" s="230">
        <v>10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0</v>
      </c>
    </row>
    <row r="36" spans="3:49" x14ac:dyDescent="0.3">
      <c r="C36" s="230">
        <v>28</v>
      </c>
      <c r="D36" s="230">
        <v>5</v>
      </c>
      <c r="E36" s="230">
        <v>5</v>
      </c>
      <c r="F36" s="230">
        <v>42</v>
      </c>
      <c r="G36" s="230">
        <v>42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0</v>
      </c>
    </row>
    <row r="37" spans="3:49" x14ac:dyDescent="0.3">
      <c r="C37" s="230">
        <v>28</v>
      </c>
      <c r="D37" s="230">
        <v>5</v>
      </c>
      <c r="E37" s="230">
        <v>6</v>
      </c>
      <c r="F37" s="230">
        <v>992842</v>
      </c>
      <c r="G37" s="230">
        <v>16800</v>
      </c>
      <c r="H37" s="230">
        <v>0</v>
      </c>
      <c r="I37" s="230">
        <v>78031</v>
      </c>
      <c r="J37" s="230">
        <v>0</v>
      </c>
      <c r="K37" s="230">
        <v>187291</v>
      </c>
      <c r="L37" s="230">
        <v>0</v>
      </c>
      <c r="M37" s="230">
        <v>0</v>
      </c>
      <c r="N37" s="230">
        <v>0</v>
      </c>
      <c r="O37" s="230">
        <v>0</v>
      </c>
      <c r="P37" s="230">
        <v>0</v>
      </c>
      <c r="Q37" s="230">
        <v>57515</v>
      </c>
      <c r="R37" s="230">
        <v>46651</v>
      </c>
      <c r="S37" s="230">
        <v>0</v>
      </c>
      <c r="T37" s="230">
        <v>0</v>
      </c>
      <c r="U37" s="230">
        <v>0</v>
      </c>
      <c r="V37" s="230">
        <v>138944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407606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17220</v>
      </c>
      <c r="AS37" s="230">
        <v>0</v>
      </c>
      <c r="AT37" s="230">
        <v>0</v>
      </c>
      <c r="AU37" s="230">
        <v>0</v>
      </c>
      <c r="AV37" s="230">
        <v>0</v>
      </c>
      <c r="AW37" s="230">
        <v>42784</v>
      </c>
    </row>
    <row r="38" spans="3:49" x14ac:dyDescent="0.3">
      <c r="C38" s="230">
        <v>28</v>
      </c>
      <c r="D38" s="230">
        <v>5</v>
      </c>
      <c r="E38" s="230">
        <v>11</v>
      </c>
      <c r="F38" s="230">
        <v>6443.3842239185751</v>
      </c>
      <c r="G38" s="230">
        <v>0</v>
      </c>
      <c r="H38" s="230">
        <v>0</v>
      </c>
      <c r="I38" s="230">
        <v>0</v>
      </c>
      <c r="J38" s="230">
        <v>1526.7175572519084</v>
      </c>
      <c r="K38" s="230">
        <v>0</v>
      </c>
      <c r="L38" s="230">
        <v>0</v>
      </c>
      <c r="M38" s="230">
        <v>0</v>
      </c>
      <c r="N38" s="230">
        <v>0</v>
      </c>
      <c r="O38" s="230">
        <v>4916.666666666667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28</v>
      </c>
      <c r="D39" s="230">
        <v>6</v>
      </c>
      <c r="E39" s="230">
        <v>1</v>
      </c>
      <c r="F39" s="230">
        <v>26.4</v>
      </c>
      <c r="G39" s="230">
        <v>0</v>
      </c>
      <c r="H39" s="230">
        <v>0</v>
      </c>
      <c r="I39" s="230">
        <v>2.4</v>
      </c>
      <c r="J39" s="230">
        <v>0</v>
      </c>
      <c r="K39" s="230">
        <v>2.8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1.8</v>
      </c>
      <c r="R39" s="230">
        <v>1</v>
      </c>
      <c r="S39" s="230">
        <v>0</v>
      </c>
      <c r="T39" s="230">
        <v>0</v>
      </c>
      <c r="U39" s="230">
        <v>0</v>
      </c>
      <c r="V39" s="230">
        <v>4.8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10.8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1</v>
      </c>
      <c r="AS39" s="230">
        <v>0</v>
      </c>
      <c r="AT39" s="230">
        <v>0</v>
      </c>
      <c r="AU39" s="230">
        <v>0</v>
      </c>
      <c r="AV39" s="230">
        <v>0</v>
      </c>
      <c r="AW39" s="230">
        <v>1.8</v>
      </c>
    </row>
    <row r="40" spans="3:49" x14ac:dyDescent="0.3">
      <c r="C40" s="230">
        <v>28</v>
      </c>
      <c r="D40" s="230">
        <v>6</v>
      </c>
      <c r="E40" s="230">
        <v>2</v>
      </c>
      <c r="F40" s="230">
        <v>4216.3999999999996</v>
      </c>
      <c r="G40" s="230">
        <v>0</v>
      </c>
      <c r="H40" s="230">
        <v>0</v>
      </c>
      <c r="I40" s="230">
        <v>352</v>
      </c>
      <c r="J40" s="230">
        <v>0</v>
      </c>
      <c r="K40" s="230">
        <v>470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272</v>
      </c>
      <c r="R40" s="230">
        <v>136</v>
      </c>
      <c r="S40" s="230">
        <v>0</v>
      </c>
      <c r="T40" s="230">
        <v>0</v>
      </c>
      <c r="U40" s="230">
        <v>0</v>
      </c>
      <c r="V40" s="230">
        <v>800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1700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176</v>
      </c>
      <c r="AS40" s="230">
        <v>0</v>
      </c>
      <c r="AT40" s="230">
        <v>0</v>
      </c>
      <c r="AU40" s="230">
        <v>0</v>
      </c>
      <c r="AV40" s="230">
        <v>0</v>
      </c>
      <c r="AW40" s="230">
        <v>310.39999999999998</v>
      </c>
    </row>
    <row r="41" spans="3:49" x14ac:dyDescent="0.3">
      <c r="C41" s="230">
        <v>28</v>
      </c>
      <c r="D41" s="230">
        <v>6</v>
      </c>
      <c r="E41" s="230">
        <v>3</v>
      </c>
      <c r="F41" s="230">
        <v>26.4</v>
      </c>
      <c r="G41" s="230">
        <v>0</v>
      </c>
      <c r="H41" s="230">
        <v>0</v>
      </c>
      <c r="I41" s="230">
        <v>0</v>
      </c>
      <c r="J41" s="230">
        <v>0</v>
      </c>
      <c r="K41" s="230">
        <v>19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7.4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28</v>
      </c>
      <c r="D42" s="230">
        <v>6</v>
      </c>
      <c r="E42" s="230">
        <v>5</v>
      </c>
      <c r="F42" s="230">
        <v>28</v>
      </c>
      <c r="G42" s="230">
        <v>28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28</v>
      </c>
      <c r="D43" s="230">
        <v>6</v>
      </c>
      <c r="E43" s="230">
        <v>6</v>
      </c>
      <c r="F43" s="230">
        <v>995979</v>
      </c>
      <c r="G43" s="230">
        <v>11200</v>
      </c>
      <c r="H43" s="230">
        <v>0</v>
      </c>
      <c r="I43" s="230">
        <v>75553</v>
      </c>
      <c r="J43" s="230">
        <v>0</v>
      </c>
      <c r="K43" s="230">
        <v>193996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59291</v>
      </c>
      <c r="R43" s="230">
        <v>46538</v>
      </c>
      <c r="S43" s="230">
        <v>0</v>
      </c>
      <c r="T43" s="230">
        <v>0</v>
      </c>
      <c r="U43" s="230">
        <v>0</v>
      </c>
      <c r="V43" s="230">
        <v>141312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408293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17040</v>
      </c>
      <c r="AS43" s="230">
        <v>0</v>
      </c>
      <c r="AT43" s="230">
        <v>0</v>
      </c>
      <c r="AU43" s="230">
        <v>0</v>
      </c>
      <c r="AV43" s="230">
        <v>0</v>
      </c>
      <c r="AW43" s="230">
        <v>42756</v>
      </c>
    </row>
    <row r="44" spans="3:49" x14ac:dyDescent="0.3">
      <c r="C44" s="230">
        <v>28</v>
      </c>
      <c r="D44" s="230">
        <v>6</v>
      </c>
      <c r="E44" s="230">
        <v>11</v>
      </c>
      <c r="F44" s="230">
        <v>6443.3842239185751</v>
      </c>
      <c r="G44" s="230">
        <v>0</v>
      </c>
      <c r="H44" s="230">
        <v>0</v>
      </c>
      <c r="I44" s="230">
        <v>0</v>
      </c>
      <c r="J44" s="230">
        <v>1526.7175572519084</v>
      </c>
      <c r="K44" s="230">
        <v>0</v>
      </c>
      <c r="L44" s="230">
        <v>0</v>
      </c>
      <c r="M44" s="230">
        <v>0</v>
      </c>
      <c r="N44" s="230">
        <v>0</v>
      </c>
      <c r="O44" s="230">
        <v>4916.666666666667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  <c r="AP44" s="230">
        <v>0</v>
      </c>
      <c r="AQ44" s="230">
        <v>0</v>
      </c>
      <c r="AR44" s="230">
        <v>0</v>
      </c>
      <c r="AS44" s="230">
        <v>0</v>
      </c>
      <c r="AT44" s="230">
        <v>0</v>
      </c>
      <c r="AU44" s="230">
        <v>0</v>
      </c>
      <c r="AV44" s="230">
        <v>0</v>
      </c>
      <c r="AW44" s="230">
        <v>0</v>
      </c>
    </row>
    <row r="45" spans="3:49" x14ac:dyDescent="0.3">
      <c r="C45" s="230">
        <v>28</v>
      </c>
      <c r="D45" s="230">
        <v>7</v>
      </c>
      <c r="E45" s="230">
        <v>1</v>
      </c>
      <c r="F45" s="230">
        <v>26.4</v>
      </c>
      <c r="G45" s="230">
        <v>0</v>
      </c>
      <c r="H45" s="230">
        <v>0</v>
      </c>
      <c r="I45" s="230">
        <v>2.4</v>
      </c>
      <c r="J45" s="230">
        <v>0</v>
      </c>
      <c r="K45" s="230">
        <v>2.8</v>
      </c>
      <c r="L45" s="230">
        <v>0</v>
      </c>
      <c r="M45" s="230">
        <v>0</v>
      </c>
      <c r="N45" s="230">
        <v>0</v>
      </c>
      <c r="O45" s="230">
        <v>0</v>
      </c>
      <c r="P45" s="230">
        <v>0</v>
      </c>
      <c r="Q45" s="230">
        <v>1.8</v>
      </c>
      <c r="R45" s="230">
        <v>1</v>
      </c>
      <c r="S45" s="230">
        <v>0</v>
      </c>
      <c r="T45" s="230">
        <v>0</v>
      </c>
      <c r="U45" s="230">
        <v>0</v>
      </c>
      <c r="V45" s="230">
        <v>4.8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10.8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1</v>
      </c>
      <c r="AS45" s="230">
        <v>0</v>
      </c>
      <c r="AT45" s="230">
        <v>0</v>
      </c>
      <c r="AU45" s="230">
        <v>0</v>
      </c>
      <c r="AV45" s="230">
        <v>0</v>
      </c>
      <c r="AW45" s="230">
        <v>1.8</v>
      </c>
    </row>
    <row r="46" spans="3:49" x14ac:dyDescent="0.3">
      <c r="C46" s="230">
        <v>28</v>
      </c>
      <c r="D46" s="230">
        <v>7</v>
      </c>
      <c r="E46" s="230">
        <v>2</v>
      </c>
      <c r="F46" s="230">
        <v>3156.4</v>
      </c>
      <c r="G46" s="230">
        <v>0</v>
      </c>
      <c r="H46" s="230">
        <v>0</v>
      </c>
      <c r="I46" s="230">
        <v>352</v>
      </c>
      <c r="J46" s="230">
        <v>0</v>
      </c>
      <c r="K46" s="230">
        <v>250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228</v>
      </c>
      <c r="R46" s="230">
        <v>160</v>
      </c>
      <c r="S46" s="230">
        <v>0</v>
      </c>
      <c r="T46" s="230">
        <v>0</v>
      </c>
      <c r="U46" s="230">
        <v>0</v>
      </c>
      <c r="V46" s="230">
        <v>544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1304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104</v>
      </c>
      <c r="AS46" s="230">
        <v>0</v>
      </c>
      <c r="AT46" s="230">
        <v>0</v>
      </c>
      <c r="AU46" s="230">
        <v>0</v>
      </c>
      <c r="AV46" s="230">
        <v>0</v>
      </c>
      <c r="AW46" s="230">
        <v>214.4</v>
      </c>
    </row>
    <row r="47" spans="3:49" x14ac:dyDescent="0.3">
      <c r="C47" s="230">
        <v>28</v>
      </c>
      <c r="D47" s="230">
        <v>7</v>
      </c>
      <c r="E47" s="230">
        <v>5</v>
      </c>
      <c r="F47" s="230">
        <v>35</v>
      </c>
      <c r="G47" s="230">
        <v>35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  <c r="AP47" s="230">
        <v>0</v>
      </c>
      <c r="AQ47" s="230">
        <v>0</v>
      </c>
      <c r="AR47" s="230">
        <v>0</v>
      </c>
      <c r="AS47" s="230">
        <v>0</v>
      </c>
      <c r="AT47" s="230">
        <v>0</v>
      </c>
      <c r="AU47" s="230">
        <v>0</v>
      </c>
      <c r="AV47" s="230">
        <v>0</v>
      </c>
      <c r="AW47" s="230">
        <v>0</v>
      </c>
    </row>
    <row r="48" spans="3:49" x14ac:dyDescent="0.3">
      <c r="C48" s="230">
        <v>28</v>
      </c>
      <c r="D48" s="230">
        <v>7</v>
      </c>
      <c r="E48" s="230">
        <v>6</v>
      </c>
      <c r="F48" s="230">
        <v>1411636</v>
      </c>
      <c r="G48" s="230">
        <v>14000</v>
      </c>
      <c r="H48" s="230">
        <v>0</v>
      </c>
      <c r="I48" s="230">
        <v>99526</v>
      </c>
      <c r="J48" s="230">
        <v>0</v>
      </c>
      <c r="K48" s="230">
        <v>310104</v>
      </c>
      <c r="L48" s="230">
        <v>0</v>
      </c>
      <c r="M48" s="230">
        <v>0</v>
      </c>
      <c r="N48" s="230">
        <v>0</v>
      </c>
      <c r="O48" s="230">
        <v>0</v>
      </c>
      <c r="P48" s="230">
        <v>0</v>
      </c>
      <c r="Q48" s="230">
        <v>74875</v>
      </c>
      <c r="R48" s="230">
        <v>73741</v>
      </c>
      <c r="S48" s="230">
        <v>0</v>
      </c>
      <c r="T48" s="230">
        <v>0</v>
      </c>
      <c r="U48" s="230">
        <v>0</v>
      </c>
      <c r="V48" s="230">
        <v>182179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582916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21674</v>
      </c>
      <c r="AS48" s="230">
        <v>0</v>
      </c>
      <c r="AT48" s="230">
        <v>0</v>
      </c>
      <c r="AU48" s="230">
        <v>0</v>
      </c>
      <c r="AV48" s="230">
        <v>0</v>
      </c>
      <c r="AW48" s="230">
        <v>52621</v>
      </c>
    </row>
    <row r="49" spans="3:49" x14ac:dyDescent="0.3">
      <c r="C49" s="230">
        <v>28</v>
      </c>
      <c r="D49" s="230">
        <v>7</v>
      </c>
      <c r="E49" s="230">
        <v>9</v>
      </c>
      <c r="F49" s="230">
        <v>427000</v>
      </c>
      <c r="G49" s="230">
        <v>0</v>
      </c>
      <c r="H49" s="230">
        <v>0</v>
      </c>
      <c r="I49" s="230">
        <v>23337</v>
      </c>
      <c r="J49" s="230">
        <v>0</v>
      </c>
      <c r="K49" s="230">
        <v>123306</v>
      </c>
      <c r="L49" s="230">
        <v>0</v>
      </c>
      <c r="M49" s="230">
        <v>0</v>
      </c>
      <c r="N49" s="230">
        <v>0</v>
      </c>
      <c r="O49" s="230">
        <v>0</v>
      </c>
      <c r="P49" s="230">
        <v>0</v>
      </c>
      <c r="Q49" s="230">
        <v>17697</v>
      </c>
      <c r="R49" s="230">
        <v>27037</v>
      </c>
      <c r="S49" s="230">
        <v>0</v>
      </c>
      <c r="T49" s="230">
        <v>0</v>
      </c>
      <c r="U49" s="230">
        <v>0</v>
      </c>
      <c r="V49" s="230">
        <v>42307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178223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4816</v>
      </c>
      <c r="AS49" s="230">
        <v>0</v>
      </c>
      <c r="AT49" s="230">
        <v>0</v>
      </c>
      <c r="AU49" s="230">
        <v>0</v>
      </c>
      <c r="AV49" s="230">
        <v>0</v>
      </c>
      <c r="AW49" s="230">
        <v>10277</v>
      </c>
    </row>
    <row r="50" spans="3:49" x14ac:dyDescent="0.3">
      <c r="C50" s="230">
        <v>28</v>
      </c>
      <c r="D50" s="230">
        <v>7</v>
      </c>
      <c r="E50" s="230">
        <v>11</v>
      </c>
      <c r="F50" s="230">
        <v>6443.3842239185751</v>
      </c>
      <c r="G50" s="230">
        <v>0</v>
      </c>
      <c r="H50" s="230">
        <v>0</v>
      </c>
      <c r="I50" s="230">
        <v>0</v>
      </c>
      <c r="J50" s="230">
        <v>1526.7175572519084</v>
      </c>
      <c r="K50" s="230">
        <v>0</v>
      </c>
      <c r="L50" s="230">
        <v>0</v>
      </c>
      <c r="M50" s="230">
        <v>0</v>
      </c>
      <c r="N50" s="230">
        <v>0</v>
      </c>
      <c r="O50" s="230">
        <v>4916.666666666667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1035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38434775</v>
      </c>
      <c r="C3" s="222">
        <f t="shared" ref="C3:R3" si="0">SUBTOTAL(9,C6:C1048576)</f>
        <v>6</v>
      </c>
      <c r="D3" s="222">
        <f>SUBTOTAL(9,D6:D1048576)/2</f>
        <v>33187983.510000002</v>
      </c>
      <c r="E3" s="222">
        <f t="shared" si="0"/>
        <v>2.8256266667329824</v>
      </c>
      <c r="F3" s="222">
        <f>SUBTOTAL(9,F6:F1048576)/2</f>
        <v>64192445.380000003</v>
      </c>
      <c r="G3" s="223">
        <f>IF(B3&lt;&gt;0,F3/B3,"")</f>
        <v>1.6701657647273855</v>
      </c>
      <c r="H3" s="224">
        <f t="shared" si="0"/>
        <v>32566.499999999996</v>
      </c>
      <c r="I3" s="222">
        <f t="shared" si="0"/>
        <v>2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227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1030</v>
      </c>
      <c r="B6" s="619"/>
      <c r="C6" s="541"/>
      <c r="D6" s="619"/>
      <c r="E6" s="541"/>
      <c r="F6" s="619">
        <v>185</v>
      </c>
      <c r="G6" s="546"/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1031</v>
      </c>
      <c r="B7" s="620">
        <v>4991249</v>
      </c>
      <c r="C7" s="548">
        <v>1</v>
      </c>
      <c r="D7" s="620">
        <v>2474551.5100000012</v>
      </c>
      <c r="E7" s="548">
        <v>0.49577801267778893</v>
      </c>
      <c r="F7" s="620">
        <v>3904349.3800000045</v>
      </c>
      <c r="G7" s="553">
        <v>0.78223895061136095</v>
      </c>
      <c r="H7" s="620">
        <v>23163.499999999996</v>
      </c>
      <c r="I7" s="548">
        <v>1</v>
      </c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1032</v>
      </c>
      <c r="B8" s="620">
        <v>5460</v>
      </c>
      <c r="C8" s="548">
        <v>1</v>
      </c>
      <c r="D8" s="620"/>
      <c r="E8" s="548"/>
      <c r="F8" s="620"/>
      <c r="G8" s="553"/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1033</v>
      </c>
      <c r="B9" s="620">
        <v>3081944</v>
      </c>
      <c r="C9" s="548">
        <v>1</v>
      </c>
      <c r="D9" s="620"/>
      <c r="E9" s="548"/>
      <c r="F9" s="620"/>
      <c r="G9" s="553"/>
      <c r="H9" s="620">
        <v>9403</v>
      </c>
      <c r="I9" s="548">
        <v>1</v>
      </c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thickBot="1" x14ac:dyDescent="0.35">
      <c r="A10" s="622" t="s">
        <v>1034</v>
      </c>
      <c r="B10" s="621">
        <v>30356122</v>
      </c>
      <c r="C10" s="556">
        <v>1</v>
      </c>
      <c r="D10" s="621">
        <v>30713432</v>
      </c>
      <c r="E10" s="556">
        <v>1.0117706075894675</v>
      </c>
      <c r="F10" s="621">
        <v>60287911</v>
      </c>
      <c r="G10" s="561">
        <v>1.9860215016924758</v>
      </c>
      <c r="H10" s="621"/>
      <c r="I10" s="556"/>
      <c r="J10" s="621"/>
      <c r="K10" s="556"/>
      <c r="L10" s="621"/>
      <c r="M10" s="561"/>
      <c r="N10" s="621"/>
      <c r="O10" s="556"/>
      <c r="P10" s="621"/>
      <c r="Q10" s="556"/>
      <c r="R10" s="621"/>
      <c r="S10" s="562"/>
    </row>
    <row r="11" spans="1:19" ht="14.4" customHeight="1" thickBot="1" x14ac:dyDescent="0.35"/>
    <row r="12" spans="1:19" ht="14.4" customHeight="1" x14ac:dyDescent="0.3">
      <c r="A12" s="572" t="s">
        <v>438</v>
      </c>
      <c r="B12" s="619">
        <v>8078653</v>
      </c>
      <c r="C12" s="541">
        <v>1</v>
      </c>
      <c r="D12" s="619">
        <v>2474551.5100000007</v>
      </c>
      <c r="E12" s="541">
        <v>0.30630743887625828</v>
      </c>
      <c r="F12" s="619">
        <v>3904608.3800000045</v>
      </c>
      <c r="G12" s="546">
        <v>0.48332418535614841</v>
      </c>
      <c r="H12" s="619"/>
      <c r="I12" s="541"/>
      <c r="J12" s="619"/>
      <c r="K12" s="541"/>
      <c r="L12" s="619"/>
      <c r="M12" s="546"/>
      <c r="N12" s="619"/>
      <c r="O12" s="541"/>
      <c r="P12" s="619"/>
      <c r="Q12" s="541"/>
      <c r="R12" s="619"/>
      <c r="S12" s="122"/>
    </row>
    <row r="13" spans="1:19" ht="14.4" customHeight="1" thickBot="1" x14ac:dyDescent="0.35">
      <c r="A13" s="622" t="s">
        <v>443</v>
      </c>
      <c r="B13" s="621">
        <v>30356122</v>
      </c>
      <c r="C13" s="556">
        <v>1</v>
      </c>
      <c r="D13" s="621">
        <v>30713432</v>
      </c>
      <c r="E13" s="556">
        <v>1.0117706075894675</v>
      </c>
      <c r="F13" s="621">
        <v>60287837</v>
      </c>
      <c r="G13" s="561">
        <v>1.9860190639634403</v>
      </c>
      <c r="H13" s="621"/>
      <c r="I13" s="556"/>
      <c r="J13" s="621"/>
      <c r="K13" s="556"/>
      <c r="L13" s="621"/>
      <c r="M13" s="561"/>
      <c r="N13" s="621"/>
      <c r="O13" s="556"/>
      <c r="P13" s="621"/>
      <c r="Q13" s="556"/>
      <c r="R13" s="621"/>
      <c r="S13" s="562"/>
    </row>
    <row r="14" spans="1:19" ht="14.4" customHeight="1" x14ac:dyDescent="0.3">
      <c r="A14" s="521" t="s">
        <v>506</v>
      </c>
    </row>
    <row r="15" spans="1:19" ht="14.4" customHeight="1" x14ac:dyDescent="0.3">
      <c r="A15" s="522" t="s">
        <v>507</v>
      </c>
    </row>
    <row r="16" spans="1:19" ht="14.4" customHeight="1" x14ac:dyDescent="0.3">
      <c r="A16" s="521" t="s">
        <v>1036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1041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32715</v>
      </c>
      <c r="C3" s="315">
        <f t="shared" si="0"/>
        <v>18363</v>
      </c>
      <c r="D3" s="315">
        <f t="shared" si="0"/>
        <v>35013</v>
      </c>
      <c r="E3" s="224">
        <f t="shared" si="0"/>
        <v>38434775</v>
      </c>
      <c r="F3" s="222">
        <f t="shared" si="0"/>
        <v>33187983.509999946</v>
      </c>
      <c r="G3" s="316">
        <f t="shared" si="0"/>
        <v>64192445.379999891</v>
      </c>
    </row>
    <row r="4" spans="1:7" ht="14.4" customHeight="1" x14ac:dyDescent="0.3">
      <c r="A4" s="398" t="s">
        <v>136</v>
      </c>
      <c r="B4" s="399" t="s">
        <v>224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1037</v>
      </c>
      <c r="B6" s="116">
        <v>32320</v>
      </c>
      <c r="C6" s="116">
        <v>18263</v>
      </c>
      <c r="D6" s="116">
        <v>35005</v>
      </c>
      <c r="E6" s="619">
        <v>38306941</v>
      </c>
      <c r="F6" s="619">
        <v>33154166.509999946</v>
      </c>
      <c r="G6" s="623">
        <v>64192038.379999891</v>
      </c>
    </row>
    <row r="7" spans="1:7" ht="14.4" customHeight="1" x14ac:dyDescent="0.3">
      <c r="A7" s="573" t="s">
        <v>1038</v>
      </c>
      <c r="B7" s="565">
        <v>389</v>
      </c>
      <c r="C7" s="565">
        <v>1</v>
      </c>
      <c r="D7" s="565"/>
      <c r="E7" s="620">
        <v>126253</v>
      </c>
      <c r="F7" s="620">
        <v>327</v>
      </c>
      <c r="G7" s="624"/>
    </row>
    <row r="8" spans="1:7" ht="14.4" customHeight="1" x14ac:dyDescent="0.3">
      <c r="A8" s="573" t="s">
        <v>1039</v>
      </c>
      <c r="B8" s="565">
        <v>6</v>
      </c>
      <c r="C8" s="565"/>
      <c r="D8" s="565"/>
      <c r="E8" s="620">
        <v>1581</v>
      </c>
      <c r="F8" s="620"/>
      <c r="G8" s="624"/>
    </row>
    <row r="9" spans="1:7" ht="14.4" customHeight="1" x14ac:dyDescent="0.3">
      <c r="A9" s="573" t="s">
        <v>511</v>
      </c>
      <c r="B9" s="565"/>
      <c r="C9" s="565">
        <v>2</v>
      </c>
      <c r="D9" s="565"/>
      <c r="E9" s="620"/>
      <c r="F9" s="620">
        <v>1771</v>
      </c>
      <c r="G9" s="624"/>
    </row>
    <row r="10" spans="1:7" ht="14.4" customHeight="1" x14ac:dyDescent="0.3">
      <c r="A10" s="573" t="s">
        <v>1040</v>
      </c>
      <c r="B10" s="565"/>
      <c r="C10" s="565"/>
      <c r="D10" s="565">
        <v>8</v>
      </c>
      <c r="E10" s="620"/>
      <c r="F10" s="620"/>
      <c r="G10" s="624">
        <v>407</v>
      </c>
    </row>
    <row r="11" spans="1:7" ht="14.4" customHeight="1" thickBot="1" x14ac:dyDescent="0.35">
      <c r="A11" s="622" t="s">
        <v>512</v>
      </c>
      <c r="B11" s="567"/>
      <c r="C11" s="567">
        <v>97</v>
      </c>
      <c r="D11" s="567"/>
      <c r="E11" s="621"/>
      <c r="F11" s="621">
        <v>31719</v>
      </c>
      <c r="G11" s="625"/>
    </row>
    <row r="12" spans="1:7" ht="14.4" customHeight="1" x14ac:dyDescent="0.3">
      <c r="A12" s="521" t="s">
        <v>506</v>
      </c>
    </row>
    <row r="13" spans="1:7" ht="14.4" customHeight="1" x14ac:dyDescent="0.3">
      <c r="A13" s="522" t="s">
        <v>507</v>
      </c>
    </row>
    <row r="14" spans="1:7" ht="14.4" customHeight="1" x14ac:dyDescent="0.3">
      <c r="A14" s="521" t="s">
        <v>1036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1136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32739</v>
      </c>
      <c r="G3" s="103">
        <f t="shared" si="0"/>
        <v>38467341.5</v>
      </c>
      <c r="H3" s="74"/>
      <c r="I3" s="74"/>
      <c r="J3" s="103">
        <f t="shared" si="0"/>
        <v>18363</v>
      </c>
      <c r="K3" s="103">
        <f t="shared" si="0"/>
        <v>33187983.509999998</v>
      </c>
      <c r="L3" s="74"/>
      <c r="M3" s="74"/>
      <c r="N3" s="103">
        <f t="shared" si="0"/>
        <v>35013</v>
      </c>
      <c r="O3" s="103">
        <f t="shared" si="0"/>
        <v>64192445.380000003</v>
      </c>
      <c r="P3" s="75">
        <f>IF(G3=0,0,O3/G3)</f>
        <v>1.668751800277126</v>
      </c>
      <c r="Q3" s="104">
        <f>IF(N3=0,0,O3/N3)</f>
        <v>1833.388894981864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1042</v>
      </c>
      <c r="B6" s="541" t="s">
        <v>438</v>
      </c>
      <c r="C6" s="541" t="s">
        <v>1043</v>
      </c>
      <c r="D6" s="541" t="s">
        <v>1044</v>
      </c>
      <c r="E6" s="541" t="s">
        <v>1045</v>
      </c>
      <c r="F6" s="116"/>
      <c r="G6" s="116"/>
      <c r="H6" s="541"/>
      <c r="I6" s="541"/>
      <c r="J6" s="116"/>
      <c r="K6" s="116"/>
      <c r="L6" s="541"/>
      <c r="M6" s="541"/>
      <c r="N6" s="116">
        <v>3</v>
      </c>
      <c r="O6" s="116">
        <v>111</v>
      </c>
      <c r="P6" s="546"/>
      <c r="Q6" s="564">
        <v>37</v>
      </c>
    </row>
    <row r="7" spans="1:17" ht="14.4" customHeight="1" x14ac:dyDescent="0.3">
      <c r="A7" s="547" t="s">
        <v>1042</v>
      </c>
      <c r="B7" s="548" t="s">
        <v>438</v>
      </c>
      <c r="C7" s="548" t="s">
        <v>1043</v>
      </c>
      <c r="D7" s="548" t="s">
        <v>1046</v>
      </c>
      <c r="E7" s="548" t="s">
        <v>1047</v>
      </c>
      <c r="F7" s="565"/>
      <c r="G7" s="565"/>
      <c r="H7" s="548"/>
      <c r="I7" s="548"/>
      <c r="J7" s="565"/>
      <c r="K7" s="565"/>
      <c r="L7" s="548"/>
      <c r="M7" s="548"/>
      <c r="N7" s="565">
        <v>1</v>
      </c>
      <c r="O7" s="565">
        <v>74</v>
      </c>
      <c r="P7" s="553"/>
      <c r="Q7" s="566">
        <v>74</v>
      </c>
    </row>
    <row r="8" spans="1:17" ht="14.4" customHeight="1" x14ac:dyDescent="0.3">
      <c r="A8" s="547" t="s">
        <v>1048</v>
      </c>
      <c r="B8" s="548" t="s">
        <v>438</v>
      </c>
      <c r="C8" s="548" t="s">
        <v>1049</v>
      </c>
      <c r="D8" s="548" t="s">
        <v>1050</v>
      </c>
      <c r="E8" s="548" t="s">
        <v>568</v>
      </c>
      <c r="F8" s="565">
        <v>1</v>
      </c>
      <c r="G8" s="565">
        <v>1146.7</v>
      </c>
      <c r="H8" s="548">
        <v>1</v>
      </c>
      <c r="I8" s="548">
        <v>1146.7</v>
      </c>
      <c r="J8" s="565"/>
      <c r="K8" s="565"/>
      <c r="L8" s="548"/>
      <c r="M8" s="548"/>
      <c r="N8" s="565"/>
      <c r="O8" s="565"/>
      <c r="P8" s="553"/>
      <c r="Q8" s="566"/>
    </row>
    <row r="9" spans="1:17" ht="14.4" customHeight="1" x14ac:dyDescent="0.3">
      <c r="A9" s="547" t="s">
        <v>1048</v>
      </c>
      <c r="B9" s="548" t="s">
        <v>438</v>
      </c>
      <c r="C9" s="548" t="s">
        <v>1049</v>
      </c>
      <c r="D9" s="548" t="s">
        <v>1051</v>
      </c>
      <c r="E9" s="548" t="s">
        <v>1052</v>
      </c>
      <c r="F9" s="565">
        <v>16</v>
      </c>
      <c r="G9" s="565">
        <v>22016.799999999996</v>
      </c>
      <c r="H9" s="548">
        <v>1</v>
      </c>
      <c r="I9" s="548">
        <v>1376.0499999999997</v>
      </c>
      <c r="J9" s="565"/>
      <c r="K9" s="565"/>
      <c r="L9" s="548"/>
      <c r="M9" s="548"/>
      <c r="N9" s="565"/>
      <c r="O9" s="565"/>
      <c r="P9" s="553"/>
      <c r="Q9" s="566"/>
    </row>
    <row r="10" spans="1:17" ht="14.4" customHeight="1" x14ac:dyDescent="0.3">
      <c r="A10" s="547" t="s">
        <v>1048</v>
      </c>
      <c r="B10" s="548" t="s">
        <v>438</v>
      </c>
      <c r="C10" s="548" t="s">
        <v>1043</v>
      </c>
      <c r="D10" s="548" t="s">
        <v>1053</v>
      </c>
      <c r="E10" s="548" t="s">
        <v>1054</v>
      </c>
      <c r="F10" s="565">
        <v>82</v>
      </c>
      <c r="G10" s="565">
        <v>5223</v>
      </c>
      <c r="H10" s="548">
        <v>1</v>
      </c>
      <c r="I10" s="548">
        <v>63.695121951219512</v>
      </c>
      <c r="J10" s="565">
        <v>54</v>
      </c>
      <c r="K10" s="565">
        <v>3456</v>
      </c>
      <c r="L10" s="548">
        <v>0.66168868466398623</v>
      </c>
      <c r="M10" s="548">
        <v>64</v>
      </c>
      <c r="N10" s="565">
        <v>80</v>
      </c>
      <c r="O10" s="565">
        <v>5280</v>
      </c>
      <c r="P10" s="553">
        <v>1.0109132682366455</v>
      </c>
      <c r="Q10" s="566">
        <v>66</v>
      </c>
    </row>
    <row r="11" spans="1:17" ht="14.4" customHeight="1" x14ac:dyDescent="0.3">
      <c r="A11" s="547" t="s">
        <v>1048</v>
      </c>
      <c r="B11" s="548" t="s">
        <v>438</v>
      </c>
      <c r="C11" s="548" t="s">
        <v>1043</v>
      </c>
      <c r="D11" s="548" t="s">
        <v>1055</v>
      </c>
      <c r="E11" s="548" t="s">
        <v>1056</v>
      </c>
      <c r="F11" s="565">
        <v>1</v>
      </c>
      <c r="G11" s="565">
        <v>206</v>
      </c>
      <c r="H11" s="548">
        <v>1</v>
      </c>
      <c r="I11" s="548">
        <v>206</v>
      </c>
      <c r="J11" s="565"/>
      <c r="K11" s="565"/>
      <c r="L11" s="548"/>
      <c r="M11" s="548"/>
      <c r="N11" s="565"/>
      <c r="O11" s="565"/>
      <c r="P11" s="553"/>
      <c r="Q11" s="566"/>
    </row>
    <row r="12" spans="1:17" ht="14.4" customHeight="1" x14ac:dyDescent="0.3">
      <c r="A12" s="547" t="s">
        <v>1048</v>
      </c>
      <c r="B12" s="548" t="s">
        <v>438</v>
      </c>
      <c r="C12" s="548" t="s">
        <v>1043</v>
      </c>
      <c r="D12" s="548" t="s">
        <v>1044</v>
      </c>
      <c r="E12" s="548" t="s">
        <v>1045</v>
      </c>
      <c r="F12" s="565">
        <v>4</v>
      </c>
      <c r="G12" s="565">
        <v>137</v>
      </c>
      <c r="H12" s="548">
        <v>1</v>
      </c>
      <c r="I12" s="548">
        <v>34.25</v>
      </c>
      <c r="J12" s="565"/>
      <c r="K12" s="565"/>
      <c r="L12" s="548"/>
      <c r="M12" s="548"/>
      <c r="N12" s="565">
        <v>196</v>
      </c>
      <c r="O12" s="565">
        <v>7252</v>
      </c>
      <c r="P12" s="553">
        <v>52.934306569343065</v>
      </c>
      <c r="Q12" s="566">
        <v>37</v>
      </c>
    </row>
    <row r="13" spans="1:17" ht="14.4" customHeight="1" x14ac:dyDescent="0.3">
      <c r="A13" s="547" t="s">
        <v>1048</v>
      </c>
      <c r="B13" s="548" t="s">
        <v>438</v>
      </c>
      <c r="C13" s="548" t="s">
        <v>1043</v>
      </c>
      <c r="D13" s="548" t="s">
        <v>1057</v>
      </c>
      <c r="E13" s="548" t="s">
        <v>1058</v>
      </c>
      <c r="F13" s="565">
        <v>523</v>
      </c>
      <c r="G13" s="565">
        <v>1214787</v>
      </c>
      <c r="H13" s="548">
        <v>1</v>
      </c>
      <c r="I13" s="548">
        <v>2322.7284894837476</v>
      </c>
      <c r="J13" s="565">
        <v>301</v>
      </c>
      <c r="K13" s="565">
        <v>703136</v>
      </c>
      <c r="L13" s="548">
        <v>0.57881422833797203</v>
      </c>
      <c r="M13" s="548">
        <v>2336</v>
      </c>
      <c r="N13" s="565">
        <v>566</v>
      </c>
      <c r="O13" s="565">
        <v>1402548</v>
      </c>
      <c r="P13" s="553">
        <v>1.1545628986810033</v>
      </c>
      <c r="Q13" s="566">
        <v>2478</v>
      </c>
    </row>
    <row r="14" spans="1:17" ht="14.4" customHeight="1" x14ac:dyDescent="0.3">
      <c r="A14" s="547" t="s">
        <v>1048</v>
      </c>
      <c r="B14" s="548" t="s">
        <v>438</v>
      </c>
      <c r="C14" s="548" t="s">
        <v>1043</v>
      </c>
      <c r="D14" s="548" t="s">
        <v>1059</v>
      </c>
      <c r="E14" s="548" t="s">
        <v>1060</v>
      </c>
      <c r="F14" s="565">
        <v>1573</v>
      </c>
      <c r="G14" s="565">
        <v>504076</v>
      </c>
      <c r="H14" s="548">
        <v>1</v>
      </c>
      <c r="I14" s="548">
        <v>320.45518118245388</v>
      </c>
      <c r="J14" s="565">
        <v>115</v>
      </c>
      <c r="K14" s="565">
        <v>37145</v>
      </c>
      <c r="L14" s="548">
        <v>7.3689284949094977E-2</v>
      </c>
      <c r="M14" s="548">
        <v>323</v>
      </c>
      <c r="N14" s="565">
        <v>20</v>
      </c>
      <c r="O14" s="565">
        <v>6920</v>
      </c>
      <c r="P14" s="553">
        <v>1.3728088621557067E-2</v>
      </c>
      <c r="Q14" s="566">
        <v>346</v>
      </c>
    </row>
    <row r="15" spans="1:17" ht="14.4" customHeight="1" x14ac:dyDescent="0.3">
      <c r="A15" s="547" t="s">
        <v>1048</v>
      </c>
      <c r="B15" s="548" t="s">
        <v>438</v>
      </c>
      <c r="C15" s="548" t="s">
        <v>1043</v>
      </c>
      <c r="D15" s="548" t="s">
        <v>1061</v>
      </c>
      <c r="E15" s="548" t="s">
        <v>1062</v>
      </c>
      <c r="F15" s="565">
        <v>43</v>
      </c>
      <c r="G15" s="565">
        <v>0</v>
      </c>
      <c r="H15" s="548"/>
      <c r="I15" s="548">
        <v>0</v>
      </c>
      <c r="J15" s="565"/>
      <c r="K15" s="565"/>
      <c r="L15" s="548"/>
      <c r="M15" s="548"/>
      <c r="N15" s="565"/>
      <c r="O15" s="565"/>
      <c r="P15" s="553"/>
      <c r="Q15" s="566"/>
    </row>
    <row r="16" spans="1:17" ht="14.4" customHeight="1" x14ac:dyDescent="0.3">
      <c r="A16" s="547" t="s">
        <v>1048</v>
      </c>
      <c r="B16" s="548" t="s">
        <v>438</v>
      </c>
      <c r="C16" s="548" t="s">
        <v>1043</v>
      </c>
      <c r="D16" s="548" t="s">
        <v>1063</v>
      </c>
      <c r="E16" s="548" t="s">
        <v>1064</v>
      </c>
      <c r="F16" s="565">
        <v>3802</v>
      </c>
      <c r="G16" s="565">
        <v>1233950</v>
      </c>
      <c r="H16" s="548">
        <v>1</v>
      </c>
      <c r="I16" s="548">
        <v>324.5528669121515</v>
      </c>
      <c r="J16" s="565">
        <v>992</v>
      </c>
      <c r="K16" s="565">
        <v>324384</v>
      </c>
      <c r="L16" s="548">
        <v>0.26288261274768021</v>
      </c>
      <c r="M16" s="548">
        <v>327</v>
      </c>
      <c r="N16" s="565">
        <v>1155</v>
      </c>
      <c r="O16" s="565">
        <v>404250</v>
      </c>
      <c r="P16" s="553">
        <v>0.32760646703675189</v>
      </c>
      <c r="Q16" s="566">
        <v>350</v>
      </c>
    </row>
    <row r="17" spans="1:17" ht="14.4" customHeight="1" x14ac:dyDescent="0.3">
      <c r="A17" s="547" t="s">
        <v>1048</v>
      </c>
      <c r="B17" s="548" t="s">
        <v>438</v>
      </c>
      <c r="C17" s="548" t="s">
        <v>1043</v>
      </c>
      <c r="D17" s="548" t="s">
        <v>1065</v>
      </c>
      <c r="E17" s="548" t="s">
        <v>1066</v>
      </c>
      <c r="F17" s="565">
        <v>4051</v>
      </c>
      <c r="G17" s="565">
        <v>0</v>
      </c>
      <c r="H17" s="548"/>
      <c r="I17" s="548">
        <v>0</v>
      </c>
      <c r="J17" s="565">
        <v>1851</v>
      </c>
      <c r="K17" s="565">
        <v>30066.510000000017</v>
      </c>
      <c r="L17" s="548"/>
      <c r="M17" s="548">
        <v>16.243387358184773</v>
      </c>
      <c r="N17" s="565">
        <v>2402</v>
      </c>
      <c r="O17" s="565">
        <v>80066.380000000107</v>
      </c>
      <c r="P17" s="553"/>
      <c r="Q17" s="566">
        <v>33.33321398834309</v>
      </c>
    </row>
    <row r="18" spans="1:17" ht="14.4" customHeight="1" x14ac:dyDescent="0.3">
      <c r="A18" s="547" t="s">
        <v>1048</v>
      </c>
      <c r="B18" s="548" t="s">
        <v>438</v>
      </c>
      <c r="C18" s="548" t="s">
        <v>1043</v>
      </c>
      <c r="D18" s="548" t="s">
        <v>1067</v>
      </c>
      <c r="E18" s="548" t="s">
        <v>1068</v>
      </c>
      <c r="F18" s="565">
        <v>1339</v>
      </c>
      <c r="G18" s="565">
        <v>1928980</v>
      </c>
      <c r="H18" s="548">
        <v>1</v>
      </c>
      <c r="I18" s="548">
        <v>1440.6123973114265</v>
      </c>
      <c r="J18" s="565">
        <v>924</v>
      </c>
      <c r="K18" s="565">
        <v>1337952</v>
      </c>
      <c r="L18" s="548">
        <v>0.6936059471845224</v>
      </c>
      <c r="M18" s="548">
        <v>1448</v>
      </c>
      <c r="N18" s="565">
        <v>1279</v>
      </c>
      <c r="O18" s="565">
        <v>1942801</v>
      </c>
      <c r="P18" s="553">
        <v>1.0071649265414881</v>
      </c>
      <c r="Q18" s="566">
        <v>1519</v>
      </c>
    </row>
    <row r="19" spans="1:17" ht="14.4" customHeight="1" x14ac:dyDescent="0.3">
      <c r="A19" s="547" t="s">
        <v>1048</v>
      </c>
      <c r="B19" s="548" t="s">
        <v>438</v>
      </c>
      <c r="C19" s="548" t="s">
        <v>1043</v>
      </c>
      <c r="D19" s="548" t="s">
        <v>1069</v>
      </c>
      <c r="E19" s="548" t="s">
        <v>1070</v>
      </c>
      <c r="F19" s="565">
        <v>156</v>
      </c>
      <c r="G19" s="565">
        <v>16732</v>
      </c>
      <c r="H19" s="548">
        <v>1</v>
      </c>
      <c r="I19" s="548">
        <v>107.25641025641026</v>
      </c>
      <c r="J19" s="565">
        <v>190</v>
      </c>
      <c r="K19" s="565">
        <v>20520</v>
      </c>
      <c r="L19" s="548">
        <v>1.2263925412383456</v>
      </c>
      <c r="M19" s="548">
        <v>108</v>
      </c>
      <c r="N19" s="565">
        <v>275</v>
      </c>
      <c r="O19" s="565">
        <v>31900</v>
      </c>
      <c r="P19" s="553">
        <v>1.9065264164475257</v>
      </c>
      <c r="Q19" s="566">
        <v>116</v>
      </c>
    </row>
    <row r="20" spans="1:17" ht="14.4" customHeight="1" x14ac:dyDescent="0.3">
      <c r="A20" s="547" t="s">
        <v>1048</v>
      </c>
      <c r="B20" s="548" t="s">
        <v>438</v>
      </c>
      <c r="C20" s="548" t="s">
        <v>1043</v>
      </c>
      <c r="D20" s="548" t="s">
        <v>1071</v>
      </c>
      <c r="E20" s="548" t="s">
        <v>1072</v>
      </c>
      <c r="F20" s="565">
        <v>2303</v>
      </c>
      <c r="G20" s="565">
        <v>81787</v>
      </c>
      <c r="H20" s="548">
        <v>1</v>
      </c>
      <c r="I20" s="548">
        <v>35.513243595310463</v>
      </c>
      <c r="J20" s="565">
        <v>497</v>
      </c>
      <c r="K20" s="565">
        <v>17892</v>
      </c>
      <c r="L20" s="548">
        <v>0.21876337315221245</v>
      </c>
      <c r="M20" s="548">
        <v>36</v>
      </c>
      <c r="N20" s="565">
        <v>611</v>
      </c>
      <c r="O20" s="565">
        <v>22607</v>
      </c>
      <c r="P20" s="553">
        <v>0.27641312188978689</v>
      </c>
      <c r="Q20" s="566">
        <v>37</v>
      </c>
    </row>
    <row r="21" spans="1:17" ht="14.4" customHeight="1" x14ac:dyDescent="0.3">
      <c r="A21" s="547" t="s">
        <v>1048</v>
      </c>
      <c r="B21" s="548" t="s">
        <v>438</v>
      </c>
      <c r="C21" s="548" t="s">
        <v>1043</v>
      </c>
      <c r="D21" s="548" t="s">
        <v>1073</v>
      </c>
      <c r="E21" s="548" t="s">
        <v>1074</v>
      </c>
      <c r="F21" s="565">
        <v>49</v>
      </c>
      <c r="G21" s="565">
        <v>3995</v>
      </c>
      <c r="H21" s="548">
        <v>1</v>
      </c>
      <c r="I21" s="548">
        <v>81.530612244897952</v>
      </c>
      <c r="J21" s="565"/>
      <c r="K21" s="565"/>
      <c r="L21" s="548"/>
      <c r="M21" s="548"/>
      <c r="N21" s="565"/>
      <c r="O21" s="565"/>
      <c r="P21" s="553"/>
      <c r="Q21" s="566"/>
    </row>
    <row r="22" spans="1:17" ht="14.4" customHeight="1" x14ac:dyDescent="0.3">
      <c r="A22" s="547" t="s">
        <v>1048</v>
      </c>
      <c r="B22" s="548" t="s">
        <v>438</v>
      </c>
      <c r="C22" s="548" t="s">
        <v>1043</v>
      </c>
      <c r="D22" s="548" t="s">
        <v>1075</v>
      </c>
      <c r="E22" s="548" t="s">
        <v>1076</v>
      </c>
      <c r="F22" s="565">
        <v>20</v>
      </c>
      <c r="G22" s="565">
        <v>611</v>
      </c>
      <c r="H22" s="548">
        <v>1</v>
      </c>
      <c r="I22" s="548">
        <v>30.55</v>
      </c>
      <c r="J22" s="565"/>
      <c r="K22" s="565"/>
      <c r="L22" s="548"/>
      <c r="M22" s="548"/>
      <c r="N22" s="565"/>
      <c r="O22" s="565"/>
      <c r="P22" s="553"/>
      <c r="Q22" s="566"/>
    </row>
    <row r="23" spans="1:17" ht="14.4" customHeight="1" x14ac:dyDescent="0.3">
      <c r="A23" s="547" t="s">
        <v>1048</v>
      </c>
      <c r="B23" s="548" t="s">
        <v>438</v>
      </c>
      <c r="C23" s="548" t="s">
        <v>1043</v>
      </c>
      <c r="D23" s="548" t="s">
        <v>1046</v>
      </c>
      <c r="E23" s="548" t="s">
        <v>1047</v>
      </c>
      <c r="F23" s="565">
        <v>11</v>
      </c>
      <c r="G23" s="565">
        <v>765</v>
      </c>
      <c r="H23" s="548">
        <v>1</v>
      </c>
      <c r="I23" s="548">
        <v>69.545454545454547</v>
      </c>
      <c r="J23" s="565"/>
      <c r="K23" s="565"/>
      <c r="L23" s="548"/>
      <c r="M23" s="548"/>
      <c r="N23" s="565">
        <v>9</v>
      </c>
      <c r="O23" s="565">
        <v>666</v>
      </c>
      <c r="P23" s="553">
        <v>0.87058823529411766</v>
      </c>
      <c r="Q23" s="566">
        <v>74</v>
      </c>
    </row>
    <row r="24" spans="1:17" ht="14.4" customHeight="1" x14ac:dyDescent="0.3">
      <c r="A24" s="547" t="s">
        <v>1048</v>
      </c>
      <c r="B24" s="548" t="s">
        <v>438</v>
      </c>
      <c r="C24" s="548" t="s">
        <v>1043</v>
      </c>
      <c r="D24" s="548" t="s">
        <v>1077</v>
      </c>
      <c r="E24" s="548" t="s">
        <v>1078</v>
      </c>
      <c r="F24" s="565"/>
      <c r="G24" s="565"/>
      <c r="H24" s="548"/>
      <c r="I24" s="548"/>
      <c r="J24" s="565"/>
      <c r="K24" s="565"/>
      <c r="L24" s="548"/>
      <c r="M24" s="548"/>
      <c r="N24" s="565">
        <v>1</v>
      </c>
      <c r="O24" s="565">
        <v>59</v>
      </c>
      <c r="P24" s="553"/>
      <c r="Q24" s="566">
        <v>59</v>
      </c>
    </row>
    <row r="25" spans="1:17" ht="14.4" customHeight="1" x14ac:dyDescent="0.3">
      <c r="A25" s="547" t="s">
        <v>1079</v>
      </c>
      <c r="B25" s="548" t="s">
        <v>438</v>
      </c>
      <c r="C25" s="548" t="s">
        <v>1043</v>
      </c>
      <c r="D25" s="548" t="s">
        <v>1080</v>
      </c>
      <c r="E25" s="548" t="s">
        <v>1081</v>
      </c>
      <c r="F25" s="565">
        <v>1</v>
      </c>
      <c r="G25" s="565">
        <v>163</v>
      </c>
      <c r="H25" s="548">
        <v>1</v>
      </c>
      <c r="I25" s="548">
        <v>163</v>
      </c>
      <c r="J25" s="565"/>
      <c r="K25" s="565"/>
      <c r="L25" s="548"/>
      <c r="M25" s="548"/>
      <c r="N25" s="565"/>
      <c r="O25" s="565"/>
      <c r="P25" s="553"/>
      <c r="Q25" s="566"/>
    </row>
    <row r="26" spans="1:17" ht="14.4" customHeight="1" x14ac:dyDescent="0.3">
      <c r="A26" s="547" t="s">
        <v>1079</v>
      </c>
      <c r="B26" s="548" t="s">
        <v>438</v>
      </c>
      <c r="C26" s="548" t="s">
        <v>1043</v>
      </c>
      <c r="D26" s="548" t="s">
        <v>1069</v>
      </c>
      <c r="E26" s="548" t="s">
        <v>1070</v>
      </c>
      <c r="F26" s="565">
        <v>0</v>
      </c>
      <c r="G26" s="565">
        <v>0</v>
      </c>
      <c r="H26" s="548"/>
      <c r="I26" s="548"/>
      <c r="J26" s="565"/>
      <c r="K26" s="565"/>
      <c r="L26" s="548"/>
      <c r="M26" s="548"/>
      <c r="N26" s="565"/>
      <c r="O26" s="565"/>
      <c r="P26" s="553"/>
      <c r="Q26" s="566"/>
    </row>
    <row r="27" spans="1:17" ht="14.4" customHeight="1" x14ac:dyDescent="0.3">
      <c r="A27" s="547" t="s">
        <v>1079</v>
      </c>
      <c r="B27" s="548" t="s">
        <v>438</v>
      </c>
      <c r="C27" s="548" t="s">
        <v>1043</v>
      </c>
      <c r="D27" s="548" t="s">
        <v>1071</v>
      </c>
      <c r="E27" s="548" t="s">
        <v>1072</v>
      </c>
      <c r="F27" s="565">
        <v>1</v>
      </c>
      <c r="G27" s="565">
        <v>35</v>
      </c>
      <c r="H27" s="548">
        <v>1</v>
      </c>
      <c r="I27" s="548">
        <v>35</v>
      </c>
      <c r="J27" s="565"/>
      <c r="K27" s="565"/>
      <c r="L27" s="548"/>
      <c r="M27" s="548"/>
      <c r="N27" s="565"/>
      <c r="O27" s="565"/>
      <c r="P27" s="553"/>
      <c r="Q27" s="566"/>
    </row>
    <row r="28" spans="1:17" ht="14.4" customHeight="1" x14ac:dyDescent="0.3">
      <c r="A28" s="547" t="s">
        <v>1079</v>
      </c>
      <c r="B28" s="548" t="s">
        <v>438</v>
      </c>
      <c r="C28" s="548" t="s">
        <v>1043</v>
      </c>
      <c r="D28" s="548" t="s">
        <v>1082</v>
      </c>
      <c r="E28" s="548" t="s">
        <v>1083</v>
      </c>
      <c r="F28" s="565">
        <v>16</v>
      </c>
      <c r="G28" s="565">
        <v>5262</v>
      </c>
      <c r="H28" s="548">
        <v>1</v>
      </c>
      <c r="I28" s="548">
        <v>328.875</v>
      </c>
      <c r="J28" s="565"/>
      <c r="K28" s="565"/>
      <c r="L28" s="548"/>
      <c r="M28" s="548"/>
      <c r="N28" s="565"/>
      <c r="O28" s="565"/>
      <c r="P28" s="553"/>
      <c r="Q28" s="566"/>
    </row>
    <row r="29" spans="1:17" ht="14.4" customHeight="1" x14ac:dyDescent="0.3">
      <c r="A29" s="547" t="s">
        <v>1084</v>
      </c>
      <c r="B29" s="548" t="s">
        <v>438</v>
      </c>
      <c r="C29" s="548" t="s">
        <v>1049</v>
      </c>
      <c r="D29" s="548" t="s">
        <v>1050</v>
      </c>
      <c r="E29" s="548" t="s">
        <v>568</v>
      </c>
      <c r="F29" s="565">
        <v>1</v>
      </c>
      <c r="G29" s="565">
        <v>1146.7</v>
      </c>
      <c r="H29" s="548">
        <v>1</v>
      </c>
      <c r="I29" s="548">
        <v>1146.7</v>
      </c>
      <c r="J29" s="565"/>
      <c r="K29" s="565"/>
      <c r="L29" s="548"/>
      <c r="M29" s="548"/>
      <c r="N29" s="565"/>
      <c r="O29" s="565"/>
      <c r="P29" s="553"/>
      <c r="Q29" s="566"/>
    </row>
    <row r="30" spans="1:17" ht="14.4" customHeight="1" x14ac:dyDescent="0.3">
      <c r="A30" s="547" t="s">
        <v>1084</v>
      </c>
      <c r="B30" s="548" t="s">
        <v>438</v>
      </c>
      <c r="C30" s="548" t="s">
        <v>1049</v>
      </c>
      <c r="D30" s="548" t="s">
        <v>1051</v>
      </c>
      <c r="E30" s="548" t="s">
        <v>1052</v>
      </c>
      <c r="F30" s="565">
        <v>6</v>
      </c>
      <c r="G30" s="565">
        <v>8256.2999999999993</v>
      </c>
      <c r="H30" s="548">
        <v>1</v>
      </c>
      <c r="I30" s="548">
        <v>1376.05</v>
      </c>
      <c r="J30" s="565"/>
      <c r="K30" s="565"/>
      <c r="L30" s="548"/>
      <c r="M30" s="548"/>
      <c r="N30" s="565"/>
      <c r="O30" s="565"/>
      <c r="P30" s="553"/>
      <c r="Q30" s="566"/>
    </row>
    <row r="31" spans="1:17" ht="14.4" customHeight="1" x14ac:dyDescent="0.3">
      <c r="A31" s="547" t="s">
        <v>1084</v>
      </c>
      <c r="B31" s="548" t="s">
        <v>438</v>
      </c>
      <c r="C31" s="548" t="s">
        <v>1043</v>
      </c>
      <c r="D31" s="548" t="s">
        <v>1085</v>
      </c>
      <c r="E31" s="548" t="s">
        <v>1086</v>
      </c>
      <c r="F31" s="565">
        <v>1306</v>
      </c>
      <c r="G31" s="565">
        <v>573350</v>
      </c>
      <c r="H31" s="548">
        <v>1</v>
      </c>
      <c r="I31" s="548">
        <v>439.0122511485452</v>
      </c>
      <c r="J31" s="565"/>
      <c r="K31" s="565"/>
      <c r="L31" s="548"/>
      <c r="M31" s="548"/>
      <c r="N31" s="565"/>
      <c r="O31" s="565"/>
      <c r="P31" s="553"/>
      <c r="Q31" s="566"/>
    </row>
    <row r="32" spans="1:17" ht="14.4" customHeight="1" x14ac:dyDescent="0.3">
      <c r="A32" s="547" t="s">
        <v>1084</v>
      </c>
      <c r="B32" s="548" t="s">
        <v>438</v>
      </c>
      <c r="C32" s="548" t="s">
        <v>1043</v>
      </c>
      <c r="D32" s="548" t="s">
        <v>1087</v>
      </c>
      <c r="E32" s="548" t="s">
        <v>1088</v>
      </c>
      <c r="F32" s="565">
        <v>50</v>
      </c>
      <c r="G32" s="565">
        <v>51108</v>
      </c>
      <c r="H32" s="548">
        <v>1</v>
      </c>
      <c r="I32" s="548">
        <v>1022.16</v>
      </c>
      <c r="J32" s="565"/>
      <c r="K32" s="565"/>
      <c r="L32" s="548"/>
      <c r="M32" s="548"/>
      <c r="N32" s="565"/>
      <c r="O32" s="565"/>
      <c r="P32" s="553"/>
      <c r="Q32" s="566"/>
    </row>
    <row r="33" spans="1:17" ht="14.4" customHeight="1" x14ac:dyDescent="0.3">
      <c r="A33" s="547" t="s">
        <v>1084</v>
      </c>
      <c r="B33" s="548" t="s">
        <v>438</v>
      </c>
      <c r="C33" s="548" t="s">
        <v>1043</v>
      </c>
      <c r="D33" s="548" t="s">
        <v>1089</v>
      </c>
      <c r="E33" s="548" t="s">
        <v>1090</v>
      </c>
      <c r="F33" s="565">
        <v>3</v>
      </c>
      <c r="G33" s="565">
        <v>1919</v>
      </c>
      <c r="H33" s="548">
        <v>1</v>
      </c>
      <c r="I33" s="548">
        <v>639.66666666666663</v>
      </c>
      <c r="J33" s="565"/>
      <c r="K33" s="565"/>
      <c r="L33" s="548"/>
      <c r="M33" s="548"/>
      <c r="N33" s="565"/>
      <c r="O33" s="565"/>
      <c r="P33" s="553"/>
      <c r="Q33" s="566"/>
    </row>
    <row r="34" spans="1:17" ht="14.4" customHeight="1" x14ac:dyDescent="0.3">
      <c r="A34" s="547" t="s">
        <v>1084</v>
      </c>
      <c r="B34" s="548" t="s">
        <v>438</v>
      </c>
      <c r="C34" s="548" t="s">
        <v>1043</v>
      </c>
      <c r="D34" s="548" t="s">
        <v>1091</v>
      </c>
      <c r="E34" s="548" t="s">
        <v>1092</v>
      </c>
      <c r="F34" s="565">
        <v>27</v>
      </c>
      <c r="G34" s="565">
        <v>8257</v>
      </c>
      <c r="H34" s="548">
        <v>1</v>
      </c>
      <c r="I34" s="548">
        <v>305.81481481481484</v>
      </c>
      <c r="J34" s="565"/>
      <c r="K34" s="565"/>
      <c r="L34" s="548"/>
      <c r="M34" s="548"/>
      <c r="N34" s="565"/>
      <c r="O34" s="565"/>
      <c r="P34" s="553"/>
      <c r="Q34" s="566"/>
    </row>
    <row r="35" spans="1:17" ht="14.4" customHeight="1" x14ac:dyDescent="0.3">
      <c r="A35" s="547" t="s">
        <v>1084</v>
      </c>
      <c r="B35" s="548" t="s">
        <v>438</v>
      </c>
      <c r="C35" s="548" t="s">
        <v>1043</v>
      </c>
      <c r="D35" s="548" t="s">
        <v>1093</v>
      </c>
      <c r="E35" s="548" t="s">
        <v>1094</v>
      </c>
      <c r="F35" s="565">
        <v>1</v>
      </c>
      <c r="G35" s="565">
        <v>831</v>
      </c>
      <c r="H35" s="548">
        <v>1</v>
      </c>
      <c r="I35" s="548">
        <v>831</v>
      </c>
      <c r="J35" s="565"/>
      <c r="K35" s="565"/>
      <c r="L35" s="548"/>
      <c r="M35" s="548"/>
      <c r="N35" s="565"/>
      <c r="O35" s="565"/>
      <c r="P35" s="553"/>
      <c r="Q35" s="566"/>
    </row>
    <row r="36" spans="1:17" ht="14.4" customHeight="1" x14ac:dyDescent="0.3">
      <c r="A36" s="547" t="s">
        <v>1084</v>
      </c>
      <c r="B36" s="548" t="s">
        <v>438</v>
      </c>
      <c r="C36" s="548" t="s">
        <v>1043</v>
      </c>
      <c r="D36" s="548" t="s">
        <v>1095</v>
      </c>
      <c r="E36" s="548" t="s">
        <v>1096</v>
      </c>
      <c r="F36" s="565">
        <v>3414</v>
      </c>
      <c r="G36" s="565">
        <v>2200328</v>
      </c>
      <c r="H36" s="548">
        <v>1</v>
      </c>
      <c r="I36" s="548">
        <v>644.50146455770357</v>
      </c>
      <c r="J36" s="565"/>
      <c r="K36" s="565"/>
      <c r="L36" s="548"/>
      <c r="M36" s="548"/>
      <c r="N36" s="565"/>
      <c r="O36" s="565"/>
      <c r="P36" s="553"/>
      <c r="Q36" s="566"/>
    </row>
    <row r="37" spans="1:17" ht="14.4" customHeight="1" x14ac:dyDescent="0.3">
      <c r="A37" s="547" t="s">
        <v>1084</v>
      </c>
      <c r="B37" s="548" t="s">
        <v>438</v>
      </c>
      <c r="C37" s="548" t="s">
        <v>1043</v>
      </c>
      <c r="D37" s="548" t="s">
        <v>1097</v>
      </c>
      <c r="E37" s="548" t="s">
        <v>1098</v>
      </c>
      <c r="F37" s="565">
        <v>117</v>
      </c>
      <c r="G37" s="565">
        <v>34281</v>
      </c>
      <c r="H37" s="548">
        <v>1</v>
      </c>
      <c r="I37" s="548">
        <v>293</v>
      </c>
      <c r="J37" s="565"/>
      <c r="K37" s="565"/>
      <c r="L37" s="548"/>
      <c r="M37" s="548"/>
      <c r="N37" s="565"/>
      <c r="O37" s="565"/>
      <c r="P37" s="553"/>
      <c r="Q37" s="566"/>
    </row>
    <row r="38" spans="1:17" ht="14.4" customHeight="1" x14ac:dyDescent="0.3">
      <c r="A38" s="547" t="s">
        <v>1084</v>
      </c>
      <c r="B38" s="548" t="s">
        <v>438</v>
      </c>
      <c r="C38" s="548" t="s">
        <v>1043</v>
      </c>
      <c r="D38" s="548" t="s">
        <v>1099</v>
      </c>
      <c r="E38" s="548" t="s">
        <v>1100</v>
      </c>
      <c r="F38" s="565">
        <v>49</v>
      </c>
      <c r="G38" s="565">
        <v>28819</v>
      </c>
      <c r="H38" s="548">
        <v>1</v>
      </c>
      <c r="I38" s="548">
        <v>588.14285714285711</v>
      </c>
      <c r="J38" s="565"/>
      <c r="K38" s="565"/>
      <c r="L38" s="548"/>
      <c r="M38" s="548"/>
      <c r="N38" s="565"/>
      <c r="O38" s="565"/>
      <c r="P38" s="553"/>
      <c r="Q38" s="566"/>
    </row>
    <row r="39" spans="1:17" ht="14.4" customHeight="1" x14ac:dyDescent="0.3">
      <c r="A39" s="547" t="s">
        <v>1084</v>
      </c>
      <c r="B39" s="548" t="s">
        <v>438</v>
      </c>
      <c r="C39" s="548" t="s">
        <v>1043</v>
      </c>
      <c r="D39" s="548" t="s">
        <v>1101</v>
      </c>
      <c r="E39" s="548" t="s">
        <v>1102</v>
      </c>
      <c r="F39" s="565">
        <v>224</v>
      </c>
      <c r="G39" s="565">
        <v>183051</v>
      </c>
      <c r="H39" s="548">
        <v>1</v>
      </c>
      <c r="I39" s="548">
        <v>817.19196428571433</v>
      </c>
      <c r="J39" s="565"/>
      <c r="K39" s="565"/>
      <c r="L39" s="548"/>
      <c r="M39" s="548"/>
      <c r="N39" s="565"/>
      <c r="O39" s="565"/>
      <c r="P39" s="553"/>
      <c r="Q39" s="566"/>
    </row>
    <row r="40" spans="1:17" ht="14.4" customHeight="1" x14ac:dyDescent="0.3">
      <c r="A40" s="547" t="s">
        <v>1103</v>
      </c>
      <c r="B40" s="548" t="s">
        <v>438</v>
      </c>
      <c r="C40" s="548" t="s">
        <v>1043</v>
      </c>
      <c r="D40" s="548" t="s">
        <v>1046</v>
      </c>
      <c r="E40" s="548" t="s">
        <v>1047</v>
      </c>
      <c r="F40" s="565"/>
      <c r="G40" s="565"/>
      <c r="H40" s="548"/>
      <c r="I40" s="548"/>
      <c r="J40" s="565"/>
      <c r="K40" s="565"/>
      <c r="L40" s="548"/>
      <c r="M40" s="548"/>
      <c r="N40" s="565">
        <v>1</v>
      </c>
      <c r="O40" s="565">
        <v>74</v>
      </c>
      <c r="P40" s="553"/>
      <c r="Q40" s="566">
        <v>74</v>
      </c>
    </row>
    <row r="41" spans="1:17" ht="14.4" customHeight="1" x14ac:dyDescent="0.3">
      <c r="A41" s="547" t="s">
        <v>1103</v>
      </c>
      <c r="B41" s="548" t="s">
        <v>443</v>
      </c>
      <c r="C41" s="548" t="s">
        <v>1043</v>
      </c>
      <c r="D41" s="548" t="s">
        <v>1104</v>
      </c>
      <c r="E41" s="548" t="s">
        <v>1105</v>
      </c>
      <c r="F41" s="565">
        <v>50</v>
      </c>
      <c r="G41" s="565">
        <v>533358</v>
      </c>
      <c r="H41" s="548">
        <v>1</v>
      </c>
      <c r="I41" s="548">
        <v>10667.16</v>
      </c>
      <c r="J41" s="565">
        <v>41</v>
      </c>
      <c r="K41" s="565">
        <v>439315</v>
      </c>
      <c r="L41" s="548">
        <v>0.82367752991424148</v>
      </c>
      <c r="M41" s="548">
        <v>10715</v>
      </c>
      <c r="N41" s="565">
        <v>46</v>
      </c>
      <c r="O41" s="565">
        <v>513636</v>
      </c>
      <c r="P41" s="553">
        <v>0.9630229601880913</v>
      </c>
      <c r="Q41" s="566">
        <v>11166</v>
      </c>
    </row>
    <row r="42" spans="1:17" ht="14.4" customHeight="1" x14ac:dyDescent="0.3">
      <c r="A42" s="547" t="s">
        <v>1103</v>
      </c>
      <c r="B42" s="548" t="s">
        <v>443</v>
      </c>
      <c r="C42" s="548" t="s">
        <v>1043</v>
      </c>
      <c r="D42" s="548" t="s">
        <v>1106</v>
      </c>
      <c r="E42" s="548" t="s">
        <v>1107</v>
      </c>
      <c r="F42" s="565">
        <v>465</v>
      </c>
      <c r="G42" s="565">
        <v>139253</v>
      </c>
      <c r="H42" s="548">
        <v>1</v>
      </c>
      <c r="I42" s="548">
        <v>299.4688172043011</v>
      </c>
      <c r="J42" s="565">
        <v>413</v>
      </c>
      <c r="K42" s="565">
        <v>125139</v>
      </c>
      <c r="L42" s="548">
        <v>0.89864491249739686</v>
      </c>
      <c r="M42" s="548">
        <v>303</v>
      </c>
      <c r="N42" s="565">
        <v>409</v>
      </c>
      <c r="O42" s="565">
        <v>128426</v>
      </c>
      <c r="P42" s="553">
        <v>0.92224943089197364</v>
      </c>
      <c r="Q42" s="566">
        <v>314</v>
      </c>
    </row>
    <row r="43" spans="1:17" ht="14.4" customHeight="1" x14ac:dyDescent="0.3">
      <c r="A43" s="547" t="s">
        <v>1103</v>
      </c>
      <c r="B43" s="548" t="s">
        <v>443</v>
      </c>
      <c r="C43" s="548" t="s">
        <v>1043</v>
      </c>
      <c r="D43" s="548" t="s">
        <v>1108</v>
      </c>
      <c r="E43" s="548" t="s">
        <v>1109</v>
      </c>
      <c r="F43" s="565">
        <v>1043</v>
      </c>
      <c r="G43" s="565">
        <v>1308695</v>
      </c>
      <c r="H43" s="548">
        <v>1</v>
      </c>
      <c r="I43" s="548">
        <v>1254.7411313518696</v>
      </c>
      <c r="J43" s="565">
        <v>875</v>
      </c>
      <c r="K43" s="565">
        <v>1109500</v>
      </c>
      <c r="L43" s="548">
        <v>0.84779112016168778</v>
      </c>
      <c r="M43" s="548">
        <v>1268</v>
      </c>
      <c r="N43" s="565">
        <v>994</v>
      </c>
      <c r="O43" s="565">
        <v>1275302</v>
      </c>
      <c r="P43" s="553">
        <v>0.9744837414370805</v>
      </c>
      <c r="Q43" s="566">
        <v>1283</v>
      </c>
    </row>
    <row r="44" spans="1:17" ht="14.4" customHeight="1" x14ac:dyDescent="0.3">
      <c r="A44" s="547" t="s">
        <v>1103</v>
      </c>
      <c r="B44" s="548" t="s">
        <v>443</v>
      </c>
      <c r="C44" s="548" t="s">
        <v>1043</v>
      </c>
      <c r="D44" s="548" t="s">
        <v>1110</v>
      </c>
      <c r="E44" s="548" t="s">
        <v>1111</v>
      </c>
      <c r="F44" s="565">
        <v>38</v>
      </c>
      <c r="G44" s="565">
        <v>356156</v>
      </c>
      <c r="H44" s="548">
        <v>1</v>
      </c>
      <c r="I44" s="548">
        <v>9372.5263157894733</v>
      </c>
      <c r="J44" s="565">
        <v>30</v>
      </c>
      <c r="K44" s="565">
        <v>283380</v>
      </c>
      <c r="L44" s="548">
        <v>0.79566257482676128</v>
      </c>
      <c r="M44" s="548">
        <v>9446</v>
      </c>
      <c r="N44" s="565">
        <v>59</v>
      </c>
      <c r="O44" s="565">
        <v>575427</v>
      </c>
      <c r="P44" s="553">
        <v>1.6156599916890351</v>
      </c>
      <c r="Q44" s="566">
        <v>9753</v>
      </c>
    </row>
    <row r="45" spans="1:17" ht="14.4" customHeight="1" x14ac:dyDescent="0.3">
      <c r="A45" s="547" t="s">
        <v>1103</v>
      </c>
      <c r="B45" s="548" t="s">
        <v>443</v>
      </c>
      <c r="C45" s="548" t="s">
        <v>1043</v>
      </c>
      <c r="D45" s="548" t="s">
        <v>1112</v>
      </c>
      <c r="E45" s="548" t="s">
        <v>1113</v>
      </c>
      <c r="F45" s="565">
        <v>9</v>
      </c>
      <c r="G45" s="565">
        <v>3870</v>
      </c>
      <c r="H45" s="548">
        <v>1</v>
      </c>
      <c r="I45" s="548">
        <v>430</v>
      </c>
      <c r="J45" s="565"/>
      <c r="K45" s="565"/>
      <c r="L45" s="548"/>
      <c r="M45" s="548"/>
      <c r="N45" s="565">
        <v>2782</v>
      </c>
      <c r="O45" s="565">
        <v>1210170</v>
      </c>
      <c r="P45" s="553">
        <v>312.70542635658916</v>
      </c>
      <c r="Q45" s="566">
        <v>435</v>
      </c>
    </row>
    <row r="46" spans="1:17" ht="14.4" customHeight="1" x14ac:dyDescent="0.3">
      <c r="A46" s="547" t="s">
        <v>1103</v>
      </c>
      <c r="B46" s="548" t="s">
        <v>443</v>
      </c>
      <c r="C46" s="548" t="s">
        <v>1043</v>
      </c>
      <c r="D46" s="548" t="s">
        <v>1114</v>
      </c>
      <c r="E46" s="548" t="s">
        <v>1115</v>
      </c>
      <c r="F46" s="565">
        <v>413</v>
      </c>
      <c r="G46" s="565">
        <v>415478</v>
      </c>
      <c r="H46" s="548">
        <v>1</v>
      </c>
      <c r="I46" s="548">
        <v>1006</v>
      </c>
      <c r="J46" s="565">
        <v>92</v>
      </c>
      <c r="K46" s="565">
        <v>92736</v>
      </c>
      <c r="L46" s="548">
        <v>0.22320315395761028</v>
      </c>
      <c r="M46" s="548">
        <v>1008</v>
      </c>
      <c r="N46" s="565">
        <v>251</v>
      </c>
      <c r="O46" s="565">
        <v>253761</v>
      </c>
      <c r="P46" s="553">
        <v>0.6107688012361665</v>
      </c>
      <c r="Q46" s="566">
        <v>1011</v>
      </c>
    </row>
    <row r="47" spans="1:17" ht="14.4" customHeight="1" x14ac:dyDescent="0.3">
      <c r="A47" s="547" t="s">
        <v>1103</v>
      </c>
      <c r="B47" s="548" t="s">
        <v>443</v>
      </c>
      <c r="C47" s="548" t="s">
        <v>1043</v>
      </c>
      <c r="D47" s="548" t="s">
        <v>1116</v>
      </c>
      <c r="E47" s="548" t="s">
        <v>1117</v>
      </c>
      <c r="F47" s="565">
        <v>10917</v>
      </c>
      <c r="G47" s="565">
        <v>24532158</v>
      </c>
      <c r="H47" s="548">
        <v>1</v>
      </c>
      <c r="I47" s="548">
        <v>2247.1519648255016</v>
      </c>
      <c r="J47" s="565">
        <v>11463</v>
      </c>
      <c r="K47" s="565">
        <v>25952232</v>
      </c>
      <c r="L47" s="548">
        <v>1.057886224277538</v>
      </c>
      <c r="M47" s="548">
        <v>2264</v>
      </c>
      <c r="N47" s="565">
        <v>23345</v>
      </c>
      <c r="O47" s="565">
        <v>53553430</v>
      </c>
      <c r="P47" s="553">
        <v>2.1829889567807284</v>
      </c>
      <c r="Q47" s="566">
        <v>2294</v>
      </c>
    </row>
    <row r="48" spans="1:17" ht="14.4" customHeight="1" x14ac:dyDescent="0.3">
      <c r="A48" s="547" t="s">
        <v>1103</v>
      </c>
      <c r="B48" s="548" t="s">
        <v>443</v>
      </c>
      <c r="C48" s="548" t="s">
        <v>1043</v>
      </c>
      <c r="D48" s="548" t="s">
        <v>1118</v>
      </c>
      <c r="E48" s="548" t="s">
        <v>1119</v>
      </c>
      <c r="F48" s="565">
        <v>49</v>
      </c>
      <c r="G48" s="565">
        <v>24483</v>
      </c>
      <c r="H48" s="548">
        <v>1</v>
      </c>
      <c r="I48" s="548">
        <v>499.65306122448982</v>
      </c>
      <c r="J48" s="565">
        <v>41</v>
      </c>
      <c r="K48" s="565">
        <v>20623</v>
      </c>
      <c r="L48" s="548">
        <v>0.84233958256749586</v>
      </c>
      <c r="M48" s="548">
        <v>503</v>
      </c>
      <c r="N48" s="565">
        <v>47</v>
      </c>
      <c r="O48" s="565">
        <v>24816</v>
      </c>
      <c r="P48" s="553">
        <v>1.0136012743536331</v>
      </c>
      <c r="Q48" s="566">
        <v>528</v>
      </c>
    </row>
    <row r="49" spans="1:17" ht="14.4" customHeight="1" x14ac:dyDescent="0.3">
      <c r="A49" s="547" t="s">
        <v>1103</v>
      </c>
      <c r="B49" s="548" t="s">
        <v>443</v>
      </c>
      <c r="C49" s="548" t="s">
        <v>1043</v>
      </c>
      <c r="D49" s="548" t="s">
        <v>1120</v>
      </c>
      <c r="E49" s="548" t="s">
        <v>1121</v>
      </c>
      <c r="F49" s="565">
        <v>112</v>
      </c>
      <c r="G49" s="565">
        <v>98376</v>
      </c>
      <c r="H49" s="548">
        <v>1</v>
      </c>
      <c r="I49" s="548">
        <v>878.35714285714289</v>
      </c>
      <c r="J49" s="565">
        <v>95</v>
      </c>
      <c r="K49" s="565">
        <v>84075</v>
      </c>
      <c r="L49" s="548">
        <v>0.85462917784825565</v>
      </c>
      <c r="M49" s="548">
        <v>885</v>
      </c>
      <c r="N49" s="565">
        <v>87</v>
      </c>
      <c r="O49" s="565">
        <v>81432</v>
      </c>
      <c r="P49" s="553">
        <v>0.82776286899243723</v>
      </c>
      <c r="Q49" s="566">
        <v>936</v>
      </c>
    </row>
    <row r="50" spans="1:17" ht="14.4" customHeight="1" x14ac:dyDescent="0.3">
      <c r="A50" s="547" t="s">
        <v>1103</v>
      </c>
      <c r="B50" s="548" t="s">
        <v>443</v>
      </c>
      <c r="C50" s="548" t="s">
        <v>1043</v>
      </c>
      <c r="D50" s="548" t="s">
        <v>1122</v>
      </c>
      <c r="E50" s="548" t="s">
        <v>1123</v>
      </c>
      <c r="F50" s="565">
        <v>356</v>
      </c>
      <c r="G50" s="565">
        <v>2330594</v>
      </c>
      <c r="H50" s="548">
        <v>1</v>
      </c>
      <c r="I50" s="548">
        <v>6546.6123595505615</v>
      </c>
      <c r="J50" s="565">
        <v>317</v>
      </c>
      <c r="K50" s="565">
        <v>2089664</v>
      </c>
      <c r="L50" s="548">
        <v>0.89662292102356733</v>
      </c>
      <c r="M50" s="548">
        <v>6592</v>
      </c>
      <c r="N50" s="565">
        <v>321</v>
      </c>
      <c r="O50" s="565">
        <v>2224530</v>
      </c>
      <c r="P50" s="553">
        <v>0.95449057193144748</v>
      </c>
      <c r="Q50" s="566">
        <v>6930</v>
      </c>
    </row>
    <row r="51" spans="1:17" ht="14.4" customHeight="1" x14ac:dyDescent="0.3">
      <c r="A51" s="547" t="s">
        <v>1103</v>
      </c>
      <c r="B51" s="548" t="s">
        <v>443</v>
      </c>
      <c r="C51" s="548" t="s">
        <v>1043</v>
      </c>
      <c r="D51" s="548" t="s">
        <v>1124</v>
      </c>
      <c r="E51" s="548" t="s">
        <v>1125</v>
      </c>
      <c r="F51" s="565">
        <v>15</v>
      </c>
      <c r="G51" s="565">
        <v>50019</v>
      </c>
      <c r="H51" s="548">
        <v>1</v>
      </c>
      <c r="I51" s="548">
        <v>3334.6</v>
      </c>
      <c r="J51" s="565">
        <v>8</v>
      </c>
      <c r="K51" s="565">
        <v>26888</v>
      </c>
      <c r="L51" s="548">
        <v>0.53755572882304725</v>
      </c>
      <c r="M51" s="548">
        <v>3361</v>
      </c>
      <c r="N51" s="565">
        <v>14</v>
      </c>
      <c r="O51" s="565">
        <v>49826</v>
      </c>
      <c r="P51" s="553">
        <v>0.99614146624282773</v>
      </c>
      <c r="Q51" s="566">
        <v>3559</v>
      </c>
    </row>
    <row r="52" spans="1:17" ht="14.4" customHeight="1" x14ac:dyDescent="0.3">
      <c r="A52" s="547" t="s">
        <v>1103</v>
      </c>
      <c r="B52" s="548" t="s">
        <v>443</v>
      </c>
      <c r="C52" s="548" t="s">
        <v>1043</v>
      </c>
      <c r="D52" s="548" t="s">
        <v>1126</v>
      </c>
      <c r="E52" s="548" t="s">
        <v>1127</v>
      </c>
      <c r="F52" s="565">
        <v>55</v>
      </c>
      <c r="G52" s="565">
        <v>469210</v>
      </c>
      <c r="H52" s="548">
        <v>1</v>
      </c>
      <c r="I52" s="548">
        <v>8531.0909090909099</v>
      </c>
      <c r="J52" s="565">
        <v>50</v>
      </c>
      <c r="K52" s="565">
        <v>429100</v>
      </c>
      <c r="L52" s="548">
        <v>0.91451588840817544</v>
      </c>
      <c r="M52" s="548">
        <v>8582</v>
      </c>
      <c r="N52" s="565">
        <v>39</v>
      </c>
      <c r="O52" s="565">
        <v>348543</v>
      </c>
      <c r="P52" s="553">
        <v>0.74282943671277257</v>
      </c>
      <c r="Q52" s="566">
        <v>8937</v>
      </c>
    </row>
    <row r="53" spans="1:17" ht="14.4" customHeight="1" x14ac:dyDescent="0.3">
      <c r="A53" s="547" t="s">
        <v>1103</v>
      </c>
      <c r="B53" s="548" t="s">
        <v>443</v>
      </c>
      <c r="C53" s="548" t="s">
        <v>1043</v>
      </c>
      <c r="D53" s="548" t="s">
        <v>1128</v>
      </c>
      <c r="E53" s="548" t="s">
        <v>1129</v>
      </c>
      <c r="F53" s="565">
        <v>7</v>
      </c>
      <c r="G53" s="565">
        <v>73050</v>
      </c>
      <c r="H53" s="548">
        <v>1</v>
      </c>
      <c r="I53" s="548">
        <v>10435.714285714286</v>
      </c>
      <c r="J53" s="565">
        <v>5</v>
      </c>
      <c r="K53" s="565">
        <v>52390</v>
      </c>
      <c r="L53" s="548">
        <v>0.71718001368925388</v>
      </c>
      <c r="M53" s="548">
        <v>10478</v>
      </c>
      <c r="N53" s="565">
        <v>3</v>
      </c>
      <c r="O53" s="565">
        <v>32787</v>
      </c>
      <c r="P53" s="553">
        <v>0.44882956878850105</v>
      </c>
      <c r="Q53" s="566">
        <v>10929</v>
      </c>
    </row>
    <row r="54" spans="1:17" ht="14.4" customHeight="1" x14ac:dyDescent="0.3">
      <c r="A54" s="547" t="s">
        <v>1103</v>
      </c>
      <c r="B54" s="548" t="s">
        <v>443</v>
      </c>
      <c r="C54" s="548" t="s">
        <v>1043</v>
      </c>
      <c r="D54" s="548" t="s">
        <v>1130</v>
      </c>
      <c r="E54" s="548" t="s">
        <v>1131</v>
      </c>
      <c r="F54" s="565">
        <v>14</v>
      </c>
      <c r="G54" s="565">
        <v>14346</v>
      </c>
      <c r="H54" s="548">
        <v>1</v>
      </c>
      <c r="I54" s="548">
        <v>1024.7142857142858</v>
      </c>
      <c r="J54" s="565">
        <v>7</v>
      </c>
      <c r="K54" s="565">
        <v>7252</v>
      </c>
      <c r="L54" s="548">
        <v>0.50550676146661089</v>
      </c>
      <c r="M54" s="548">
        <v>1036</v>
      </c>
      <c r="N54" s="565">
        <v>11</v>
      </c>
      <c r="O54" s="565">
        <v>12133</v>
      </c>
      <c r="P54" s="553">
        <v>0.84574097309354523</v>
      </c>
      <c r="Q54" s="566">
        <v>1103</v>
      </c>
    </row>
    <row r="55" spans="1:17" ht="14.4" customHeight="1" x14ac:dyDescent="0.3">
      <c r="A55" s="547" t="s">
        <v>1103</v>
      </c>
      <c r="B55" s="548" t="s">
        <v>443</v>
      </c>
      <c r="C55" s="548" t="s">
        <v>1043</v>
      </c>
      <c r="D55" s="548" t="s">
        <v>1132</v>
      </c>
      <c r="E55" s="548" t="s">
        <v>1133</v>
      </c>
      <c r="F55" s="565">
        <v>4</v>
      </c>
      <c r="G55" s="565">
        <v>2256</v>
      </c>
      <c r="H55" s="548">
        <v>1</v>
      </c>
      <c r="I55" s="548">
        <v>564</v>
      </c>
      <c r="J55" s="565">
        <v>2</v>
      </c>
      <c r="K55" s="565">
        <v>1138</v>
      </c>
      <c r="L55" s="548">
        <v>0.50443262411347523</v>
      </c>
      <c r="M55" s="548">
        <v>569</v>
      </c>
      <c r="N55" s="565">
        <v>6</v>
      </c>
      <c r="O55" s="565">
        <v>3618</v>
      </c>
      <c r="P55" s="553">
        <v>1.6037234042553192</v>
      </c>
      <c r="Q55" s="566">
        <v>603</v>
      </c>
    </row>
    <row r="56" spans="1:17" ht="14.4" customHeight="1" thickBot="1" x14ac:dyDescent="0.35">
      <c r="A56" s="555" t="s">
        <v>1103</v>
      </c>
      <c r="B56" s="556" t="s">
        <v>443</v>
      </c>
      <c r="C56" s="556" t="s">
        <v>1043</v>
      </c>
      <c r="D56" s="556" t="s">
        <v>1134</v>
      </c>
      <c r="E56" s="556" t="s">
        <v>1135</v>
      </c>
      <c r="F56" s="567">
        <v>2</v>
      </c>
      <c r="G56" s="567">
        <v>4820</v>
      </c>
      <c r="H56" s="556">
        <v>1</v>
      </c>
      <c r="I56" s="556">
        <v>2410</v>
      </c>
      <c r="J56" s="567"/>
      <c r="K56" s="567"/>
      <c r="L56" s="556"/>
      <c r="M56" s="556"/>
      <c r="N56" s="567"/>
      <c r="O56" s="567"/>
      <c r="P56" s="561"/>
      <c r="Q56" s="56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680466</v>
      </c>
      <c r="C3" s="222">
        <f t="shared" ref="C3:R3" si="0">SUBTOTAL(9,C6:C1048576)</f>
        <v>7</v>
      </c>
      <c r="D3" s="222">
        <f t="shared" si="0"/>
        <v>575878</v>
      </c>
      <c r="E3" s="222">
        <f t="shared" si="0"/>
        <v>5.2568073273422131</v>
      </c>
      <c r="F3" s="222">
        <f t="shared" si="0"/>
        <v>900227.33000000007</v>
      </c>
      <c r="G3" s="225">
        <f>IF(B3&lt;&gt;0,F3/B3,"")</f>
        <v>1.3229571058656864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1137</v>
      </c>
      <c r="B6" s="619"/>
      <c r="C6" s="541"/>
      <c r="D6" s="619">
        <v>1448</v>
      </c>
      <c r="E6" s="541"/>
      <c r="F6" s="619"/>
      <c r="G6" s="546"/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1138</v>
      </c>
      <c r="B7" s="620">
        <v>4316</v>
      </c>
      <c r="C7" s="548">
        <v>1</v>
      </c>
      <c r="D7" s="620">
        <v>1448</v>
      </c>
      <c r="E7" s="548">
        <v>0.33549582947173306</v>
      </c>
      <c r="F7" s="620">
        <v>1519</v>
      </c>
      <c r="G7" s="553">
        <v>0.3519462465245598</v>
      </c>
      <c r="H7" s="620"/>
      <c r="I7" s="548"/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1139</v>
      </c>
      <c r="B8" s="620">
        <v>2705</v>
      </c>
      <c r="C8" s="548">
        <v>1</v>
      </c>
      <c r="D8" s="620"/>
      <c r="E8" s="548"/>
      <c r="F8" s="620">
        <v>33.33</v>
      </c>
      <c r="G8" s="553">
        <v>1.2321626617375231E-2</v>
      </c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1140</v>
      </c>
      <c r="B9" s="620">
        <v>169728</v>
      </c>
      <c r="C9" s="548">
        <v>1</v>
      </c>
      <c r="D9" s="620">
        <v>192309</v>
      </c>
      <c r="E9" s="548">
        <v>1.1330422794117647</v>
      </c>
      <c r="F9" s="620">
        <v>442506</v>
      </c>
      <c r="G9" s="553">
        <v>2.6071479072398192</v>
      </c>
      <c r="H9" s="620"/>
      <c r="I9" s="548"/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x14ac:dyDescent="0.3">
      <c r="A10" s="573" t="s">
        <v>1141</v>
      </c>
      <c r="B10" s="620">
        <v>233538</v>
      </c>
      <c r="C10" s="548">
        <v>1</v>
      </c>
      <c r="D10" s="620">
        <v>305984</v>
      </c>
      <c r="E10" s="548">
        <v>1.3102107579922753</v>
      </c>
      <c r="F10" s="620">
        <v>365484</v>
      </c>
      <c r="G10" s="553">
        <v>1.5649872825835625</v>
      </c>
      <c r="H10" s="620"/>
      <c r="I10" s="548"/>
      <c r="J10" s="620"/>
      <c r="K10" s="548"/>
      <c r="L10" s="620"/>
      <c r="M10" s="553"/>
      <c r="N10" s="620"/>
      <c r="O10" s="548"/>
      <c r="P10" s="620"/>
      <c r="Q10" s="548"/>
      <c r="R10" s="620"/>
      <c r="S10" s="554"/>
    </row>
    <row r="11" spans="1:19" ht="14.4" customHeight="1" x14ac:dyDescent="0.3">
      <c r="A11" s="573" t="s">
        <v>1142</v>
      </c>
      <c r="B11" s="620">
        <v>181058</v>
      </c>
      <c r="C11" s="548">
        <v>1</v>
      </c>
      <c r="D11" s="620">
        <v>39807</v>
      </c>
      <c r="E11" s="548">
        <v>0.21985772514884733</v>
      </c>
      <c r="F11" s="620">
        <v>31915</v>
      </c>
      <c r="G11" s="553">
        <v>0.1762694827071988</v>
      </c>
      <c r="H11" s="620"/>
      <c r="I11" s="548"/>
      <c r="J11" s="620"/>
      <c r="K11" s="548"/>
      <c r="L11" s="620"/>
      <c r="M11" s="553"/>
      <c r="N11" s="620"/>
      <c r="O11" s="548"/>
      <c r="P11" s="620"/>
      <c r="Q11" s="548"/>
      <c r="R11" s="620"/>
      <c r="S11" s="554"/>
    </row>
    <row r="12" spans="1:19" ht="14.4" customHeight="1" x14ac:dyDescent="0.3">
      <c r="A12" s="573" t="s">
        <v>1143</v>
      </c>
      <c r="B12" s="620">
        <v>87685</v>
      </c>
      <c r="C12" s="548">
        <v>1</v>
      </c>
      <c r="D12" s="620">
        <v>32166</v>
      </c>
      <c r="E12" s="548">
        <v>0.36683583281062898</v>
      </c>
      <c r="F12" s="620">
        <v>51971</v>
      </c>
      <c r="G12" s="553">
        <v>0.59270114614814395</v>
      </c>
      <c r="H12" s="620"/>
      <c r="I12" s="548"/>
      <c r="J12" s="620"/>
      <c r="K12" s="548"/>
      <c r="L12" s="620"/>
      <c r="M12" s="553"/>
      <c r="N12" s="620"/>
      <c r="O12" s="548"/>
      <c r="P12" s="620"/>
      <c r="Q12" s="548"/>
      <c r="R12" s="620"/>
      <c r="S12" s="554"/>
    </row>
    <row r="13" spans="1:19" ht="14.4" customHeight="1" x14ac:dyDescent="0.3">
      <c r="A13" s="573" t="s">
        <v>1144</v>
      </c>
      <c r="B13" s="620"/>
      <c r="C13" s="548"/>
      <c r="D13" s="620"/>
      <c r="E13" s="548"/>
      <c r="F13" s="620">
        <v>1519</v>
      </c>
      <c r="G13" s="553"/>
      <c r="H13" s="620"/>
      <c r="I13" s="548"/>
      <c r="J13" s="620"/>
      <c r="K13" s="548"/>
      <c r="L13" s="620"/>
      <c r="M13" s="553"/>
      <c r="N13" s="620"/>
      <c r="O13" s="548"/>
      <c r="P13" s="620"/>
      <c r="Q13" s="548"/>
      <c r="R13" s="620"/>
      <c r="S13" s="554"/>
    </row>
    <row r="14" spans="1:19" ht="14.4" customHeight="1" x14ac:dyDescent="0.3">
      <c r="A14" s="573" t="s">
        <v>1145</v>
      </c>
      <c r="B14" s="620">
        <v>1436</v>
      </c>
      <c r="C14" s="548">
        <v>1</v>
      </c>
      <c r="D14" s="620">
        <v>2716</v>
      </c>
      <c r="E14" s="548">
        <v>1.8913649025069639</v>
      </c>
      <c r="F14" s="620">
        <v>2478</v>
      </c>
      <c r="G14" s="553">
        <v>1.7256267409470751</v>
      </c>
      <c r="H14" s="620"/>
      <c r="I14" s="548"/>
      <c r="J14" s="620"/>
      <c r="K14" s="548"/>
      <c r="L14" s="620"/>
      <c r="M14" s="553"/>
      <c r="N14" s="620"/>
      <c r="O14" s="548"/>
      <c r="P14" s="620"/>
      <c r="Q14" s="548"/>
      <c r="R14" s="620"/>
      <c r="S14" s="554"/>
    </row>
    <row r="15" spans="1:19" ht="14.4" customHeight="1" thickBot="1" x14ac:dyDescent="0.35">
      <c r="A15" s="622" t="s">
        <v>1146</v>
      </c>
      <c r="B15" s="621"/>
      <c r="C15" s="556"/>
      <c r="D15" s="621"/>
      <c r="E15" s="556"/>
      <c r="F15" s="621">
        <v>2802</v>
      </c>
      <c r="G15" s="561"/>
      <c r="H15" s="621"/>
      <c r="I15" s="556"/>
      <c r="J15" s="621"/>
      <c r="K15" s="556"/>
      <c r="L15" s="621"/>
      <c r="M15" s="561"/>
      <c r="N15" s="621"/>
      <c r="O15" s="556"/>
      <c r="P15" s="621"/>
      <c r="Q15" s="556"/>
      <c r="R15" s="621"/>
      <c r="S15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1159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358</v>
      </c>
      <c r="G3" s="103">
        <f t="shared" si="0"/>
        <v>680466</v>
      </c>
      <c r="H3" s="103"/>
      <c r="I3" s="103"/>
      <c r="J3" s="103">
        <f t="shared" si="0"/>
        <v>278</v>
      </c>
      <c r="K3" s="103">
        <f t="shared" si="0"/>
        <v>575878</v>
      </c>
      <c r="L3" s="103"/>
      <c r="M3" s="103"/>
      <c r="N3" s="103">
        <f t="shared" si="0"/>
        <v>435</v>
      </c>
      <c r="O3" s="103">
        <f t="shared" si="0"/>
        <v>900227.33000000007</v>
      </c>
      <c r="P3" s="75">
        <f>IF(G3=0,0,O3/G3)</f>
        <v>1.3229571058656864</v>
      </c>
      <c r="Q3" s="104">
        <f>IF(N3=0,0,O3/N3)</f>
        <v>2069.4881149425287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1147</v>
      </c>
      <c r="B6" s="541" t="s">
        <v>1048</v>
      </c>
      <c r="C6" s="541" t="s">
        <v>1043</v>
      </c>
      <c r="D6" s="541" t="s">
        <v>1067</v>
      </c>
      <c r="E6" s="541" t="s">
        <v>1068</v>
      </c>
      <c r="F6" s="116"/>
      <c r="G6" s="116"/>
      <c r="H6" s="116"/>
      <c r="I6" s="116"/>
      <c r="J6" s="116">
        <v>1</v>
      </c>
      <c r="K6" s="116">
        <v>1448</v>
      </c>
      <c r="L6" s="116"/>
      <c r="M6" s="116">
        <v>1448</v>
      </c>
      <c r="N6" s="116"/>
      <c r="O6" s="116"/>
      <c r="P6" s="546"/>
      <c r="Q6" s="564"/>
    </row>
    <row r="7" spans="1:17" ht="14.4" customHeight="1" x14ac:dyDescent="0.3">
      <c r="A7" s="547" t="s">
        <v>1148</v>
      </c>
      <c r="B7" s="548" t="s">
        <v>1048</v>
      </c>
      <c r="C7" s="548" t="s">
        <v>1043</v>
      </c>
      <c r="D7" s="548" t="s">
        <v>1065</v>
      </c>
      <c r="E7" s="548" t="s">
        <v>1066</v>
      </c>
      <c r="F7" s="565">
        <v>2</v>
      </c>
      <c r="G7" s="565">
        <v>0</v>
      </c>
      <c r="H7" s="565"/>
      <c r="I7" s="565">
        <v>0</v>
      </c>
      <c r="J7" s="565"/>
      <c r="K7" s="565"/>
      <c r="L7" s="565"/>
      <c r="M7" s="565"/>
      <c r="N7" s="565"/>
      <c r="O7" s="565"/>
      <c r="P7" s="553"/>
      <c r="Q7" s="566"/>
    </row>
    <row r="8" spans="1:17" ht="14.4" customHeight="1" x14ac:dyDescent="0.3">
      <c r="A8" s="547" t="s">
        <v>1148</v>
      </c>
      <c r="B8" s="548" t="s">
        <v>1048</v>
      </c>
      <c r="C8" s="548" t="s">
        <v>1043</v>
      </c>
      <c r="D8" s="548" t="s">
        <v>1067</v>
      </c>
      <c r="E8" s="548" t="s">
        <v>1068</v>
      </c>
      <c r="F8" s="565">
        <v>3</v>
      </c>
      <c r="G8" s="565">
        <v>4316</v>
      </c>
      <c r="H8" s="565">
        <v>1</v>
      </c>
      <c r="I8" s="565">
        <v>1438.6666666666667</v>
      </c>
      <c r="J8" s="565">
        <v>1</v>
      </c>
      <c r="K8" s="565">
        <v>1448</v>
      </c>
      <c r="L8" s="565">
        <v>0.33549582947173306</v>
      </c>
      <c r="M8" s="565">
        <v>1448</v>
      </c>
      <c r="N8" s="565">
        <v>1</v>
      </c>
      <c r="O8" s="565">
        <v>1519</v>
      </c>
      <c r="P8" s="553">
        <v>0.3519462465245598</v>
      </c>
      <c r="Q8" s="566">
        <v>1519</v>
      </c>
    </row>
    <row r="9" spans="1:17" ht="14.4" customHeight="1" x14ac:dyDescent="0.3">
      <c r="A9" s="547" t="s">
        <v>1149</v>
      </c>
      <c r="B9" s="548" t="s">
        <v>1048</v>
      </c>
      <c r="C9" s="548" t="s">
        <v>1043</v>
      </c>
      <c r="D9" s="548" t="s">
        <v>1065</v>
      </c>
      <c r="E9" s="548" t="s">
        <v>1066</v>
      </c>
      <c r="F9" s="565"/>
      <c r="G9" s="565"/>
      <c r="H9" s="565"/>
      <c r="I9" s="565"/>
      <c r="J9" s="565"/>
      <c r="K9" s="565"/>
      <c r="L9" s="565"/>
      <c r="M9" s="565"/>
      <c r="N9" s="565">
        <v>1</v>
      </c>
      <c r="O9" s="565">
        <v>33.33</v>
      </c>
      <c r="P9" s="553"/>
      <c r="Q9" s="566">
        <v>33.33</v>
      </c>
    </row>
    <row r="10" spans="1:17" ht="14.4" customHeight="1" x14ac:dyDescent="0.3">
      <c r="A10" s="547" t="s">
        <v>1149</v>
      </c>
      <c r="B10" s="548" t="s">
        <v>1048</v>
      </c>
      <c r="C10" s="548" t="s">
        <v>1043</v>
      </c>
      <c r="D10" s="548" t="s">
        <v>1067</v>
      </c>
      <c r="E10" s="548" t="s">
        <v>1068</v>
      </c>
      <c r="F10" s="565">
        <v>1</v>
      </c>
      <c r="G10" s="565">
        <v>1444</v>
      </c>
      <c r="H10" s="565">
        <v>1</v>
      </c>
      <c r="I10" s="565">
        <v>1444</v>
      </c>
      <c r="J10" s="565"/>
      <c r="K10" s="565"/>
      <c r="L10" s="565"/>
      <c r="M10" s="565"/>
      <c r="N10" s="565"/>
      <c r="O10" s="565"/>
      <c r="P10" s="553"/>
      <c r="Q10" s="566"/>
    </row>
    <row r="11" spans="1:17" ht="14.4" customHeight="1" x14ac:dyDescent="0.3">
      <c r="A11" s="547" t="s">
        <v>1149</v>
      </c>
      <c r="B11" s="548" t="s">
        <v>1103</v>
      </c>
      <c r="C11" s="548" t="s">
        <v>1043</v>
      </c>
      <c r="D11" s="548" t="s">
        <v>1108</v>
      </c>
      <c r="E11" s="548" t="s">
        <v>1109</v>
      </c>
      <c r="F11" s="565">
        <v>1</v>
      </c>
      <c r="G11" s="565">
        <v>1261</v>
      </c>
      <c r="H11" s="565">
        <v>1</v>
      </c>
      <c r="I11" s="565">
        <v>1261</v>
      </c>
      <c r="J11" s="565"/>
      <c r="K11" s="565"/>
      <c r="L11" s="565"/>
      <c r="M11" s="565"/>
      <c r="N11" s="565"/>
      <c r="O11" s="565"/>
      <c r="P11" s="553"/>
      <c r="Q11" s="566"/>
    </row>
    <row r="12" spans="1:17" ht="14.4" customHeight="1" x14ac:dyDescent="0.3">
      <c r="A12" s="547" t="s">
        <v>1150</v>
      </c>
      <c r="B12" s="548" t="s">
        <v>1048</v>
      </c>
      <c r="C12" s="548" t="s">
        <v>1043</v>
      </c>
      <c r="D12" s="548" t="s">
        <v>1057</v>
      </c>
      <c r="E12" s="548" t="s">
        <v>1058</v>
      </c>
      <c r="F12" s="565"/>
      <c r="G12" s="565"/>
      <c r="H12" s="565"/>
      <c r="I12" s="565"/>
      <c r="J12" s="565"/>
      <c r="K12" s="565"/>
      <c r="L12" s="565"/>
      <c r="M12" s="565"/>
      <c r="N12" s="565">
        <v>2</v>
      </c>
      <c r="O12" s="565">
        <v>4956</v>
      </c>
      <c r="P12" s="553"/>
      <c r="Q12" s="566">
        <v>2478</v>
      </c>
    </row>
    <row r="13" spans="1:17" ht="14.4" customHeight="1" x14ac:dyDescent="0.3">
      <c r="A13" s="547" t="s">
        <v>1150</v>
      </c>
      <c r="B13" s="548" t="s">
        <v>1048</v>
      </c>
      <c r="C13" s="548" t="s">
        <v>1043</v>
      </c>
      <c r="D13" s="548" t="s">
        <v>1063</v>
      </c>
      <c r="E13" s="548" t="s">
        <v>1064</v>
      </c>
      <c r="F13" s="565">
        <v>8</v>
      </c>
      <c r="G13" s="565">
        <v>2590</v>
      </c>
      <c r="H13" s="565">
        <v>1</v>
      </c>
      <c r="I13" s="565">
        <v>323.75</v>
      </c>
      <c r="J13" s="565">
        <v>5</v>
      </c>
      <c r="K13" s="565">
        <v>1635</v>
      </c>
      <c r="L13" s="565">
        <v>0.63127413127413123</v>
      </c>
      <c r="M13" s="565">
        <v>327</v>
      </c>
      <c r="N13" s="565">
        <v>7</v>
      </c>
      <c r="O13" s="565">
        <v>2450</v>
      </c>
      <c r="P13" s="553">
        <v>0.94594594594594594</v>
      </c>
      <c r="Q13" s="566">
        <v>350</v>
      </c>
    </row>
    <row r="14" spans="1:17" ht="14.4" customHeight="1" x14ac:dyDescent="0.3">
      <c r="A14" s="547" t="s">
        <v>1150</v>
      </c>
      <c r="B14" s="548" t="s">
        <v>1048</v>
      </c>
      <c r="C14" s="548" t="s">
        <v>1043</v>
      </c>
      <c r="D14" s="548" t="s">
        <v>1065</v>
      </c>
      <c r="E14" s="548" t="s">
        <v>1066</v>
      </c>
      <c r="F14" s="565">
        <v>4</v>
      </c>
      <c r="G14" s="565">
        <v>0</v>
      </c>
      <c r="H14" s="565"/>
      <c r="I14" s="565">
        <v>0</v>
      </c>
      <c r="J14" s="565"/>
      <c r="K14" s="565"/>
      <c r="L14" s="565"/>
      <c r="M14" s="565"/>
      <c r="N14" s="565"/>
      <c r="O14" s="565"/>
      <c r="P14" s="553"/>
      <c r="Q14" s="566"/>
    </row>
    <row r="15" spans="1:17" ht="14.4" customHeight="1" x14ac:dyDescent="0.3">
      <c r="A15" s="547" t="s">
        <v>1150</v>
      </c>
      <c r="B15" s="548" t="s">
        <v>1048</v>
      </c>
      <c r="C15" s="548" t="s">
        <v>1043</v>
      </c>
      <c r="D15" s="548" t="s">
        <v>1067</v>
      </c>
      <c r="E15" s="548" t="s">
        <v>1068</v>
      </c>
      <c r="F15" s="565">
        <v>9</v>
      </c>
      <c r="G15" s="565">
        <v>12980</v>
      </c>
      <c r="H15" s="565">
        <v>1</v>
      </c>
      <c r="I15" s="565">
        <v>1442.2222222222222</v>
      </c>
      <c r="J15" s="565">
        <v>3</v>
      </c>
      <c r="K15" s="565">
        <v>4344</v>
      </c>
      <c r="L15" s="565">
        <v>0.3346687211093991</v>
      </c>
      <c r="M15" s="565">
        <v>1448</v>
      </c>
      <c r="N15" s="565">
        <v>7</v>
      </c>
      <c r="O15" s="565">
        <v>10633</v>
      </c>
      <c r="P15" s="553">
        <v>0.81918335901386752</v>
      </c>
      <c r="Q15" s="566">
        <v>1519</v>
      </c>
    </row>
    <row r="16" spans="1:17" ht="14.4" customHeight="1" x14ac:dyDescent="0.3">
      <c r="A16" s="547" t="s">
        <v>1150</v>
      </c>
      <c r="B16" s="548" t="s">
        <v>1084</v>
      </c>
      <c r="C16" s="548" t="s">
        <v>1043</v>
      </c>
      <c r="D16" s="548" t="s">
        <v>1085</v>
      </c>
      <c r="E16" s="548" t="s">
        <v>1086</v>
      </c>
      <c r="F16" s="565">
        <v>1</v>
      </c>
      <c r="G16" s="565">
        <v>438</v>
      </c>
      <c r="H16" s="565">
        <v>1</v>
      </c>
      <c r="I16" s="565">
        <v>438</v>
      </c>
      <c r="J16" s="565"/>
      <c r="K16" s="565"/>
      <c r="L16" s="565"/>
      <c r="M16" s="565"/>
      <c r="N16" s="565"/>
      <c r="O16" s="565"/>
      <c r="P16" s="553"/>
      <c r="Q16" s="566"/>
    </row>
    <row r="17" spans="1:17" ht="14.4" customHeight="1" x14ac:dyDescent="0.3">
      <c r="A17" s="547" t="s">
        <v>1150</v>
      </c>
      <c r="B17" s="548" t="s">
        <v>1084</v>
      </c>
      <c r="C17" s="548" t="s">
        <v>1043</v>
      </c>
      <c r="D17" s="548" t="s">
        <v>1095</v>
      </c>
      <c r="E17" s="548" t="s">
        <v>1096</v>
      </c>
      <c r="F17" s="565">
        <v>5</v>
      </c>
      <c r="G17" s="565">
        <v>3215</v>
      </c>
      <c r="H17" s="565">
        <v>1</v>
      </c>
      <c r="I17" s="565">
        <v>643</v>
      </c>
      <c r="J17" s="565"/>
      <c r="K17" s="565"/>
      <c r="L17" s="565"/>
      <c r="M17" s="565"/>
      <c r="N17" s="565"/>
      <c r="O17" s="565"/>
      <c r="P17" s="553"/>
      <c r="Q17" s="566"/>
    </row>
    <row r="18" spans="1:17" ht="14.4" customHeight="1" x14ac:dyDescent="0.3">
      <c r="A18" s="547" t="s">
        <v>1150</v>
      </c>
      <c r="B18" s="548" t="s">
        <v>1084</v>
      </c>
      <c r="C18" s="548" t="s">
        <v>1043</v>
      </c>
      <c r="D18" s="548" t="s">
        <v>1099</v>
      </c>
      <c r="E18" s="548" t="s">
        <v>1100</v>
      </c>
      <c r="F18" s="565">
        <v>2</v>
      </c>
      <c r="G18" s="565">
        <v>1172</v>
      </c>
      <c r="H18" s="565">
        <v>1</v>
      </c>
      <c r="I18" s="565">
        <v>586</v>
      </c>
      <c r="J18" s="565"/>
      <c r="K18" s="565"/>
      <c r="L18" s="565"/>
      <c r="M18" s="565"/>
      <c r="N18" s="565"/>
      <c r="O18" s="565"/>
      <c r="P18" s="553"/>
      <c r="Q18" s="566"/>
    </row>
    <row r="19" spans="1:17" ht="14.4" customHeight="1" x14ac:dyDescent="0.3">
      <c r="A19" s="547" t="s">
        <v>1150</v>
      </c>
      <c r="B19" s="548" t="s">
        <v>1084</v>
      </c>
      <c r="C19" s="548" t="s">
        <v>1043</v>
      </c>
      <c r="D19" s="548" t="s">
        <v>1101</v>
      </c>
      <c r="E19" s="548" t="s">
        <v>1102</v>
      </c>
      <c r="F19" s="565">
        <v>1</v>
      </c>
      <c r="G19" s="565">
        <v>816</v>
      </c>
      <c r="H19" s="565">
        <v>1</v>
      </c>
      <c r="I19" s="565">
        <v>816</v>
      </c>
      <c r="J19" s="565"/>
      <c r="K19" s="565"/>
      <c r="L19" s="565"/>
      <c r="M19" s="565"/>
      <c r="N19" s="565"/>
      <c r="O19" s="565"/>
      <c r="P19" s="553"/>
      <c r="Q19" s="566"/>
    </row>
    <row r="20" spans="1:17" ht="14.4" customHeight="1" x14ac:dyDescent="0.3">
      <c r="A20" s="547" t="s">
        <v>1150</v>
      </c>
      <c r="B20" s="548" t="s">
        <v>1103</v>
      </c>
      <c r="C20" s="548" t="s">
        <v>1043</v>
      </c>
      <c r="D20" s="548" t="s">
        <v>1106</v>
      </c>
      <c r="E20" s="548" t="s">
        <v>1107</v>
      </c>
      <c r="F20" s="565">
        <v>2</v>
      </c>
      <c r="G20" s="565">
        <v>594</v>
      </c>
      <c r="H20" s="565">
        <v>1</v>
      </c>
      <c r="I20" s="565">
        <v>297</v>
      </c>
      <c r="J20" s="565">
        <v>3</v>
      </c>
      <c r="K20" s="565">
        <v>909</v>
      </c>
      <c r="L20" s="565">
        <v>1.5303030303030303</v>
      </c>
      <c r="M20" s="565">
        <v>303</v>
      </c>
      <c r="N20" s="565">
        <v>2</v>
      </c>
      <c r="O20" s="565">
        <v>628</v>
      </c>
      <c r="P20" s="553">
        <v>1.0572390572390573</v>
      </c>
      <c r="Q20" s="566">
        <v>314</v>
      </c>
    </row>
    <row r="21" spans="1:17" ht="14.4" customHeight="1" x14ac:dyDescent="0.3">
      <c r="A21" s="547" t="s">
        <v>1150</v>
      </c>
      <c r="B21" s="548" t="s">
        <v>1103</v>
      </c>
      <c r="C21" s="548" t="s">
        <v>1043</v>
      </c>
      <c r="D21" s="548" t="s">
        <v>1108</v>
      </c>
      <c r="E21" s="548" t="s">
        <v>1109</v>
      </c>
      <c r="F21" s="565">
        <v>3</v>
      </c>
      <c r="G21" s="565">
        <v>3751</v>
      </c>
      <c r="H21" s="565">
        <v>1</v>
      </c>
      <c r="I21" s="565">
        <v>1250.3333333333333</v>
      </c>
      <c r="J21" s="565">
        <v>3</v>
      </c>
      <c r="K21" s="565">
        <v>3804</v>
      </c>
      <c r="L21" s="565">
        <v>1.0141295654492135</v>
      </c>
      <c r="M21" s="565">
        <v>1268</v>
      </c>
      <c r="N21" s="565">
        <v>11</v>
      </c>
      <c r="O21" s="565">
        <v>14113</v>
      </c>
      <c r="P21" s="553">
        <v>3.7624633431085046</v>
      </c>
      <c r="Q21" s="566">
        <v>1283</v>
      </c>
    </row>
    <row r="22" spans="1:17" ht="14.4" customHeight="1" x14ac:dyDescent="0.3">
      <c r="A22" s="547" t="s">
        <v>1150</v>
      </c>
      <c r="B22" s="548" t="s">
        <v>1103</v>
      </c>
      <c r="C22" s="548" t="s">
        <v>1043</v>
      </c>
      <c r="D22" s="548" t="s">
        <v>1116</v>
      </c>
      <c r="E22" s="548" t="s">
        <v>1117</v>
      </c>
      <c r="F22" s="565">
        <v>56</v>
      </c>
      <c r="G22" s="565">
        <v>125426</v>
      </c>
      <c r="H22" s="565">
        <v>1</v>
      </c>
      <c r="I22" s="565">
        <v>2239.75</v>
      </c>
      <c r="J22" s="565">
        <v>66</v>
      </c>
      <c r="K22" s="565">
        <v>149424</v>
      </c>
      <c r="L22" s="565">
        <v>1.1913319407459377</v>
      </c>
      <c r="M22" s="565">
        <v>2264</v>
      </c>
      <c r="N22" s="565">
        <v>170</v>
      </c>
      <c r="O22" s="565">
        <v>389980</v>
      </c>
      <c r="P22" s="553">
        <v>3.1092436974789917</v>
      </c>
      <c r="Q22" s="566">
        <v>2294</v>
      </c>
    </row>
    <row r="23" spans="1:17" ht="14.4" customHeight="1" x14ac:dyDescent="0.3">
      <c r="A23" s="547" t="s">
        <v>1150</v>
      </c>
      <c r="B23" s="548" t="s">
        <v>1103</v>
      </c>
      <c r="C23" s="548" t="s">
        <v>1043</v>
      </c>
      <c r="D23" s="548" t="s">
        <v>1120</v>
      </c>
      <c r="E23" s="548" t="s">
        <v>1121</v>
      </c>
      <c r="F23" s="565">
        <v>2</v>
      </c>
      <c r="G23" s="565">
        <v>1746</v>
      </c>
      <c r="H23" s="565">
        <v>1</v>
      </c>
      <c r="I23" s="565">
        <v>873</v>
      </c>
      <c r="J23" s="565">
        <v>3</v>
      </c>
      <c r="K23" s="565">
        <v>2655</v>
      </c>
      <c r="L23" s="565">
        <v>1.5206185567010309</v>
      </c>
      <c r="M23" s="565">
        <v>885</v>
      </c>
      <c r="N23" s="565">
        <v>2</v>
      </c>
      <c r="O23" s="565">
        <v>1872</v>
      </c>
      <c r="P23" s="553">
        <v>1.0721649484536082</v>
      </c>
      <c r="Q23" s="566">
        <v>936</v>
      </c>
    </row>
    <row r="24" spans="1:17" ht="14.4" customHeight="1" x14ac:dyDescent="0.3">
      <c r="A24" s="547" t="s">
        <v>1150</v>
      </c>
      <c r="B24" s="548" t="s">
        <v>1103</v>
      </c>
      <c r="C24" s="548" t="s">
        <v>1043</v>
      </c>
      <c r="D24" s="548" t="s">
        <v>1126</v>
      </c>
      <c r="E24" s="548" t="s">
        <v>1127</v>
      </c>
      <c r="F24" s="565">
        <v>2</v>
      </c>
      <c r="G24" s="565">
        <v>17000</v>
      </c>
      <c r="H24" s="565">
        <v>1</v>
      </c>
      <c r="I24" s="565">
        <v>8500</v>
      </c>
      <c r="J24" s="565">
        <v>1</v>
      </c>
      <c r="K24" s="565">
        <v>8582</v>
      </c>
      <c r="L24" s="565">
        <v>0.50482352941176467</v>
      </c>
      <c r="M24" s="565">
        <v>8582</v>
      </c>
      <c r="N24" s="565">
        <v>2</v>
      </c>
      <c r="O24" s="565">
        <v>17874</v>
      </c>
      <c r="P24" s="553">
        <v>1.0514117647058823</v>
      </c>
      <c r="Q24" s="566">
        <v>8937</v>
      </c>
    </row>
    <row r="25" spans="1:17" ht="14.4" customHeight="1" x14ac:dyDescent="0.3">
      <c r="A25" s="547" t="s">
        <v>1150</v>
      </c>
      <c r="B25" s="548" t="s">
        <v>1103</v>
      </c>
      <c r="C25" s="548" t="s">
        <v>1043</v>
      </c>
      <c r="D25" s="548" t="s">
        <v>1128</v>
      </c>
      <c r="E25" s="548" t="s">
        <v>1129</v>
      </c>
      <c r="F25" s="565"/>
      <c r="G25" s="565"/>
      <c r="H25" s="565"/>
      <c r="I25" s="565"/>
      <c r="J25" s="565">
        <v>2</v>
      </c>
      <c r="K25" s="565">
        <v>20956</v>
      </c>
      <c r="L25" s="565"/>
      <c r="M25" s="565">
        <v>10478</v>
      </c>
      <c r="N25" s="565"/>
      <c r="O25" s="565"/>
      <c r="P25" s="553"/>
      <c r="Q25" s="566"/>
    </row>
    <row r="26" spans="1:17" ht="14.4" customHeight="1" x14ac:dyDescent="0.3">
      <c r="A26" s="547" t="s">
        <v>1151</v>
      </c>
      <c r="B26" s="548" t="s">
        <v>1048</v>
      </c>
      <c r="C26" s="548" t="s">
        <v>1043</v>
      </c>
      <c r="D26" s="548" t="s">
        <v>1057</v>
      </c>
      <c r="E26" s="548" t="s">
        <v>1058</v>
      </c>
      <c r="F26" s="565">
        <v>5</v>
      </c>
      <c r="G26" s="565">
        <v>11629</v>
      </c>
      <c r="H26" s="565">
        <v>1</v>
      </c>
      <c r="I26" s="565">
        <v>2325.8000000000002</v>
      </c>
      <c r="J26" s="565">
        <v>5</v>
      </c>
      <c r="K26" s="565">
        <v>11680</v>
      </c>
      <c r="L26" s="565">
        <v>1.004385587754751</v>
      </c>
      <c r="M26" s="565">
        <v>2336</v>
      </c>
      <c r="N26" s="565">
        <v>5</v>
      </c>
      <c r="O26" s="565">
        <v>12390</v>
      </c>
      <c r="P26" s="553">
        <v>1.0654398486542265</v>
      </c>
      <c r="Q26" s="566">
        <v>2478</v>
      </c>
    </row>
    <row r="27" spans="1:17" ht="14.4" customHeight="1" x14ac:dyDescent="0.3">
      <c r="A27" s="547" t="s">
        <v>1151</v>
      </c>
      <c r="B27" s="548" t="s">
        <v>1048</v>
      </c>
      <c r="C27" s="548" t="s">
        <v>1043</v>
      </c>
      <c r="D27" s="548" t="s">
        <v>1063</v>
      </c>
      <c r="E27" s="548" t="s">
        <v>1064</v>
      </c>
      <c r="F27" s="565">
        <v>4</v>
      </c>
      <c r="G27" s="565">
        <v>1301</v>
      </c>
      <c r="H27" s="565">
        <v>1</v>
      </c>
      <c r="I27" s="565">
        <v>325.25</v>
      </c>
      <c r="J27" s="565">
        <v>13</v>
      </c>
      <c r="K27" s="565">
        <v>4251</v>
      </c>
      <c r="L27" s="565">
        <v>3.2674865488086087</v>
      </c>
      <c r="M27" s="565">
        <v>327</v>
      </c>
      <c r="N27" s="565">
        <v>17</v>
      </c>
      <c r="O27" s="565">
        <v>5950</v>
      </c>
      <c r="P27" s="553">
        <v>4.5734050730207532</v>
      </c>
      <c r="Q27" s="566">
        <v>350</v>
      </c>
    </row>
    <row r="28" spans="1:17" ht="14.4" customHeight="1" x14ac:dyDescent="0.3">
      <c r="A28" s="547" t="s">
        <v>1151</v>
      </c>
      <c r="B28" s="548" t="s">
        <v>1048</v>
      </c>
      <c r="C28" s="548" t="s">
        <v>1043</v>
      </c>
      <c r="D28" s="548" t="s">
        <v>1067</v>
      </c>
      <c r="E28" s="548" t="s">
        <v>1068</v>
      </c>
      <c r="F28" s="565">
        <v>11</v>
      </c>
      <c r="G28" s="565">
        <v>15868</v>
      </c>
      <c r="H28" s="565">
        <v>1</v>
      </c>
      <c r="I28" s="565">
        <v>1442.5454545454545</v>
      </c>
      <c r="J28" s="565">
        <v>9</v>
      </c>
      <c r="K28" s="565">
        <v>13032</v>
      </c>
      <c r="L28" s="565">
        <v>0.82127552306528862</v>
      </c>
      <c r="M28" s="565">
        <v>1448</v>
      </c>
      <c r="N28" s="565">
        <v>18</v>
      </c>
      <c r="O28" s="565">
        <v>27342</v>
      </c>
      <c r="P28" s="553">
        <v>1.7230904965969247</v>
      </c>
      <c r="Q28" s="566">
        <v>1519</v>
      </c>
    </row>
    <row r="29" spans="1:17" ht="14.4" customHeight="1" x14ac:dyDescent="0.3">
      <c r="A29" s="547" t="s">
        <v>1151</v>
      </c>
      <c r="B29" s="548" t="s">
        <v>1103</v>
      </c>
      <c r="C29" s="548" t="s">
        <v>1043</v>
      </c>
      <c r="D29" s="548" t="s">
        <v>1106</v>
      </c>
      <c r="E29" s="548" t="s">
        <v>1107</v>
      </c>
      <c r="F29" s="565">
        <v>5</v>
      </c>
      <c r="G29" s="565">
        <v>1497</v>
      </c>
      <c r="H29" s="565">
        <v>1</v>
      </c>
      <c r="I29" s="565">
        <v>299.39999999999998</v>
      </c>
      <c r="J29" s="565">
        <v>7</v>
      </c>
      <c r="K29" s="565">
        <v>2121</v>
      </c>
      <c r="L29" s="565">
        <v>1.4168336673346693</v>
      </c>
      <c r="M29" s="565">
        <v>303</v>
      </c>
      <c r="N29" s="565">
        <v>10</v>
      </c>
      <c r="O29" s="565">
        <v>3140</v>
      </c>
      <c r="P29" s="553">
        <v>2.0975283901135606</v>
      </c>
      <c r="Q29" s="566">
        <v>314</v>
      </c>
    </row>
    <row r="30" spans="1:17" ht="14.4" customHeight="1" x14ac:dyDescent="0.3">
      <c r="A30" s="547" t="s">
        <v>1151</v>
      </c>
      <c r="B30" s="548" t="s">
        <v>1103</v>
      </c>
      <c r="C30" s="548" t="s">
        <v>1043</v>
      </c>
      <c r="D30" s="548" t="s">
        <v>1108</v>
      </c>
      <c r="E30" s="548" t="s">
        <v>1109</v>
      </c>
      <c r="F30" s="565">
        <v>7</v>
      </c>
      <c r="G30" s="565">
        <v>8811</v>
      </c>
      <c r="H30" s="565">
        <v>1</v>
      </c>
      <c r="I30" s="565">
        <v>1258.7142857142858</v>
      </c>
      <c r="J30" s="565">
        <v>9</v>
      </c>
      <c r="K30" s="565">
        <v>11412</v>
      </c>
      <c r="L30" s="565">
        <v>1.2951991828396323</v>
      </c>
      <c r="M30" s="565">
        <v>1268</v>
      </c>
      <c r="N30" s="565">
        <v>14</v>
      </c>
      <c r="O30" s="565">
        <v>17962</v>
      </c>
      <c r="P30" s="553">
        <v>2.038588128475769</v>
      </c>
      <c r="Q30" s="566">
        <v>1283</v>
      </c>
    </row>
    <row r="31" spans="1:17" ht="14.4" customHeight="1" x14ac:dyDescent="0.3">
      <c r="A31" s="547" t="s">
        <v>1151</v>
      </c>
      <c r="B31" s="548" t="s">
        <v>1103</v>
      </c>
      <c r="C31" s="548" t="s">
        <v>1043</v>
      </c>
      <c r="D31" s="548" t="s">
        <v>1116</v>
      </c>
      <c r="E31" s="548" t="s">
        <v>1117</v>
      </c>
      <c r="F31" s="565">
        <v>72</v>
      </c>
      <c r="G31" s="565">
        <v>161700</v>
      </c>
      <c r="H31" s="565">
        <v>1</v>
      </c>
      <c r="I31" s="565">
        <v>2245.8333333333335</v>
      </c>
      <c r="J31" s="565">
        <v>96</v>
      </c>
      <c r="K31" s="565">
        <v>217344</v>
      </c>
      <c r="L31" s="565">
        <v>1.3441187384044526</v>
      </c>
      <c r="M31" s="565">
        <v>2264</v>
      </c>
      <c r="N31" s="565">
        <v>100</v>
      </c>
      <c r="O31" s="565">
        <v>229400</v>
      </c>
      <c r="P31" s="553">
        <v>1.4186765615337045</v>
      </c>
      <c r="Q31" s="566">
        <v>2294</v>
      </c>
    </row>
    <row r="32" spans="1:17" ht="14.4" customHeight="1" x14ac:dyDescent="0.3">
      <c r="A32" s="547" t="s">
        <v>1151</v>
      </c>
      <c r="B32" s="548" t="s">
        <v>1103</v>
      </c>
      <c r="C32" s="548" t="s">
        <v>1043</v>
      </c>
      <c r="D32" s="548" t="s">
        <v>1122</v>
      </c>
      <c r="E32" s="548" t="s">
        <v>1123</v>
      </c>
      <c r="F32" s="565">
        <v>5</v>
      </c>
      <c r="G32" s="565">
        <v>32732</v>
      </c>
      <c r="H32" s="565">
        <v>1</v>
      </c>
      <c r="I32" s="565">
        <v>6546.4</v>
      </c>
      <c r="J32" s="565">
        <v>7</v>
      </c>
      <c r="K32" s="565">
        <v>46144</v>
      </c>
      <c r="L32" s="565">
        <v>1.4097519247219845</v>
      </c>
      <c r="M32" s="565">
        <v>6592</v>
      </c>
      <c r="N32" s="565">
        <v>10</v>
      </c>
      <c r="O32" s="565">
        <v>69300</v>
      </c>
      <c r="P32" s="553">
        <v>2.1171941830624466</v>
      </c>
      <c r="Q32" s="566">
        <v>6930</v>
      </c>
    </row>
    <row r="33" spans="1:17" ht="14.4" customHeight="1" x14ac:dyDescent="0.3">
      <c r="A33" s="547" t="s">
        <v>1152</v>
      </c>
      <c r="B33" s="548" t="s">
        <v>1048</v>
      </c>
      <c r="C33" s="548" t="s">
        <v>1043</v>
      </c>
      <c r="D33" s="548" t="s">
        <v>1057</v>
      </c>
      <c r="E33" s="548" t="s">
        <v>1058</v>
      </c>
      <c r="F33" s="565">
        <v>3</v>
      </c>
      <c r="G33" s="565">
        <v>6955</v>
      </c>
      <c r="H33" s="565">
        <v>1</v>
      </c>
      <c r="I33" s="565">
        <v>2318.3333333333335</v>
      </c>
      <c r="J33" s="565"/>
      <c r="K33" s="565"/>
      <c r="L33" s="565"/>
      <c r="M33" s="565"/>
      <c r="N33" s="565"/>
      <c r="O33" s="565"/>
      <c r="P33" s="553"/>
      <c r="Q33" s="566"/>
    </row>
    <row r="34" spans="1:17" ht="14.4" customHeight="1" x14ac:dyDescent="0.3">
      <c r="A34" s="547" t="s">
        <v>1152</v>
      </c>
      <c r="B34" s="548" t="s">
        <v>1048</v>
      </c>
      <c r="C34" s="548" t="s">
        <v>1043</v>
      </c>
      <c r="D34" s="548" t="s">
        <v>1063</v>
      </c>
      <c r="E34" s="548" t="s">
        <v>1064</v>
      </c>
      <c r="F34" s="565">
        <v>5</v>
      </c>
      <c r="G34" s="565">
        <v>1627</v>
      </c>
      <c r="H34" s="565">
        <v>1</v>
      </c>
      <c r="I34" s="565">
        <v>325.39999999999998</v>
      </c>
      <c r="J34" s="565">
        <v>1</v>
      </c>
      <c r="K34" s="565">
        <v>327</v>
      </c>
      <c r="L34" s="565">
        <v>0.20098340503995082</v>
      </c>
      <c r="M34" s="565">
        <v>327</v>
      </c>
      <c r="N34" s="565">
        <v>2</v>
      </c>
      <c r="O34" s="565">
        <v>700</v>
      </c>
      <c r="P34" s="553">
        <v>0.43023970497848801</v>
      </c>
      <c r="Q34" s="566">
        <v>350</v>
      </c>
    </row>
    <row r="35" spans="1:17" ht="14.4" customHeight="1" x14ac:dyDescent="0.3">
      <c r="A35" s="547" t="s">
        <v>1152</v>
      </c>
      <c r="B35" s="548" t="s">
        <v>1048</v>
      </c>
      <c r="C35" s="548" t="s">
        <v>1043</v>
      </c>
      <c r="D35" s="548" t="s">
        <v>1067</v>
      </c>
      <c r="E35" s="548" t="s">
        <v>1068</v>
      </c>
      <c r="F35" s="565">
        <v>16</v>
      </c>
      <c r="G35" s="565">
        <v>23040</v>
      </c>
      <c r="H35" s="565">
        <v>1</v>
      </c>
      <c r="I35" s="565">
        <v>1440</v>
      </c>
      <c r="J35" s="565">
        <v>5</v>
      </c>
      <c r="K35" s="565">
        <v>7240</v>
      </c>
      <c r="L35" s="565">
        <v>0.3142361111111111</v>
      </c>
      <c r="M35" s="565">
        <v>1448</v>
      </c>
      <c r="N35" s="565">
        <v>5</v>
      </c>
      <c r="O35" s="565">
        <v>7595</v>
      </c>
      <c r="P35" s="553">
        <v>0.32964409722222221</v>
      </c>
      <c r="Q35" s="566">
        <v>1519</v>
      </c>
    </row>
    <row r="36" spans="1:17" ht="14.4" customHeight="1" x14ac:dyDescent="0.3">
      <c r="A36" s="547" t="s">
        <v>1152</v>
      </c>
      <c r="B36" s="548" t="s">
        <v>1103</v>
      </c>
      <c r="C36" s="548" t="s">
        <v>1043</v>
      </c>
      <c r="D36" s="548" t="s">
        <v>1106</v>
      </c>
      <c r="E36" s="548" t="s">
        <v>1107</v>
      </c>
      <c r="F36" s="565">
        <v>4</v>
      </c>
      <c r="G36" s="565">
        <v>1200</v>
      </c>
      <c r="H36" s="565">
        <v>1</v>
      </c>
      <c r="I36" s="565">
        <v>300</v>
      </c>
      <c r="J36" s="565"/>
      <c r="K36" s="565"/>
      <c r="L36" s="565"/>
      <c r="M36" s="565"/>
      <c r="N36" s="565">
        <v>1</v>
      </c>
      <c r="O36" s="565">
        <v>314</v>
      </c>
      <c r="P36" s="553">
        <v>0.26166666666666666</v>
      </c>
      <c r="Q36" s="566">
        <v>314</v>
      </c>
    </row>
    <row r="37" spans="1:17" ht="14.4" customHeight="1" x14ac:dyDescent="0.3">
      <c r="A37" s="547" t="s">
        <v>1152</v>
      </c>
      <c r="B37" s="548" t="s">
        <v>1103</v>
      </c>
      <c r="C37" s="548" t="s">
        <v>1043</v>
      </c>
      <c r="D37" s="548" t="s">
        <v>1153</v>
      </c>
      <c r="E37" s="548" t="s">
        <v>1154</v>
      </c>
      <c r="F37" s="565">
        <v>1</v>
      </c>
      <c r="G37" s="565">
        <v>6276</v>
      </c>
      <c r="H37" s="565">
        <v>1</v>
      </c>
      <c r="I37" s="565">
        <v>6276</v>
      </c>
      <c r="J37" s="565"/>
      <c r="K37" s="565"/>
      <c r="L37" s="565"/>
      <c r="M37" s="565"/>
      <c r="N37" s="565">
        <v>1</v>
      </c>
      <c r="O37" s="565">
        <v>6402</v>
      </c>
      <c r="P37" s="553">
        <v>1.0200764818355641</v>
      </c>
      <c r="Q37" s="566">
        <v>6402</v>
      </c>
    </row>
    <row r="38" spans="1:17" ht="14.4" customHeight="1" x14ac:dyDescent="0.3">
      <c r="A38" s="547" t="s">
        <v>1152</v>
      </c>
      <c r="B38" s="548" t="s">
        <v>1103</v>
      </c>
      <c r="C38" s="548" t="s">
        <v>1043</v>
      </c>
      <c r="D38" s="548" t="s">
        <v>1108</v>
      </c>
      <c r="E38" s="548" t="s">
        <v>1109</v>
      </c>
      <c r="F38" s="565">
        <v>14</v>
      </c>
      <c r="G38" s="565">
        <v>17542</v>
      </c>
      <c r="H38" s="565">
        <v>1</v>
      </c>
      <c r="I38" s="565">
        <v>1253</v>
      </c>
      <c r="J38" s="565">
        <v>4</v>
      </c>
      <c r="K38" s="565">
        <v>5072</v>
      </c>
      <c r="L38" s="565">
        <v>0.2891346482727169</v>
      </c>
      <c r="M38" s="565">
        <v>1268</v>
      </c>
      <c r="N38" s="565">
        <v>5</v>
      </c>
      <c r="O38" s="565">
        <v>6415</v>
      </c>
      <c r="P38" s="553">
        <v>0.36569376353893512</v>
      </c>
      <c r="Q38" s="566">
        <v>1283</v>
      </c>
    </row>
    <row r="39" spans="1:17" ht="14.4" customHeight="1" x14ac:dyDescent="0.3">
      <c r="A39" s="547" t="s">
        <v>1152</v>
      </c>
      <c r="B39" s="548" t="s">
        <v>1103</v>
      </c>
      <c r="C39" s="548" t="s">
        <v>1043</v>
      </c>
      <c r="D39" s="548" t="s">
        <v>1110</v>
      </c>
      <c r="E39" s="548" t="s">
        <v>1111</v>
      </c>
      <c r="F39" s="565">
        <v>1</v>
      </c>
      <c r="G39" s="565">
        <v>9337</v>
      </c>
      <c r="H39" s="565">
        <v>1</v>
      </c>
      <c r="I39" s="565">
        <v>9337</v>
      </c>
      <c r="J39" s="565"/>
      <c r="K39" s="565"/>
      <c r="L39" s="565"/>
      <c r="M39" s="565"/>
      <c r="N39" s="565"/>
      <c r="O39" s="565"/>
      <c r="P39" s="553"/>
      <c r="Q39" s="566"/>
    </row>
    <row r="40" spans="1:17" ht="14.4" customHeight="1" x14ac:dyDescent="0.3">
      <c r="A40" s="547" t="s">
        <v>1152</v>
      </c>
      <c r="B40" s="548" t="s">
        <v>1103</v>
      </c>
      <c r="C40" s="548" t="s">
        <v>1043</v>
      </c>
      <c r="D40" s="548" t="s">
        <v>1116</v>
      </c>
      <c r="E40" s="548" t="s">
        <v>1117</v>
      </c>
      <c r="F40" s="565">
        <v>39</v>
      </c>
      <c r="G40" s="565">
        <v>87843</v>
      </c>
      <c r="H40" s="565">
        <v>1</v>
      </c>
      <c r="I40" s="565">
        <v>2252.3846153846152</v>
      </c>
      <c r="J40" s="565">
        <v>12</v>
      </c>
      <c r="K40" s="565">
        <v>27168</v>
      </c>
      <c r="L40" s="565">
        <v>0.30927905467709438</v>
      </c>
      <c r="M40" s="565">
        <v>2264</v>
      </c>
      <c r="N40" s="565"/>
      <c r="O40" s="565"/>
      <c r="P40" s="553"/>
      <c r="Q40" s="566"/>
    </row>
    <row r="41" spans="1:17" ht="14.4" customHeight="1" x14ac:dyDescent="0.3">
      <c r="A41" s="547" t="s">
        <v>1152</v>
      </c>
      <c r="B41" s="548" t="s">
        <v>1103</v>
      </c>
      <c r="C41" s="548" t="s">
        <v>1043</v>
      </c>
      <c r="D41" s="548" t="s">
        <v>1122</v>
      </c>
      <c r="E41" s="548" t="s">
        <v>1123</v>
      </c>
      <c r="F41" s="565">
        <v>4</v>
      </c>
      <c r="G41" s="565">
        <v>26218</v>
      </c>
      <c r="H41" s="565">
        <v>1</v>
      </c>
      <c r="I41" s="565">
        <v>6554.5</v>
      </c>
      <c r="J41" s="565"/>
      <c r="K41" s="565"/>
      <c r="L41" s="565"/>
      <c r="M41" s="565"/>
      <c r="N41" s="565">
        <v>1</v>
      </c>
      <c r="O41" s="565">
        <v>6930</v>
      </c>
      <c r="P41" s="553">
        <v>0.26432222137462813</v>
      </c>
      <c r="Q41" s="566">
        <v>6930</v>
      </c>
    </row>
    <row r="42" spans="1:17" ht="14.4" customHeight="1" x14ac:dyDescent="0.3">
      <c r="A42" s="547" t="s">
        <v>1152</v>
      </c>
      <c r="B42" s="548" t="s">
        <v>1103</v>
      </c>
      <c r="C42" s="548" t="s">
        <v>1043</v>
      </c>
      <c r="D42" s="548" t="s">
        <v>1124</v>
      </c>
      <c r="E42" s="548" t="s">
        <v>1125</v>
      </c>
      <c r="F42" s="565"/>
      <c r="G42" s="565"/>
      <c r="H42" s="565"/>
      <c r="I42" s="565"/>
      <c r="J42" s="565"/>
      <c r="K42" s="565"/>
      <c r="L42" s="565"/>
      <c r="M42" s="565"/>
      <c r="N42" s="565">
        <v>1</v>
      </c>
      <c r="O42" s="565">
        <v>3559</v>
      </c>
      <c r="P42" s="553"/>
      <c r="Q42" s="566">
        <v>3559</v>
      </c>
    </row>
    <row r="43" spans="1:17" ht="14.4" customHeight="1" x14ac:dyDescent="0.3">
      <c r="A43" s="547" t="s">
        <v>1152</v>
      </c>
      <c r="B43" s="548" t="s">
        <v>1103</v>
      </c>
      <c r="C43" s="548" t="s">
        <v>1043</v>
      </c>
      <c r="D43" s="548" t="s">
        <v>1130</v>
      </c>
      <c r="E43" s="548" t="s">
        <v>1131</v>
      </c>
      <c r="F43" s="565">
        <v>1</v>
      </c>
      <c r="G43" s="565">
        <v>1020</v>
      </c>
      <c r="H43" s="565">
        <v>1</v>
      </c>
      <c r="I43" s="565">
        <v>1020</v>
      </c>
      <c r="J43" s="565"/>
      <c r="K43" s="565"/>
      <c r="L43" s="565"/>
      <c r="M43" s="565"/>
      <c r="N43" s="565"/>
      <c r="O43" s="565"/>
      <c r="P43" s="553"/>
      <c r="Q43" s="566"/>
    </row>
    <row r="44" spans="1:17" ht="14.4" customHeight="1" x14ac:dyDescent="0.3">
      <c r="A44" s="547" t="s">
        <v>1155</v>
      </c>
      <c r="B44" s="548" t="s">
        <v>1048</v>
      </c>
      <c r="C44" s="548" t="s">
        <v>1043</v>
      </c>
      <c r="D44" s="548" t="s">
        <v>1057</v>
      </c>
      <c r="E44" s="548" t="s">
        <v>1058</v>
      </c>
      <c r="F44" s="565">
        <v>2</v>
      </c>
      <c r="G44" s="565">
        <v>4658</v>
      </c>
      <c r="H44" s="565">
        <v>1</v>
      </c>
      <c r="I44" s="565">
        <v>2329</v>
      </c>
      <c r="J44" s="565"/>
      <c r="K44" s="565"/>
      <c r="L44" s="565"/>
      <c r="M44" s="565"/>
      <c r="N44" s="565"/>
      <c r="O44" s="565"/>
      <c r="P44" s="553"/>
      <c r="Q44" s="566"/>
    </row>
    <row r="45" spans="1:17" ht="14.4" customHeight="1" x14ac:dyDescent="0.3">
      <c r="A45" s="547" t="s">
        <v>1155</v>
      </c>
      <c r="B45" s="548" t="s">
        <v>1048</v>
      </c>
      <c r="C45" s="548" t="s">
        <v>1043</v>
      </c>
      <c r="D45" s="548" t="s">
        <v>1063</v>
      </c>
      <c r="E45" s="548" t="s">
        <v>1064</v>
      </c>
      <c r="F45" s="565">
        <v>2</v>
      </c>
      <c r="G45" s="565">
        <v>652</v>
      </c>
      <c r="H45" s="565">
        <v>1</v>
      </c>
      <c r="I45" s="565">
        <v>326</v>
      </c>
      <c r="J45" s="565">
        <v>2</v>
      </c>
      <c r="K45" s="565">
        <v>654</v>
      </c>
      <c r="L45" s="565">
        <v>1.0030674846625767</v>
      </c>
      <c r="M45" s="565">
        <v>327</v>
      </c>
      <c r="N45" s="565">
        <v>5</v>
      </c>
      <c r="O45" s="565">
        <v>1750</v>
      </c>
      <c r="P45" s="553">
        <v>2.6840490797546011</v>
      </c>
      <c r="Q45" s="566">
        <v>350</v>
      </c>
    </row>
    <row r="46" spans="1:17" ht="14.4" customHeight="1" x14ac:dyDescent="0.3">
      <c r="A46" s="547" t="s">
        <v>1155</v>
      </c>
      <c r="B46" s="548" t="s">
        <v>1048</v>
      </c>
      <c r="C46" s="548" t="s">
        <v>1043</v>
      </c>
      <c r="D46" s="548" t="s">
        <v>1065</v>
      </c>
      <c r="E46" s="548" t="s">
        <v>1066</v>
      </c>
      <c r="F46" s="565">
        <v>4</v>
      </c>
      <c r="G46" s="565">
        <v>0</v>
      </c>
      <c r="H46" s="565"/>
      <c r="I46" s="565">
        <v>0</v>
      </c>
      <c r="J46" s="565"/>
      <c r="K46" s="565"/>
      <c r="L46" s="565"/>
      <c r="M46" s="565"/>
      <c r="N46" s="565"/>
      <c r="O46" s="565"/>
      <c r="P46" s="553"/>
      <c r="Q46" s="566"/>
    </row>
    <row r="47" spans="1:17" ht="14.4" customHeight="1" x14ac:dyDescent="0.3">
      <c r="A47" s="547" t="s">
        <v>1155</v>
      </c>
      <c r="B47" s="548" t="s">
        <v>1048</v>
      </c>
      <c r="C47" s="548" t="s">
        <v>1043</v>
      </c>
      <c r="D47" s="548" t="s">
        <v>1067</v>
      </c>
      <c r="E47" s="548" t="s">
        <v>1068</v>
      </c>
      <c r="F47" s="565">
        <v>18</v>
      </c>
      <c r="G47" s="565">
        <v>25920</v>
      </c>
      <c r="H47" s="565">
        <v>1</v>
      </c>
      <c r="I47" s="565">
        <v>1440</v>
      </c>
      <c r="J47" s="565">
        <v>4</v>
      </c>
      <c r="K47" s="565">
        <v>5792</v>
      </c>
      <c r="L47" s="565">
        <v>0.22345679012345679</v>
      </c>
      <c r="M47" s="565">
        <v>1448</v>
      </c>
      <c r="N47" s="565">
        <v>10</v>
      </c>
      <c r="O47" s="565">
        <v>15190</v>
      </c>
      <c r="P47" s="553">
        <v>0.58603395061728392</v>
      </c>
      <c r="Q47" s="566">
        <v>1519</v>
      </c>
    </row>
    <row r="48" spans="1:17" ht="14.4" customHeight="1" x14ac:dyDescent="0.3">
      <c r="A48" s="547" t="s">
        <v>1155</v>
      </c>
      <c r="B48" s="548" t="s">
        <v>1103</v>
      </c>
      <c r="C48" s="548" t="s">
        <v>1043</v>
      </c>
      <c r="D48" s="548" t="s">
        <v>1106</v>
      </c>
      <c r="E48" s="548" t="s">
        <v>1107</v>
      </c>
      <c r="F48" s="565">
        <v>1</v>
      </c>
      <c r="G48" s="565">
        <v>301</v>
      </c>
      <c r="H48" s="565">
        <v>1</v>
      </c>
      <c r="I48" s="565">
        <v>301</v>
      </c>
      <c r="J48" s="565"/>
      <c r="K48" s="565"/>
      <c r="L48" s="565"/>
      <c r="M48" s="565"/>
      <c r="N48" s="565"/>
      <c r="O48" s="565"/>
      <c r="P48" s="553"/>
      <c r="Q48" s="566"/>
    </row>
    <row r="49" spans="1:17" ht="14.4" customHeight="1" x14ac:dyDescent="0.3">
      <c r="A49" s="547" t="s">
        <v>1155</v>
      </c>
      <c r="B49" s="548" t="s">
        <v>1103</v>
      </c>
      <c r="C49" s="548" t="s">
        <v>1043</v>
      </c>
      <c r="D49" s="548" t="s">
        <v>1108</v>
      </c>
      <c r="E49" s="548" t="s">
        <v>1109</v>
      </c>
      <c r="F49" s="565">
        <v>18</v>
      </c>
      <c r="G49" s="565">
        <v>22538</v>
      </c>
      <c r="H49" s="565">
        <v>1</v>
      </c>
      <c r="I49" s="565">
        <v>1252.1111111111111</v>
      </c>
      <c r="J49" s="565">
        <v>6</v>
      </c>
      <c r="K49" s="565">
        <v>7608</v>
      </c>
      <c r="L49" s="565">
        <v>0.33756322655071436</v>
      </c>
      <c r="M49" s="565">
        <v>1268</v>
      </c>
      <c r="N49" s="565">
        <v>13</v>
      </c>
      <c r="O49" s="565">
        <v>16679</v>
      </c>
      <c r="P49" s="553">
        <v>0.74003904516816044</v>
      </c>
      <c r="Q49" s="566">
        <v>1283</v>
      </c>
    </row>
    <row r="50" spans="1:17" ht="14.4" customHeight="1" x14ac:dyDescent="0.3">
      <c r="A50" s="547" t="s">
        <v>1155</v>
      </c>
      <c r="B50" s="548" t="s">
        <v>1103</v>
      </c>
      <c r="C50" s="548" t="s">
        <v>1043</v>
      </c>
      <c r="D50" s="548" t="s">
        <v>1116</v>
      </c>
      <c r="E50" s="548" t="s">
        <v>1117</v>
      </c>
      <c r="F50" s="565">
        <v>12</v>
      </c>
      <c r="G50" s="565">
        <v>27048</v>
      </c>
      <c r="H50" s="565">
        <v>1</v>
      </c>
      <c r="I50" s="565">
        <v>2254</v>
      </c>
      <c r="J50" s="565">
        <v>8</v>
      </c>
      <c r="K50" s="565">
        <v>18112</v>
      </c>
      <c r="L50" s="565">
        <v>0.66962437148772558</v>
      </c>
      <c r="M50" s="565">
        <v>2264</v>
      </c>
      <c r="N50" s="565">
        <v>8</v>
      </c>
      <c r="O50" s="565">
        <v>18352</v>
      </c>
      <c r="P50" s="553">
        <v>0.67849748595090209</v>
      </c>
      <c r="Q50" s="566">
        <v>2294</v>
      </c>
    </row>
    <row r="51" spans="1:17" ht="14.4" customHeight="1" x14ac:dyDescent="0.3">
      <c r="A51" s="547" t="s">
        <v>1155</v>
      </c>
      <c r="B51" s="548" t="s">
        <v>1103</v>
      </c>
      <c r="C51" s="548" t="s">
        <v>1043</v>
      </c>
      <c r="D51" s="548" t="s">
        <v>1122</v>
      </c>
      <c r="E51" s="548" t="s">
        <v>1123</v>
      </c>
      <c r="F51" s="565">
        <v>1</v>
      </c>
      <c r="G51" s="565">
        <v>6568</v>
      </c>
      <c r="H51" s="565">
        <v>1</v>
      </c>
      <c r="I51" s="565">
        <v>6568</v>
      </c>
      <c r="J51" s="565"/>
      <c r="K51" s="565"/>
      <c r="L51" s="565"/>
      <c r="M51" s="565"/>
      <c r="N51" s="565"/>
      <c r="O51" s="565"/>
      <c r="P51" s="553"/>
      <c r="Q51" s="566"/>
    </row>
    <row r="52" spans="1:17" ht="14.4" customHeight="1" x14ac:dyDescent="0.3">
      <c r="A52" s="547" t="s">
        <v>1156</v>
      </c>
      <c r="B52" s="548" t="s">
        <v>1048</v>
      </c>
      <c r="C52" s="548" t="s">
        <v>1043</v>
      </c>
      <c r="D52" s="548" t="s">
        <v>1067</v>
      </c>
      <c r="E52" s="548" t="s">
        <v>1068</v>
      </c>
      <c r="F52" s="565"/>
      <c r="G52" s="565"/>
      <c r="H52" s="565"/>
      <c r="I52" s="565"/>
      <c r="J52" s="565"/>
      <c r="K52" s="565"/>
      <c r="L52" s="565"/>
      <c r="M52" s="565"/>
      <c r="N52" s="565">
        <v>1</v>
      </c>
      <c r="O52" s="565">
        <v>1519</v>
      </c>
      <c r="P52" s="553"/>
      <c r="Q52" s="566">
        <v>1519</v>
      </c>
    </row>
    <row r="53" spans="1:17" ht="14.4" customHeight="1" x14ac:dyDescent="0.3">
      <c r="A53" s="547" t="s">
        <v>1157</v>
      </c>
      <c r="B53" s="548" t="s">
        <v>1048</v>
      </c>
      <c r="C53" s="548" t="s">
        <v>1043</v>
      </c>
      <c r="D53" s="548" t="s">
        <v>1057</v>
      </c>
      <c r="E53" s="548" t="s">
        <v>1058</v>
      </c>
      <c r="F53" s="565"/>
      <c r="G53" s="565"/>
      <c r="H53" s="565"/>
      <c r="I53" s="565"/>
      <c r="J53" s="565"/>
      <c r="K53" s="565"/>
      <c r="L53" s="565"/>
      <c r="M53" s="565"/>
      <c r="N53" s="565">
        <v>1</v>
      </c>
      <c r="O53" s="565">
        <v>2478</v>
      </c>
      <c r="P53" s="553"/>
      <c r="Q53" s="566">
        <v>2478</v>
      </c>
    </row>
    <row r="54" spans="1:17" ht="14.4" customHeight="1" x14ac:dyDescent="0.3">
      <c r="A54" s="547" t="s">
        <v>1157</v>
      </c>
      <c r="B54" s="548" t="s">
        <v>1048</v>
      </c>
      <c r="C54" s="548" t="s">
        <v>1043</v>
      </c>
      <c r="D54" s="548" t="s">
        <v>1067</v>
      </c>
      <c r="E54" s="548" t="s">
        <v>1068</v>
      </c>
      <c r="F54" s="565">
        <v>1</v>
      </c>
      <c r="G54" s="565">
        <v>1436</v>
      </c>
      <c r="H54" s="565">
        <v>1</v>
      </c>
      <c r="I54" s="565">
        <v>1436</v>
      </c>
      <c r="J54" s="565">
        <v>1</v>
      </c>
      <c r="K54" s="565">
        <v>1448</v>
      </c>
      <c r="L54" s="565">
        <v>1.0083565459610029</v>
      </c>
      <c r="M54" s="565">
        <v>1448</v>
      </c>
      <c r="N54" s="565"/>
      <c r="O54" s="565"/>
      <c r="P54" s="553"/>
      <c r="Q54" s="566"/>
    </row>
    <row r="55" spans="1:17" ht="14.4" customHeight="1" x14ac:dyDescent="0.3">
      <c r="A55" s="547" t="s">
        <v>1157</v>
      </c>
      <c r="B55" s="548" t="s">
        <v>1103</v>
      </c>
      <c r="C55" s="548" t="s">
        <v>1043</v>
      </c>
      <c r="D55" s="548" t="s">
        <v>1108</v>
      </c>
      <c r="E55" s="548" t="s">
        <v>1109</v>
      </c>
      <c r="F55" s="565"/>
      <c r="G55" s="565"/>
      <c r="H55" s="565"/>
      <c r="I55" s="565"/>
      <c r="J55" s="565">
        <v>1</v>
      </c>
      <c r="K55" s="565">
        <v>1268</v>
      </c>
      <c r="L55" s="565"/>
      <c r="M55" s="565">
        <v>1268</v>
      </c>
      <c r="N55" s="565"/>
      <c r="O55" s="565"/>
      <c r="P55" s="553"/>
      <c r="Q55" s="566"/>
    </row>
    <row r="56" spans="1:17" ht="14.4" customHeight="1" x14ac:dyDescent="0.3">
      <c r="A56" s="547" t="s">
        <v>1158</v>
      </c>
      <c r="B56" s="548" t="s">
        <v>1048</v>
      </c>
      <c r="C56" s="548" t="s">
        <v>1043</v>
      </c>
      <c r="D56" s="548" t="s">
        <v>1067</v>
      </c>
      <c r="E56" s="548" t="s">
        <v>1068</v>
      </c>
      <c r="F56" s="565"/>
      <c r="G56" s="565"/>
      <c r="H56" s="565"/>
      <c r="I56" s="565"/>
      <c r="J56" s="565"/>
      <c r="K56" s="565"/>
      <c r="L56" s="565"/>
      <c r="M56" s="565"/>
      <c r="N56" s="565">
        <v>1</v>
      </c>
      <c r="O56" s="565">
        <v>1519</v>
      </c>
      <c r="P56" s="553"/>
      <c r="Q56" s="566">
        <v>1519</v>
      </c>
    </row>
    <row r="57" spans="1:17" ht="14.4" customHeight="1" thickBot="1" x14ac:dyDescent="0.35">
      <c r="A57" s="555" t="s">
        <v>1158</v>
      </c>
      <c r="B57" s="556" t="s">
        <v>1103</v>
      </c>
      <c r="C57" s="556" t="s">
        <v>1043</v>
      </c>
      <c r="D57" s="556" t="s">
        <v>1108</v>
      </c>
      <c r="E57" s="556" t="s">
        <v>1109</v>
      </c>
      <c r="F57" s="567"/>
      <c r="G57" s="567"/>
      <c r="H57" s="567"/>
      <c r="I57" s="567"/>
      <c r="J57" s="567"/>
      <c r="K57" s="567"/>
      <c r="L57" s="567"/>
      <c r="M57" s="567"/>
      <c r="N57" s="567">
        <v>1</v>
      </c>
      <c r="O57" s="567">
        <v>1283</v>
      </c>
      <c r="P57" s="561"/>
      <c r="Q57" s="568">
        <v>1283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256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45.311970000000002</v>
      </c>
      <c r="C5" s="29">
        <v>15.477690000000001</v>
      </c>
      <c r="D5" s="8"/>
      <c r="E5" s="117">
        <v>15.595219999999999</v>
      </c>
      <c r="F5" s="28">
        <v>35.583336545777421</v>
      </c>
      <c r="G5" s="116">
        <f>E5-F5</f>
        <v>-19.988116545777423</v>
      </c>
      <c r="H5" s="122">
        <f>IF(F5&lt;0.00000001,"",E5/F5)</f>
        <v>0.43827312202544544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1360.518170000001</v>
      </c>
      <c r="C6" s="31">
        <v>1366.63589</v>
      </c>
      <c r="D6" s="8"/>
      <c r="E6" s="118">
        <v>2324.0439900000001</v>
      </c>
      <c r="F6" s="30">
        <v>2847.0711929162353</v>
      </c>
      <c r="G6" s="119">
        <f>E6-F6</f>
        <v>-523.02720291623518</v>
      </c>
      <c r="H6" s="123">
        <f>IF(F6&lt;0.00000001,"",E6/F6)</f>
        <v>0.81629289628669166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8649.2204000000056</v>
      </c>
      <c r="C7" s="31">
        <v>8042.4540500000021</v>
      </c>
      <c r="D7" s="8"/>
      <c r="E7" s="118">
        <v>9859.8730500000038</v>
      </c>
      <c r="F7" s="30">
        <v>8692.2507847319266</v>
      </c>
      <c r="G7" s="119">
        <f>E7-F7</f>
        <v>1167.6222652680772</v>
      </c>
      <c r="H7" s="123">
        <f>IF(F7&lt;0.00000001,"",E7/F7)</f>
        <v>1.1343291046456028</v>
      </c>
    </row>
    <row r="8" spans="1:8" ht="14.4" customHeight="1" thickBot="1" x14ac:dyDescent="0.35">
      <c r="A8" s="1" t="s">
        <v>76</v>
      </c>
      <c r="B8" s="11">
        <v>3335.5617000000029</v>
      </c>
      <c r="C8" s="33">
        <v>2196.5200400000022</v>
      </c>
      <c r="D8" s="8"/>
      <c r="E8" s="120">
        <v>2445.1728799999992</v>
      </c>
      <c r="F8" s="32">
        <v>1979.1701079812929</v>
      </c>
      <c r="G8" s="121">
        <f>E8-F8</f>
        <v>466.00277201870631</v>
      </c>
      <c r="H8" s="124">
        <f>IF(F8&lt;0.00000001,"",E8/F8)</f>
        <v>1.2354536227782957</v>
      </c>
    </row>
    <row r="9" spans="1:8" ht="14.4" customHeight="1" thickBot="1" x14ac:dyDescent="0.35">
      <c r="A9" s="2" t="s">
        <v>77</v>
      </c>
      <c r="B9" s="3">
        <v>13390.612240000009</v>
      </c>
      <c r="C9" s="35">
        <v>11621.087670000004</v>
      </c>
      <c r="D9" s="8"/>
      <c r="E9" s="3">
        <v>14644.685140000001</v>
      </c>
      <c r="F9" s="34">
        <v>13554.075422175232</v>
      </c>
      <c r="G9" s="34">
        <f>E9-F9</f>
        <v>1090.6097178247692</v>
      </c>
      <c r="H9" s="125">
        <f>IF(F9&lt;0.00000001,"",E9/F9)</f>
        <v>1.0804636010834403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38434.775000000001</v>
      </c>
      <c r="C11" s="29">
        <f>IF(ISERROR(VLOOKUP("Celkem:",'ZV Vykáz.-A'!A:F,4,0)),0,VLOOKUP("Celkem:",'ZV Vykáz.-A'!A:F,4,0)/1000)</f>
        <v>33187.983509999998</v>
      </c>
      <c r="D11" s="8"/>
      <c r="E11" s="117">
        <f>IF(ISERROR(VLOOKUP("Celkem:",'ZV Vykáz.-A'!A:F,6,0)),0,VLOOKUP("Celkem:",'ZV Vykáz.-A'!A:F,6,0)/1000)</f>
        <v>64192.445380000005</v>
      </c>
      <c r="F11" s="28">
        <f>B11</f>
        <v>38434.775000000001</v>
      </c>
      <c r="G11" s="116">
        <f>E11-F11</f>
        <v>25757.670380000003</v>
      </c>
      <c r="H11" s="122">
        <f>IF(F11&lt;0.00000001,"",E11/F11)</f>
        <v>1.6701657647273855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38434.775000000001</v>
      </c>
      <c r="C13" s="37">
        <f>SUM(C11:C12)</f>
        <v>33187.983509999998</v>
      </c>
      <c r="D13" s="8"/>
      <c r="E13" s="5">
        <f>SUM(E11:E12)</f>
        <v>64192.445380000005</v>
      </c>
      <c r="F13" s="36">
        <f>SUM(F11:F12)</f>
        <v>38434.775000000001</v>
      </c>
      <c r="G13" s="36">
        <f>E13-F13</f>
        <v>25757.670380000003</v>
      </c>
      <c r="H13" s="126">
        <f>IF(F13&lt;0.00000001,"",E13/F13)</f>
        <v>1.6701657647273855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2.8702776475887242</v>
      </c>
      <c r="C15" s="39">
        <f>IF(C9=0,"",C13/C9)</f>
        <v>2.8558414197042183</v>
      </c>
      <c r="D15" s="8"/>
      <c r="E15" s="6">
        <f>IF(E9=0,"",E13/E9)</f>
        <v>4.3833271092095325</v>
      </c>
      <c r="F15" s="38">
        <f>IF(F9=0,"",F13/F9)</f>
        <v>2.8356618804937841</v>
      </c>
      <c r="G15" s="38">
        <f>IF(ISERROR(F15-E15),"",E15-F15)</f>
        <v>1.5476652287157484</v>
      </c>
      <c r="H15" s="127">
        <f>IF(ISERROR(F15-E15),"",IF(F15&lt;0.00000001,"",E15/F15))</f>
        <v>1.5457862375489733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196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195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223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255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5.363121572641866</v>
      </c>
      <c r="C4" s="201">
        <f t="shared" ref="C4:M4" si="0">(C10+C8)/C6</f>
        <v>5.217788033657941</v>
      </c>
      <c r="D4" s="201">
        <f t="shared" si="0"/>
        <v>5.4123337502088784</v>
      </c>
      <c r="E4" s="201">
        <f t="shared" si="0"/>
        <v>5.2204047706428476</v>
      </c>
      <c r="F4" s="201">
        <f t="shared" si="0"/>
        <v>5.0711514309662746</v>
      </c>
      <c r="G4" s="201">
        <f t="shared" si="0"/>
        <v>4.9338152973625409</v>
      </c>
      <c r="H4" s="201">
        <f t="shared" si="0"/>
        <v>4.3833270900899679</v>
      </c>
      <c r="I4" s="201">
        <f t="shared" si="0"/>
        <v>4.3833270900899679</v>
      </c>
      <c r="J4" s="201">
        <f t="shared" si="0"/>
        <v>4.3833270900899679</v>
      </c>
      <c r="K4" s="201">
        <f t="shared" si="0"/>
        <v>4.3833270900899679</v>
      </c>
      <c r="L4" s="201">
        <f t="shared" si="0"/>
        <v>4.3833270900899679</v>
      </c>
      <c r="M4" s="201">
        <f t="shared" si="0"/>
        <v>4.3833270900899679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2173.1096400000001</v>
      </c>
      <c r="C5" s="201">
        <f>IF(ISERROR(VLOOKUP($A5,'Man Tab'!$A:$Q,COLUMN()+2,0)),0,VLOOKUP($A5,'Man Tab'!$A:$Q,COLUMN()+2,0))</f>
        <v>2039.3464100000001</v>
      </c>
      <c r="D5" s="201">
        <f>IF(ISERROR(VLOOKUP($A5,'Man Tab'!$A:$Q,COLUMN()+2,0)),0,VLOOKUP($A5,'Man Tab'!$A:$Q,COLUMN()+2,0))</f>
        <v>2018.97208</v>
      </c>
      <c r="E5" s="201">
        <f>IF(ISERROR(VLOOKUP($A5,'Man Tab'!$A:$Q,COLUMN()+2,0)),0,VLOOKUP($A5,'Man Tab'!$A:$Q,COLUMN()+2,0))</f>
        <v>1826.9458099999999</v>
      </c>
      <c r="F5" s="201">
        <f>IF(ISERROR(VLOOKUP($A5,'Man Tab'!$A:$Q,COLUMN()+2,0)),0,VLOOKUP($A5,'Man Tab'!$A:$Q,COLUMN()+2,0))</f>
        <v>2067.04603</v>
      </c>
      <c r="G5" s="201">
        <f>IF(ISERROR(VLOOKUP($A5,'Man Tab'!$A:$Q,COLUMN()+2,0)),0,VLOOKUP($A5,'Man Tab'!$A:$Q,COLUMN()+2,0))</f>
        <v>1953.39293</v>
      </c>
      <c r="H5" s="201">
        <f>IF(ISERROR(VLOOKUP($A5,'Man Tab'!$A:$Q,COLUMN()+2,0)),0,VLOOKUP($A5,'Man Tab'!$A:$Q,COLUMN()+2,0))</f>
        <v>2565.8722400000001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2173.1096400000001</v>
      </c>
      <c r="C6" s="203">
        <f t="shared" ref="C6:M6" si="1">C5+B6</f>
        <v>4212.4560500000007</v>
      </c>
      <c r="D6" s="203">
        <f t="shared" si="1"/>
        <v>6231.4281300000002</v>
      </c>
      <c r="E6" s="203">
        <f t="shared" si="1"/>
        <v>8058.3739400000004</v>
      </c>
      <c r="F6" s="203">
        <f t="shared" si="1"/>
        <v>10125.419970000001</v>
      </c>
      <c r="G6" s="203">
        <f t="shared" si="1"/>
        <v>12078.812900000001</v>
      </c>
      <c r="H6" s="203">
        <f t="shared" si="1"/>
        <v>14644.685140000001</v>
      </c>
      <c r="I6" s="203">
        <f t="shared" si="1"/>
        <v>14644.685140000001</v>
      </c>
      <c r="J6" s="203">
        <f t="shared" si="1"/>
        <v>14644.685140000001</v>
      </c>
      <c r="K6" s="203">
        <f t="shared" si="1"/>
        <v>14644.685140000001</v>
      </c>
      <c r="L6" s="203">
        <f t="shared" si="1"/>
        <v>14644.685140000001</v>
      </c>
      <c r="M6" s="203">
        <f t="shared" si="1"/>
        <v>14644.685140000001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11654651.190000001</v>
      </c>
      <c r="C9" s="202">
        <v>10325051.58</v>
      </c>
      <c r="D9" s="202">
        <v>11746866.01</v>
      </c>
      <c r="E9" s="202">
        <v>8341404.9800000004</v>
      </c>
      <c r="F9" s="202">
        <v>9279564.209999999</v>
      </c>
      <c r="G9" s="202">
        <v>8247093.8900000006</v>
      </c>
      <c r="H9" s="202">
        <v>4597813.24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11654.65119</v>
      </c>
      <c r="C10" s="203">
        <f t="shared" ref="C10:M10" si="3">C9/1000+B10</f>
        <v>21979.70277</v>
      </c>
      <c r="D10" s="203">
        <f t="shared" si="3"/>
        <v>33726.568780000001</v>
      </c>
      <c r="E10" s="203">
        <f t="shared" si="3"/>
        <v>42067.973760000001</v>
      </c>
      <c r="F10" s="203">
        <f t="shared" si="3"/>
        <v>51347.537969999998</v>
      </c>
      <c r="G10" s="203">
        <f t="shared" si="3"/>
        <v>59594.631859999994</v>
      </c>
      <c r="H10" s="203">
        <f t="shared" si="3"/>
        <v>64192.445099999997</v>
      </c>
      <c r="I10" s="203">
        <f t="shared" si="3"/>
        <v>64192.445099999997</v>
      </c>
      <c r="J10" s="203">
        <f t="shared" si="3"/>
        <v>64192.445099999997</v>
      </c>
      <c r="K10" s="203">
        <f t="shared" si="3"/>
        <v>64192.445099999997</v>
      </c>
      <c r="L10" s="203">
        <f t="shared" si="3"/>
        <v>64192.445099999997</v>
      </c>
      <c r="M10" s="203">
        <f t="shared" si="3"/>
        <v>64192.445099999997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2.8356618804937841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2.8356618804937841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258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235</v>
      </c>
      <c r="E4" s="129" t="s">
        <v>236</v>
      </c>
      <c r="F4" s="129" t="s">
        <v>237</v>
      </c>
      <c r="G4" s="129" t="s">
        <v>238</v>
      </c>
      <c r="H4" s="129" t="s">
        <v>239</v>
      </c>
      <c r="I4" s="129" t="s">
        <v>240</v>
      </c>
      <c r="J4" s="129" t="s">
        <v>241</v>
      </c>
      <c r="K4" s="129" t="s">
        <v>242</v>
      </c>
      <c r="L4" s="129" t="s">
        <v>243</v>
      </c>
      <c r="M4" s="129" t="s">
        <v>244</v>
      </c>
      <c r="N4" s="129" t="s">
        <v>245</v>
      </c>
      <c r="O4" s="129" t="s">
        <v>246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257</v>
      </c>
    </row>
    <row r="7" spans="1:17" ht="14.4" customHeight="1" x14ac:dyDescent="0.3">
      <c r="A7" s="15" t="s">
        <v>35</v>
      </c>
      <c r="B7" s="51">
        <v>61.000005507048002</v>
      </c>
      <c r="C7" s="52">
        <v>5.0833337922539998</v>
      </c>
      <c r="D7" s="52">
        <v>1.6717</v>
      </c>
      <c r="E7" s="52">
        <v>3.0872099999999998</v>
      </c>
      <c r="F7" s="52">
        <v>1.60005</v>
      </c>
      <c r="G7" s="52">
        <v>1.88185</v>
      </c>
      <c r="H7" s="52">
        <v>2.3978199999999998</v>
      </c>
      <c r="I7" s="52">
        <v>3.1187900000000002</v>
      </c>
      <c r="J7" s="52">
        <v>1.8378000000000001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15.595219999999999</v>
      </c>
      <c r="Q7" s="95">
        <v>0.43827312202500002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257</v>
      </c>
    </row>
    <row r="9" spans="1:17" ht="14.4" customHeight="1" x14ac:dyDescent="0.3">
      <c r="A9" s="15" t="s">
        <v>37</v>
      </c>
      <c r="B9" s="51">
        <v>4880.69347357069</v>
      </c>
      <c r="C9" s="52">
        <v>406.72445613089099</v>
      </c>
      <c r="D9" s="52">
        <v>345.26886000000002</v>
      </c>
      <c r="E9" s="52">
        <v>456.99606999999997</v>
      </c>
      <c r="F9" s="52">
        <v>295.25949000000003</v>
      </c>
      <c r="G9" s="52">
        <v>152.70320000000001</v>
      </c>
      <c r="H9" s="52">
        <v>491.63619</v>
      </c>
      <c r="I9" s="52">
        <v>149.61575999999999</v>
      </c>
      <c r="J9" s="52">
        <v>432.56441999999998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2324.0439900000001</v>
      </c>
      <c r="Q9" s="95">
        <v>0.81629289628599999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257</v>
      </c>
    </row>
    <row r="11" spans="1:17" ht="14.4" customHeight="1" x14ac:dyDescent="0.3">
      <c r="A11" s="15" t="s">
        <v>39</v>
      </c>
      <c r="B11" s="51">
        <v>121.415967543451</v>
      </c>
      <c r="C11" s="52">
        <v>10.117997295286999</v>
      </c>
      <c r="D11" s="52">
        <v>6.24078</v>
      </c>
      <c r="E11" s="52">
        <v>9.4363200000000003</v>
      </c>
      <c r="F11" s="52">
        <v>5.6109</v>
      </c>
      <c r="G11" s="52">
        <v>12.51975</v>
      </c>
      <c r="H11" s="52">
        <v>-0.32219999999999999</v>
      </c>
      <c r="I11" s="52">
        <v>9.53186</v>
      </c>
      <c r="J11" s="52">
        <v>5.6497999999999999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48.667209999999997</v>
      </c>
      <c r="Q11" s="95">
        <v>0.68713781675600005</v>
      </c>
    </row>
    <row r="12" spans="1:17" ht="14.4" customHeight="1" x14ac:dyDescent="0.3">
      <c r="A12" s="15" t="s">
        <v>40</v>
      </c>
      <c r="B12" s="51">
        <v>12.511808808171001</v>
      </c>
      <c r="C12" s="52">
        <v>1.0426507340140001</v>
      </c>
      <c r="D12" s="52">
        <v>0</v>
      </c>
      <c r="E12" s="52">
        <v>0.71799999999999997</v>
      </c>
      <c r="F12" s="52">
        <v>1.2</v>
      </c>
      <c r="G12" s="52">
        <v>0</v>
      </c>
      <c r="H12" s="52">
        <v>0</v>
      </c>
      <c r="I12" s="52">
        <v>36.455159999999999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38.373159999999999</v>
      </c>
      <c r="Q12" s="95">
        <v>5.2576378850219996</v>
      </c>
    </row>
    <row r="13" spans="1:17" ht="14.4" customHeight="1" x14ac:dyDescent="0.3">
      <c r="A13" s="15" t="s">
        <v>41</v>
      </c>
      <c r="B13" s="51">
        <v>5.0620266067459996</v>
      </c>
      <c r="C13" s="52">
        <v>0.42183555056200001</v>
      </c>
      <c r="D13" s="52">
        <v>1.16581</v>
      </c>
      <c r="E13" s="52">
        <v>2.9294899999999999</v>
      </c>
      <c r="F13" s="52">
        <v>2.96679</v>
      </c>
      <c r="G13" s="52">
        <v>1.55308</v>
      </c>
      <c r="H13" s="52">
        <v>0.52756999999999998</v>
      </c>
      <c r="I13" s="52">
        <v>1.5769</v>
      </c>
      <c r="J13" s="52">
        <v>1.8949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12.61454</v>
      </c>
      <c r="Q13" s="95">
        <v>4.2719897373629996</v>
      </c>
    </row>
    <row r="14" spans="1:17" ht="14.4" customHeight="1" x14ac:dyDescent="0.3">
      <c r="A14" s="15" t="s">
        <v>42</v>
      </c>
      <c r="B14" s="51">
        <v>166.969357658604</v>
      </c>
      <c r="C14" s="52">
        <v>13.914113138216999</v>
      </c>
      <c r="D14" s="52">
        <v>21.013999999999999</v>
      </c>
      <c r="E14" s="52">
        <v>16.152999999999999</v>
      </c>
      <c r="F14" s="52">
        <v>17.262</v>
      </c>
      <c r="G14" s="52">
        <v>13.5</v>
      </c>
      <c r="H14" s="52">
        <v>10.891999999999999</v>
      </c>
      <c r="I14" s="52">
        <v>9.7530000000000001</v>
      </c>
      <c r="J14" s="52">
        <v>9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97.573999999999998</v>
      </c>
      <c r="Q14" s="95">
        <v>1.001798872747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257</v>
      </c>
    </row>
    <row r="17" spans="1:17" ht="14.4" customHeight="1" x14ac:dyDescent="0.3">
      <c r="A17" s="15" t="s">
        <v>45</v>
      </c>
      <c r="B17" s="51">
        <v>91.007854056926007</v>
      </c>
      <c r="C17" s="52">
        <v>7.5839878380770003</v>
      </c>
      <c r="D17" s="52">
        <v>270.37155000000001</v>
      </c>
      <c r="E17" s="52">
        <v>9.8315599999999996</v>
      </c>
      <c r="F17" s="52">
        <v>6.5561800000000003</v>
      </c>
      <c r="G17" s="52">
        <v>7.8608599999999997</v>
      </c>
      <c r="H17" s="52">
        <v>11.75578</v>
      </c>
      <c r="I17" s="52">
        <v>4.24831</v>
      </c>
      <c r="J17" s="52">
        <v>3.82376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314.44799999999998</v>
      </c>
      <c r="Q17" s="95">
        <v>5.9231559723240004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5.7309999999999999</v>
      </c>
      <c r="E18" s="52">
        <v>5.5369999999999999</v>
      </c>
      <c r="F18" s="52">
        <v>0.48099999999999998</v>
      </c>
      <c r="G18" s="52">
        <v>16.55</v>
      </c>
      <c r="H18" s="52">
        <v>0.88100000000000001</v>
      </c>
      <c r="I18" s="52">
        <v>59.209000000000003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88.388999999999996</v>
      </c>
      <c r="Q18" s="95" t="s">
        <v>257</v>
      </c>
    </row>
    <row r="19" spans="1:17" ht="14.4" customHeight="1" x14ac:dyDescent="0.3">
      <c r="A19" s="15" t="s">
        <v>47</v>
      </c>
      <c r="B19" s="51">
        <v>1139.0037745066099</v>
      </c>
      <c r="C19" s="52">
        <v>94.916981208883996</v>
      </c>
      <c r="D19" s="52">
        <v>61.320680000000003</v>
      </c>
      <c r="E19" s="52">
        <v>55.748699999999999</v>
      </c>
      <c r="F19" s="52">
        <v>193.81052</v>
      </c>
      <c r="G19" s="52">
        <v>93.112340000000003</v>
      </c>
      <c r="H19" s="52">
        <v>29.778300000000002</v>
      </c>
      <c r="I19" s="52">
        <v>94.786720000000003</v>
      </c>
      <c r="J19" s="52">
        <v>29.66488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558.22213999999997</v>
      </c>
      <c r="Q19" s="95">
        <v>0.84016599542299997</v>
      </c>
    </row>
    <row r="20" spans="1:17" ht="14.4" customHeight="1" x14ac:dyDescent="0.3">
      <c r="A20" s="15" t="s">
        <v>48</v>
      </c>
      <c r="B20" s="51">
        <v>14901.001345254699</v>
      </c>
      <c r="C20" s="52">
        <v>1241.75011210456</v>
      </c>
      <c r="D20" s="52">
        <v>1276.32026</v>
      </c>
      <c r="E20" s="52">
        <v>1298.1050600000001</v>
      </c>
      <c r="F20" s="52">
        <v>1329.15761</v>
      </c>
      <c r="G20" s="52">
        <v>1349.28991</v>
      </c>
      <c r="H20" s="52">
        <v>1345.0513699999999</v>
      </c>
      <c r="I20" s="52">
        <v>1349.3885299999999</v>
      </c>
      <c r="J20" s="52">
        <v>1912.5603100000001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9859.8730500000001</v>
      </c>
      <c r="Q20" s="95">
        <v>1.1343291046449999</v>
      </c>
    </row>
    <row r="21" spans="1:17" ht="14.4" customHeight="1" x14ac:dyDescent="0.3">
      <c r="A21" s="16" t="s">
        <v>49</v>
      </c>
      <c r="B21" s="51">
        <v>1781.0041127914401</v>
      </c>
      <c r="C21" s="52">
        <v>148.417009399287</v>
      </c>
      <c r="D21" s="52">
        <v>175.10400000000001</v>
      </c>
      <c r="E21" s="52">
        <v>175.10400000000001</v>
      </c>
      <c r="F21" s="52">
        <v>164.465</v>
      </c>
      <c r="G21" s="52">
        <v>164.465</v>
      </c>
      <c r="H21" s="52">
        <v>168.59399999999999</v>
      </c>
      <c r="I21" s="52">
        <v>168.59399999999999</v>
      </c>
      <c r="J21" s="52">
        <v>168.59399999999999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1184.92</v>
      </c>
      <c r="Q21" s="95">
        <v>1.140531576531</v>
      </c>
    </row>
    <row r="22" spans="1:17" ht="14.4" customHeight="1" x14ac:dyDescent="0.3">
      <c r="A22" s="15" t="s">
        <v>50</v>
      </c>
      <c r="B22" s="51">
        <v>75.888140281624999</v>
      </c>
      <c r="C22" s="52">
        <v>6.3240116901350003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31.343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31.343</v>
      </c>
      <c r="Q22" s="95">
        <v>0.708027063826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257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8.9009999999999998</v>
      </c>
      <c r="E24" s="52">
        <v>5.7</v>
      </c>
      <c r="F24" s="52">
        <v>0.60253999999899999</v>
      </c>
      <c r="G24" s="52">
        <v>13.509819999999999</v>
      </c>
      <c r="H24" s="52">
        <v>5.8541999999999996</v>
      </c>
      <c r="I24" s="52">
        <v>35.771900000000002</v>
      </c>
      <c r="J24" s="52">
        <v>0.28236999999899998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70.621830000000003</v>
      </c>
      <c r="Q24" s="95"/>
    </row>
    <row r="25" spans="1:17" ht="14.4" customHeight="1" x14ac:dyDescent="0.3">
      <c r="A25" s="17" t="s">
        <v>53</v>
      </c>
      <c r="B25" s="54">
        <v>23235.557866586099</v>
      </c>
      <c r="C25" s="55">
        <v>1936.29648888217</v>
      </c>
      <c r="D25" s="55">
        <v>2173.1096400000001</v>
      </c>
      <c r="E25" s="55">
        <v>2039.3464100000001</v>
      </c>
      <c r="F25" s="55">
        <v>2018.97208</v>
      </c>
      <c r="G25" s="55">
        <v>1826.9458099999999</v>
      </c>
      <c r="H25" s="55">
        <v>2067.04603</v>
      </c>
      <c r="I25" s="55">
        <v>1953.39293</v>
      </c>
      <c r="J25" s="55">
        <v>2565.8722400000001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14644.68514</v>
      </c>
      <c r="Q25" s="96">
        <v>1.080463601083</v>
      </c>
    </row>
    <row r="26" spans="1:17" ht="14.4" customHeight="1" x14ac:dyDescent="0.3">
      <c r="A26" s="15" t="s">
        <v>54</v>
      </c>
      <c r="B26" s="51">
        <v>2758.4611113379301</v>
      </c>
      <c r="C26" s="52">
        <v>229.87175927816099</v>
      </c>
      <c r="D26" s="52">
        <v>202.50352000000001</v>
      </c>
      <c r="E26" s="52">
        <v>190.32977</v>
      </c>
      <c r="F26" s="52">
        <v>202.47901999999999</v>
      </c>
      <c r="G26" s="52">
        <v>206.98873</v>
      </c>
      <c r="H26" s="52">
        <v>188.00301999999999</v>
      </c>
      <c r="I26" s="52">
        <v>309.77397999999999</v>
      </c>
      <c r="J26" s="52">
        <v>231.76632000000001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1531.8443600000001</v>
      </c>
      <c r="Q26" s="95">
        <v>0.95198692200599999</v>
      </c>
    </row>
    <row r="27" spans="1:17" ht="14.4" customHeight="1" x14ac:dyDescent="0.3">
      <c r="A27" s="18" t="s">
        <v>55</v>
      </c>
      <c r="B27" s="54">
        <v>25994.018977923999</v>
      </c>
      <c r="C27" s="55">
        <v>2166.1682481603302</v>
      </c>
      <c r="D27" s="55">
        <v>2375.6131599999999</v>
      </c>
      <c r="E27" s="55">
        <v>2229.6761799999999</v>
      </c>
      <c r="F27" s="55">
        <v>2221.4511000000002</v>
      </c>
      <c r="G27" s="55">
        <v>2033.93454</v>
      </c>
      <c r="H27" s="55">
        <v>2255.0490500000001</v>
      </c>
      <c r="I27" s="55">
        <v>2263.1669099999999</v>
      </c>
      <c r="J27" s="55">
        <v>2797.6385599999999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16176.529500000001</v>
      </c>
      <c r="Q27" s="96">
        <v>1.0668297754230001</v>
      </c>
    </row>
    <row r="28" spans="1:17" ht="14.4" customHeight="1" x14ac:dyDescent="0.3">
      <c r="A28" s="16" t="s">
        <v>56</v>
      </c>
      <c r="B28" s="51">
        <v>37.225029770150996</v>
      </c>
      <c r="C28" s="52">
        <v>3.102085814179</v>
      </c>
      <c r="D28" s="52">
        <v>0</v>
      </c>
      <c r="E28" s="52">
        <v>6.4428000000000001</v>
      </c>
      <c r="F28" s="52">
        <v>4.2708000000000004</v>
      </c>
      <c r="G28" s="52">
        <v>0</v>
      </c>
      <c r="H28" s="52">
        <v>0.111</v>
      </c>
      <c r="I28" s="52">
        <v>16.324000000000002</v>
      </c>
      <c r="J28" s="52">
        <v>0.17699999999999999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27.325600000000001</v>
      </c>
      <c r="Q28" s="95">
        <v>1.258397535301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5.8550000000000004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5.8550000000000004</v>
      </c>
      <c r="Q31" s="97" t="s">
        <v>257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252</v>
      </c>
      <c r="G4" s="346" t="s">
        <v>64</v>
      </c>
      <c r="H4" s="141" t="s">
        <v>142</v>
      </c>
      <c r="I4" s="344" t="s">
        <v>65</v>
      </c>
      <c r="J4" s="346" t="s">
        <v>226</v>
      </c>
      <c r="K4" s="347" t="s">
        <v>254</v>
      </c>
    </row>
    <row r="5" spans="1:11" ht="42" thickBot="1" x14ac:dyDescent="0.35">
      <c r="A5" s="78"/>
      <c r="B5" s="24" t="s">
        <v>248</v>
      </c>
      <c r="C5" s="25" t="s">
        <v>249</v>
      </c>
      <c r="D5" s="26" t="s">
        <v>250</v>
      </c>
      <c r="E5" s="26" t="s">
        <v>251</v>
      </c>
      <c r="F5" s="345"/>
      <c r="G5" s="345"/>
      <c r="H5" s="25" t="s">
        <v>253</v>
      </c>
      <c r="I5" s="345"/>
      <c r="J5" s="345"/>
      <c r="K5" s="348"/>
    </row>
    <row r="6" spans="1:11" ht="14.4" customHeight="1" thickBot="1" x14ac:dyDescent="0.35">
      <c r="A6" s="436" t="s">
        <v>259</v>
      </c>
      <c r="B6" s="418">
        <v>24197.966125663199</v>
      </c>
      <c r="C6" s="418">
        <v>22753.44685</v>
      </c>
      <c r="D6" s="419">
        <v>-1444.51927566316</v>
      </c>
      <c r="E6" s="420">
        <v>0.94030410373399997</v>
      </c>
      <c r="F6" s="418">
        <v>23235.557866586099</v>
      </c>
      <c r="G6" s="419">
        <v>13554.075422175199</v>
      </c>
      <c r="H6" s="421">
        <v>2565.8722400000001</v>
      </c>
      <c r="I6" s="418">
        <v>14644.68514</v>
      </c>
      <c r="J6" s="419">
        <v>1090.6097178248101</v>
      </c>
      <c r="K6" s="422">
        <v>0.63027043396500004</v>
      </c>
    </row>
    <row r="7" spans="1:11" ht="14.4" customHeight="1" thickBot="1" x14ac:dyDescent="0.35">
      <c r="A7" s="437" t="s">
        <v>260</v>
      </c>
      <c r="B7" s="418">
        <v>5162.2433157994901</v>
      </c>
      <c r="C7" s="418">
        <v>4678.3153700000003</v>
      </c>
      <c r="D7" s="419">
        <v>-483.92794579949401</v>
      </c>
      <c r="E7" s="420">
        <v>0.90625626957200001</v>
      </c>
      <c r="F7" s="418">
        <v>5247.6526396947202</v>
      </c>
      <c r="G7" s="419">
        <v>3061.13070648858</v>
      </c>
      <c r="H7" s="421">
        <v>450.94612000000001</v>
      </c>
      <c r="I7" s="418">
        <v>2542.72228</v>
      </c>
      <c r="J7" s="419">
        <v>-518.40842648858404</v>
      </c>
      <c r="K7" s="422">
        <v>0.48454470114199999</v>
      </c>
    </row>
    <row r="8" spans="1:11" ht="14.4" customHeight="1" thickBot="1" x14ac:dyDescent="0.35">
      <c r="A8" s="438" t="s">
        <v>261</v>
      </c>
      <c r="B8" s="418">
        <v>4983.6316392393701</v>
      </c>
      <c r="C8" s="418">
        <v>4509.4423699999998</v>
      </c>
      <c r="D8" s="419">
        <v>-474.18926923936698</v>
      </c>
      <c r="E8" s="420">
        <v>0.90485065840199996</v>
      </c>
      <c r="F8" s="418">
        <v>5080.6832820361096</v>
      </c>
      <c r="G8" s="419">
        <v>2963.7319145210599</v>
      </c>
      <c r="H8" s="421">
        <v>441.94612000000001</v>
      </c>
      <c r="I8" s="418">
        <v>2445.1482799999999</v>
      </c>
      <c r="J8" s="419">
        <v>-518.58363452106505</v>
      </c>
      <c r="K8" s="422">
        <v>0.48126366952299998</v>
      </c>
    </row>
    <row r="9" spans="1:11" ht="14.4" customHeight="1" thickBot="1" x14ac:dyDescent="0.35">
      <c r="A9" s="439" t="s">
        <v>262</v>
      </c>
      <c r="B9" s="423">
        <v>0</v>
      </c>
      <c r="C9" s="423">
        <v>-8.6999999900000001E-4</v>
      </c>
      <c r="D9" s="424">
        <v>-8.6999999900000001E-4</v>
      </c>
      <c r="E9" s="425" t="s">
        <v>257</v>
      </c>
      <c r="F9" s="423">
        <v>0</v>
      </c>
      <c r="G9" s="424">
        <v>0</v>
      </c>
      <c r="H9" s="426">
        <v>-8.0000000000000004E-4</v>
      </c>
      <c r="I9" s="423">
        <v>-8.4000000000000003E-4</v>
      </c>
      <c r="J9" s="424">
        <v>-8.4000000000000003E-4</v>
      </c>
      <c r="K9" s="427" t="s">
        <v>257</v>
      </c>
    </row>
    <row r="10" spans="1:11" ht="14.4" customHeight="1" thickBot="1" x14ac:dyDescent="0.35">
      <c r="A10" s="440" t="s">
        <v>263</v>
      </c>
      <c r="B10" s="418">
        <v>0</v>
      </c>
      <c r="C10" s="418">
        <v>-8.6999999900000001E-4</v>
      </c>
      <c r="D10" s="419">
        <v>-8.6999999900000001E-4</v>
      </c>
      <c r="E10" s="428" t="s">
        <v>257</v>
      </c>
      <c r="F10" s="418">
        <v>0</v>
      </c>
      <c r="G10" s="419">
        <v>0</v>
      </c>
      <c r="H10" s="421">
        <v>-8.0000000000000004E-4</v>
      </c>
      <c r="I10" s="418">
        <v>-8.4000000000000003E-4</v>
      </c>
      <c r="J10" s="419">
        <v>-8.4000000000000003E-4</v>
      </c>
      <c r="K10" s="429" t="s">
        <v>257</v>
      </c>
    </row>
    <row r="11" spans="1:11" ht="14.4" customHeight="1" thickBot="1" x14ac:dyDescent="0.35">
      <c r="A11" s="439" t="s">
        <v>264</v>
      </c>
      <c r="B11" s="423">
        <v>60.981866140012002</v>
      </c>
      <c r="C11" s="423">
        <v>29.976089999999999</v>
      </c>
      <c r="D11" s="424">
        <v>-31.005776140011999</v>
      </c>
      <c r="E11" s="430">
        <v>0.49155743989799999</v>
      </c>
      <c r="F11" s="423">
        <v>61.000005507048002</v>
      </c>
      <c r="G11" s="424">
        <v>35.583336545778003</v>
      </c>
      <c r="H11" s="426">
        <v>1.8378000000000001</v>
      </c>
      <c r="I11" s="423">
        <v>15.595219999999999</v>
      </c>
      <c r="J11" s="424">
        <v>-19.988116545777999</v>
      </c>
      <c r="K11" s="431">
        <v>0.25565932118099999</v>
      </c>
    </row>
    <row r="12" spans="1:11" ht="14.4" customHeight="1" thickBot="1" x14ac:dyDescent="0.35">
      <c r="A12" s="440" t="s">
        <v>265</v>
      </c>
      <c r="B12" s="418">
        <v>59.304480578320998</v>
      </c>
      <c r="C12" s="418">
        <v>28.08849</v>
      </c>
      <c r="D12" s="419">
        <v>-31.215990578321001</v>
      </c>
      <c r="E12" s="420">
        <v>0.47363183567299999</v>
      </c>
      <c r="F12" s="418">
        <v>59.000005326489003</v>
      </c>
      <c r="G12" s="419">
        <v>34.416669773785003</v>
      </c>
      <c r="H12" s="421">
        <v>1.8378000000000001</v>
      </c>
      <c r="I12" s="418">
        <v>15.4047</v>
      </c>
      <c r="J12" s="419">
        <v>-19.011969773785001</v>
      </c>
      <c r="K12" s="422">
        <v>0.26109658659700002</v>
      </c>
    </row>
    <row r="13" spans="1:11" ht="14.4" customHeight="1" thickBot="1" x14ac:dyDescent="0.35">
      <c r="A13" s="440" t="s">
        <v>266</v>
      </c>
      <c r="B13" s="418">
        <v>0</v>
      </c>
      <c r="C13" s="418">
        <v>0</v>
      </c>
      <c r="D13" s="419">
        <v>0</v>
      </c>
      <c r="E13" s="420">
        <v>1</v>
      </c>
      <c r="F13" s="418">
        <v>0</v>
      </c>
      <c r="G13" s="419">
        <v>0</v>
      </c>
      <c r="H13" s="421">
        <v>0</v>
      </c>
      <c r="I13" s="418">
        <v>0.19051999999999999</v>
      </c>
      <c r="J13" s="419">
        <v>0.19051999999999999</v>
      </c>
      <c r="K13" s="429" t="s">
        <v>267</v>
      </c>
    </row>
    <row r="14" spans="1:11" ht="14.4" customHeight="1" thickBot="1" x14ac:dyDescent="0.35">
      <c r="A14" s="440" t="s">
        <v>268</v>
      </c>
      <c r="B14" s="418">
        <v>1.6773855616910001</v>
      </c>
      <c r="C14" s="418">
        <v>1.8875999999999999</v>
      </c>
      <c r="D14" s="419">
        <v>0.21021443830799999</v>
      </c>
      <c r="E14" s="420">
        <v>1.125322670654</v>
      </c>
      <c r="F14" s="418">
        <v>2.0000001805580001</v>
      </c>
      <c r="G14" s="419">
        <v>1.1666667719920001</v>
      </c>
      <c r="H14" s="421">
        <v>0</v>
      </c>
      <c r="I14" s="418">
        <v>0</v>
      </c>
      <c r="J14" s="419">
        <v>-1.1666667719920001</v>
      </c>
      <c r="K14" s="422">
        <v>0</v>
      </c>
    </row>
    <row r="15" spans="1:11" ht="14.4" customHeight="1" thickBot="1" x14ac:dyDescent="0.35">
      <c r="A15" s="439" t="s">
        <v>269</v>
      </c>
      <c r="B15" s="423">
        <v>4781.0815516123403</v>
      </c>
      <c r="C15" s="423">
        <v>4332.71587</v>
      </c>
      <c r="D15" s="424">
        <v>-448.36568161234499</v>
      </c>
      <c r="E15" s="430">
        <v>0.90622086722999995</v>
      </c>
      <c r="F15" s="423">
        <v>4880.69347357069</v>
      </c>
      <c r="G15" s="424">
        <v>2847.0711929162399</v>
      </c>
      <c r="H15" s="426">
        <v>432.56441999999998</v>
      </c>
      <c r="I15" s="423">
        <v>2324.0439900000001</v>
      </c>
      <c r="J15" s="424">
        <v>-523.027202916237</v>
      </c>
      <c r="K15" s="431">
        <v>0.476170856167</v>
      </c>
    </row>
    <row r="16" spans="1:11" ht="14.4" customHeight="1" thickBot="1" x14ac:dyDescent="0.35">
      <c r="A16" s="440" t="s">
        <v>270</v>
      </c>
      <c r="B16" s="418">
        <v>4217.9998671432204</v>
      </c>
      <c r="C16" s="418">
        <v>3916.6904599999998</v>
      </c>
      <c r="D16" s="419">
        <v>-301.30940714322298</v>
      </c>
      <c r="E16" s="420">
        <v>0.92856580923800003</v>
      </c>
      <c r="F16" s="418">
        <v>4218.0003807988696</v>
      </c>
      <c r="G16" s="419">
        <v>2460.5002221326699</v>
      </c>
      <c r="H16" s="421">
        <v>412.28460000000001</v>
      </c>
      <c r="I16" s="418">
        <v>2162.1661800000002</v>
      </c>
      <c r="J16" s="419">
        <v>-298.33404213267198</v>
      </c>
      <c r="K16" s="422">
        <v>0.512604548316</v>
      </c>
    </row>
    <row r="17" spans="1:11" ht="14.4" customHeight="1" thickBot="1" x14ac:dyDescent="0.35">
      <c r="A17" s="440" t="s">
        <v>271</v>
      </c>
      <c r="B17" s="418">
        <v>244.999994487924</v>
      </c>
      <c r="C17" s="418">
        <v>252.39554000000001</v>
      </c>
      <c r="D17" s="419">
        <v>7.3955455120750004</v>
      </c>
      <c r="E17" s="420">
        <v>1.0301859007280001</v>
      </c>
      <c r="F17" s="418">
        <v>349.61146450698101</v>
      </c>
      <c r="G17" s="419">
        <v>203.94002096240601</v>
      </c>
      <c r="H17" s="421">
        <v>9.17422</v>
      </c>
      <c r="I17" s="418">
        <v>88.033720000000002</v>
      </c>
      <c r="J17" s="419">
        <v>-115.90630096240599</v>
      </c>
      <c r="K17" s="422">
        <v>0.25180444275199998</v>
      </c>
    </row>
    <row r="18" spans="1:11" ht="14.4" customHeight="1" thickBot="1" x14ac:dyDescent="0.35">
      <c r="A18" s="440" t="s">
        <v>272</v>
      </c>
      <c r="B18" s="418">
        <v>23.999999244057999</v>
      </c>
      <c r="C18" s="418">
        <v>9.5413499999999996</v>
      </c>
      <c r="D18" s="419">
        <v>-14.458649244058</v>
      </c>
      <c r="E18" s="420">
        <v>0.39755626252199999</v>
      </c>
      <c r="F18" s="418">
        <v>20.000001805589001</v>
      </c>
      <c r="G18" s="419">
        <v>11.666667719927</v>
      </c>
      <c r="H18" s="421">
        <v>0.95484000000000002</v>
      </c>
      <c r="I18" s="418">
        <v>4.8610699999999998</v>
      </c>
      <c r="J18" s="419">
        <v>-6.8055977199270004</v>
      </c>
      <c r="K18" s="422">
        <v>0.24305347805700001</v>
      </c>
    </row>
    <row r="19" spans="1:11" ht="14.4" customHeight="1" thickBot="1" x14ac:dyDescent="0.35">
      <c r="A19" s="440" t="s">
        <v>273</v>
      </c>
      <c r="B19" s="418">
        <v>263.99999168464001</v>
      </c>
      <c r="C19" s="418">
        <v>135.80348000000001</v>
      </c>
      <c r="D19" s="419">
        <v>-128.19651168464</v>
      </c>
      <c r="E19" s="420">
        <v>0.51440713741400002</v>
      </c>
      <c r="F19" s="418">
        <v>270.00002437546101</v>
      </c>
      <c r="G19" s="419">
        <v>157.50001421901899</v>
      </c>
      <c r="H19" s="421">
        <v>7.5237600000000002</v>
      </c>
      <c r="I19" s="418">
        <v>59.120019999999997</v>
      </c>
      <c r="J19" s="419">
        <v>-98.379994219018002</v>
      </c>
      <c r="K19" s="422">
        <v>0.218963017269</v>
      </c>
    </row>
    <row r="20" spans="1:11" ht="14.4" customHeight="1" thickBot="1" x14ac:dyDescent="0.35">
      <c r="A20" s="440" t="s">
        <v>274</v>
      </c>
      <c r="B20" s="418">
        <v>8.1699997425999996E-2</v>
      </c>
      <c r="C20" s="418">
        <v>8.1600000000000006E-2</v>
      </c>
      <c r="D20" s="419">
        <v>-9.9997426648013005E-5</v>
      </c>
      <c r="E20" s="420">
        <v>0.99877604124999997</v>
      </c>
      <c r="F20" s="418">
        <v>8.1600007365999996E-2</v>
      </c>
      <c r="G20" s="419">
        <v>4.7600004297000002E-2</v>
      </c>
      <c r="H20" s="421">
        <v>0</v>
      </c>
      <c r="I20" s="418">
        <v>0</v>
      </c>
      <c r="J20" s="419">
        <v>-4.7600004297000002E-2</v>
      </c>
      <c r="K20" s="422">
        <v>0</v>
      </c>
    </row>
    <row r="21" spans="1:11" ht="14.4" customHeight="1" thickBot="1" x14ac:dyDescent="0.35">
      <c r="A21" s="440" t="s">
        <v>275</v>
      </c>
      <c r="B21" s="418">
        <v>13.999999559033</v>
      </c>
      <c r="C21" s="418">
        <v>3.2610000000000001</v>
      </c>
      <c r="D21" s="419">
        <v>-10.738999559032999</v>
      </c>
      <c r="E21" s="420">
        <v>0.23292857876500001</v>
      </c>
      <c r="F21" s="418">
        <v>7.0000006319560004</v>
      </c>
      <c r="G21" s="419">
        <v>4.0833337019740004</v>
      </c>
      <c r="H21" s="421">
        <v>0.09</v>
      </c>
      <c r="I21" s="418">
        <v>1.266</v>
      </c>
      <c r="J21" s="419">
        <v>-2.8173337019739999</v>
      </c>
      <c r="K21" s="422">
        <v>0.18085712652899999</v>
      </c>
    </row>
    <row r="22" spans="1:11" ht="14.4" customHeight="1" thickBot="1" x14ac:dyDescent="0.35">
      <c r="A22" s="440" t="s">
        <v>276</v>
      </c>
      <c r="B22" s="418">
        <v>15.999999496038001</v>
      </c>
      <c r="C22" s="418">
        <v>14.94244</v>
      </c>
      <c r="D22" s="419">
        <v>-1.0575594960379999</v>
      </c>
      <c r="E22" s="420">
        <v>0.93390252941499996</v>
      </c>
      <c r="F22" s="418">
        <v>16.000001444471</v>
      </c>
      <c r="G22" s="419">
        <v>9.3333341759409993</v>
      </c>
      <c r="H22" s="421">
        <v>2.5369999999999999</v>
      </c>
      <c r="I22" s="418">
        <v>8.5969999999999995</v>
      </c>
      <c r="J22" s="419">
        <v>-0.73633417594100004</v>
      </c>
      <c r="K22" s="422">
        <v>0.53731245149100004</v>
      </c>
    </row>
    <row r="23" spans="1:11" ht="14.4" customHeight="1" thickBot="1" x14ac:dyDescent="0.35">
      <c r="A23" s="439" t="s">
        <v>277</v>
      </c>
      <c r="B23" s="423">
        <v>121.568222116962</v>
      </c>
      <c r="C23" s="423">
        <v>104.41151000000001</v>
      </c>
      <c r="D23" s="424">
        <v>-17.156712116961</v>
      </c>
      <c r="E23" s="430">
        <v>0.85887173623000002</v>
      </c>
      <c r="F23" s="423">
        <v>121.415967543451</v>
      </c>
      <c r="G23" s="424">
        <v>70.825981067013004</v>
      </c>
      <c r="H23" s="426">
        <v>5.6497999999999999</v>
      </c>
      <c r="I23" s="423">
        <v>48.667209999999997</v>
      </c>
      <c r="J23" s="424">
        <v>-22.158771067012999</v>
      </c>
      <c r="K23" s="431">
        <v>0.40083039310700003</v>
      </c>
    </row>
    <row r="24" spans="1:11" ht="14.4" customHeight="1" thickBot="1" x14ac:dyDescent="0.35">
      <c r="A24" s="440" t="s">
        <v>278</v>
      </c>
      <c r="B24" s="418">
        <v>2.5879877795519999</v>
      </c>
      <c r="C24" s="418">
        <v>1.8320000000000001</v>
      </c>
      <c r="D24" s="419">
        <v>-0.75598777955200003</v>
      </c>
      <c r="E24" s="420">
        <v>0.70788587738800002</v>
      </c>
      <c r="F24" s="418">
        <v>0.202696304573</v>
      </c>
      <c r="G24" s="419">
        <v>0.118239511001</v>
      </c>
      <c r="H24" s="421">
        <v>0</v>
      </c>
      <c r="I24" s="418">
        <v>1.5289999999999999</v>
      </c>
      <c r="J24" s="419">
        <v>1.4107604889980001</v>
      </c>
      <c r="K24" s="422">
        <v>0</v>
      </c>
    </row>
    <row r="25" spans="1:11" ht="14.4" customHeight="1" thickBot="1" x14ac:dyDescent="0.35">
      <c r="A25" s="440" t="s">
        <v>279</v>
      </c>
      <c r="B25" s="418">
        <v>3.9999999685019998</v>
      </c>
      <c r="C25" s="418">
        <v>3.3193700000000002</v>
      </c>
      <c r="D25" s="419">
        <v>-0.68062996850199997</v>
      </c>
      <c r="E25" s="420">
        <v>0.82984250653400005</v>
      </c>
      <c r="F25" s="418">
        <v>5.0298532918159999</v>
      </c>
      <c r="G25" s="419">
        <v>2.9340810868920002</v>
      </c>
      <c r="H25" s="421">
        <v>0.26468000000000003</v>
      </c>
      <c r="I25" s="418">
        <v>1.95425</v>
      </c>
      <c r="J25" s="419">
        <v>-0.97983108689200005</v>
      </c>
      <c r="K25" s="422">
        <v>0.38853021879900002</v>
      </c>
    </row>
    <row r="26" spans="1:11" ht="14.4" customHeight="1" thickBot="1" x14ac:dyDescent="0.35">
      <c r="A26" s="440" t="s">
        <v>280</v>
      </c>
      <c r="B26" s="418">
        <v>11</v>
      </c>
      <c r="C26" s="418">
        <v>12.428269999999999</v>
      </c>
      <c r="D26" s="419">
        <v>1.4282699999999999</v>
      </c>
      <c r="E26" s="420">
        <v>1.129842727272</v>
      </c>
      <c r="F26" s="418">
        <v>13.904110480701</v>
      </c>
      <c r="G26" s="419">
        <v>8.1107311137420002</v>
      </c>
      <c r="H26" s="421">
        <v>0</v>
      </c>
      <c r="I26" s="418">
        <v>5.5325899999999999</v>
      </c>
      <c r="J26" s="419">
        <v>-2.5781411137419998</v>
      </c>
      <c r="K26" s="422">
        <v>0.39791038827500003</v>
      </c>
    </row>
    <row r="27" spans="1:11" ht="14.4" customHeight="1" thickBot="1" x14ac:dyDescent="0.35">
      <c r="A27" s="440" t="s">
        <v>281</v>
      </c>
      <c r="B27" s="418">
        <v>23.999999244057999</v>
      </c>
      <c r="C27" s="418">
        <v>23.993179999999999</v>
      </c>
      <c r="D27" s="419">
        <v>-6.8192440580000001E-3</v>
      </c>
      <c r="E27" s="420">
        <v>0.99971586482100006</v>
      </c>
      <c r="F27" s="418">
        <v>25.113731884147999</v>
      </c>
      <c r="G27" s="419">
        <v>14.64967693242</v>
      </c>
      <c r="H27" s="421">
        <v>3.0800299999999998</v>
      </c>
      <c r="I27" s="418">
        <v>13.3324</v>
      </c>
      <c r="J27" s="419">
        <v>-1.31727693242</v>
      </c>
      <c r="K27" s="422">
        <v>0.53088087670499995</v>
      </c>
    </row>
    <row r="28" spans="1:11" ht="14.4" customHeight="1" thickBot="1" x14ac:dyDescent="0.35">
      <c r="A28" s="440" t="s">
        <v>282</v>
      </c>
      <c r="B28" s="418">
        <v>2.9999999055069999</v>
      </c>
      <c r="C28" s="418">
        <v>1.486</v>
      </c>
      <c r="D28" s="419">
        <v>-1.5139999055069999</v>
      </c>
      <c r="E28" s="420">
        <v>0.49533334893499997</v>
      </c>
      <c r="F28" s="418">
        <v>1.635730486408</v>
      </c>
      <c r="G28" s="419">
        <v>0.95417611707100003</v>
      </c>
      <c r="H28" s="421">
        <v>0.28799999999999998</v>
      </c>
      <c r="I28" s="418">
        <v>2.3623699999999999</v>
      </c>
      <c r="J28" s="419">
        <v>1.4081938829280001</v>
      </c>
      <c r="K28" s="422">
        <v>1.4442293639620001</v>
      </c>
    </row>
    <row r="29" spans="1:11" ht="14.4" customHeight="1" thickBot="1" x14ac:dyDescent="0.35">
      <c r="A29" s="440" t="s">
        <v>283</v>
      </c>
      <c r="B29" s="418">
        <v>0</v>
      </c>
      <c r="C29" s="418">
        <v>2.4799999999999999E-2</v>
      </c>
      <c r="D29" s="419">
        <v>2.4799999999999999E-2</v>
      </c>
      <c r="E29" s="428" t="s">
        <v>267</v>
      </c>
      <c r="F29" s="418">
        <v>0</v>
      </c>
      <c r="G29" s="419">
        <v>0</v>
      </c>
      <c r="H29" s="421">
        <v>0</v>
      </c>
      <c r="I29" s="418">
        <v>0</v>
      </c>
      <c r="J29" s="419">
        <v>0</v>
      </c>
      <c r="K29" s="422">
        <v>0</v>
      </c>
    </row>
    <row r="30" spans="1:11" ht="14.4" customHeight="1" thickBot="1" x14ac:dyDescent="0.35">
      <c r="A30" s="440" t="s">
        <v>284</v>
      </c>
      <c r="B30" s="418">
        <v>4.6271731801999998E-2</v>
      </c>
      <c r="C30" s="418">
        <v>0</v>
      </c>
      <c r="D30" s="419">
        <v>-4.6271731801999998E-2</v>
      </c>
      <c r="E30" s="420">
        <v>0</v>
      </c>
      <c r="F30" s="418">
        <v>0</v>
      </c>
      <c r="G30" s="419">
        <v>0</v>
      </c>
      <c r="H30" s="421">
        <v>0</v>
      </c>
      <c r="I30" s="418">
        <v>0</v>
      </c>
      <c r="J30" s="419">
        <v>0</v>
      </c>
      <c r="K30" s="422">
        <v>0</v>
      </c>
    </row>
    <row r="31" spans="1:11" ht="14.4" customHeight="1" thickBot="1" x14ac:dyDescent="0.35">
      <c r="A31" s="440" t="s">
        <v>285</v>
      </c>
      <c r="B31" s="418">
        <v>2</v>
      </c>
      <c r="C31" s="418">
        <v>1.96262</v>
      </c>
      <c r="D31" s="419">
        <v>-3.7379999999999997E-2</v>
      </c>
      <c r="E31" s="420">
        <v>0.98131000000000002</v>
      </c>
      <c r="F31" s="418">
        <v>2.1603203219279998</v>
      </c>
      <c r="G31" s="419">
        <v>1.2601868544579999</v>
      </c>
      <c r="H31" s="421">
        <v>0</v>
      </c>
      <c r="I31" s="418">
        <v>1.0914200000000001</v>
      </c>
      <c r="J31" s="419">
        <v>-0.16876685445799999</v>
      </c>
      <c r="K31" s="422">
        <v>0.5052121155</v>
      </c>
    </row>
    <row r="32" spans="1:11" ht="14.4" customHeight="1" thickBot="1" x14ac:dyDescent="0.35">
      <c r="A32" s="440" t="s">
        <v>286</v>
      </c>
      <c r="B32" s="418">
        <v>30.933964148988</v>
      </c>
      <c r="C32" s="418">
        <v>10.95416</v>
      </c>
      <c r="D32" s="419">
        <v>-19.979804148987999</v>
      </c>
      <c r="E32" s="420">
        <v>0.35411433036000001</v>
      </c>
      <c r="F32" s="418">
        <v>14.665919773982001</v>
      </c>
      <c r="G32" s="419">
        <v>8.5551198681559999</v>
      </c>
      <c r="H32" s="421">
        <v>0.96921000000000002</v>
      </c>
      <c r="I32" s="418">
        <v>6.4771299999999998</v>
      </c>
      <c r="J32" s="419">
        <v>-2.0779898681560001</v>
      </c>
      <c r="K32" s="422">
        <v>0.44164499055000001</v>
      </c>
    </row>
    <row r="33" spans="1:11" ht="14.4" customHeight="1" thickBot="1" x14ac:dyDescent="0.35">
      <c r="A33" s="440" t="s">
        <v>287</v>
      </c>
      <c r="B33" s="418">
        <v>33.999999653525997</v>
      </c>
      <c r="C33" s="418">
        <v>29.53511</v>
      </c>
      <c r="D33" s="419">
        <v>-4.4648896535259999</v>
      </c>
      <c r="E33" s="420">
        <v>0.86867971473399996</v>
      </c>
      <c r="F33" s="418">
        <v>29.986486371885999</v>
      </c>
      <c r="G33" s="419">
        <v>17.492117050267002</v>
      </c>
      <c r="H33" s="421">
        <v>1.0478799999999999</v>
      </c>
      <c r="I33" s="418">
        <v>13.556649999999999</v>
      </c>
      <c r="J33" s="419">
        <v>-3.9354670502669999</v>
      </c>
      <c r="K33" s="422">
        <v>0.45209198009599999</v>
      </c>
    </row>
    <row r="34" spans="1:11" ht="14.4" customHeight="1" thickBot="1" x14ac:dyDescent="0.35">
      <c r="A34" s="440" t="s">
        <v>288</v>
      </c>
      <c r="B34" s="418">
        <v>9.9999996850239992</v>
      </c>
      <c r="C34" s="418">
        <v>18.876000000000001</v>
      </c>
      <c r="D34" s="419">
        <v>8.8760003149750002</v>
      </c>
      <c r="E34" s="420">
        <v>1.8876000594539999</v>
      </c>
      <c r="F34" s="418">
        <v>28.717118628005</v>
      </c>
      <c r="G34" s="419">
        <v>16.751652533003</v>
      </c>
      <c r="H34" s="421">
        <v>0</v>
      </c>
      <c r="I34" s="418">
        <v>2.8313999999999999</v>
      </c>
      <c r="J34" s="419">
        <v>-13.920252533003</v>
      </c>
      <c r="K34" s="422">
        <v>9.8596242772999998E-2</v>
      </c>
    </row>
    <row r="35" spans="1:11" ht="14.4" customHeight="1" thickBot="1" x14ac:dyDescent="0.35">
      <c r="A35" s="439" t="s">
        <v>289</v>
      </c>
      <c r="B35" s="423">
        <v>1.999999937004</v>
      </c>
      <c r="C35" s="423">
        <v>18.347270000000002</v>
      </c>
      <c r="D35" s="424">
        <v>16.347270062995001</v>
      </c>
      <c r="E35" s="430">
        <v>9.1736352889470005</v>
      </c>
      <c r="F35" s="423">
        <v>12.511808808171001</v>
      </c>
      <c r="G35" s="424">
        <v>7.2985551381000002</v>
      </c>
      <c r="H35" s="426">
        <v>0</v>
      </c>
      <c r="I35" s="423">
        <v>38.373159999999999</v>
      </c>
      <c r="J35" s="424">
        <v>31.074604861899001</v>
      </c>
      <c r="K35" s="431">
        <v>3.0669554329289999</v>
      </c>
    </row>
    <row r="36" spans="1:11" ht="14.4" customHeight="1" thickBot="1" x14ac:dyDescent="0.35">
      <c r="A36" s="440" t="s">
        <v>290</v>
      </c>
      <c r="B36" s="418">
        <v>0</v>
      </c>
      <c r="C36" s="418">
        <v>4.9660000000000002</v>
      </c>
      <c r="D36" s="419">
        <v>4.9660000000000002</v>
      </c>
      <c r="E36" s="428" t="s">
        <v>267</v>
      </c>
      <c r="F36" s="418">
        <v>4.4711247740570004</v>
      </c>
      <c r="G36" s="419">
        <v>2.6081561182000002</v>
      </c>
      <c r="H36" s="421">
        <v>0</v>
      </c>
      <c r="I36" s="418">
        <v>4.8689999999999998</v>
      </c>
      <c r="J36" s="419">
        <v>2.260843881799</v>
      </c>
      <c r="K36" s="422">
        <v>1.0889877259180001</v>
      </c>
    </row>
    <row r="37" spans="1:11" ht="14.4" customHeight="1" thickBot="1" x14ac:dyDescent="0.35">
      <c r="A37" s="440" t="s">
        <v>291</v>
      </c>
      <c r="B37" s="418">
        <v>0</v>
      </c>
      <c r="C37" s="418">
        <v>11.5313</v>
      </c>
      <c r="D37" s="419">
        <v>11.5313</v>
      </c>
      <c r="E37" s="428" t="s">
        <v>267</v>
      </c>
      <c r="F37" s="418">
        <v>5.8923950605710003</v>
      </c>
      <c r="G37" s="419">
        <v>3.4372304520000001</v>
      </c>
      <c r="H37" s="421">
        <v>0</v>
      </c>
      <c r="I37" s="418">
        <v>32.218960000000003</v>
      </c>
      <c r="J37" s="419">
        <v>28.781729547998999</v>
      </c>
      <c r="K37" s="422">
        <v>5.4678886376079996</v>
      </c>
    </row>
    <row r="38" spans="1:11" ht="14.4" customHeight="1" thickBot="1" x14ac:dyDescent="0.35">
      <c r="A38" s="440" t="s">
        <v>292</v>
      </c>
      <c r="B38" s="418">
        <v>1.999999937004</v>
      </c>
      <c r="C38" s="418">
        <v>1.8499699999999999</v>
      </c>
      <c r="D38" s="419">
        <v>-0.150029937004</v>
      </c>
      <c r="E38" s="420">
        <v>0.92498502913400005</v>
      </c>
      <c r="F38" s="418">
        <v>2.1482889735419999</v>
      </c>
      <c r="G38" s="419">
        <v>1.2531685678990001</v>
      </c>
      <c r="H38" s="421">
        <v>0</v>
      </c>
      <c r="I38" s="418">
        <v>1.2851999999999999</v>
      </c>
      <c r="J38" s="419">
        <v>3.20314321E-2</v>
      </c>
      <c r="K38" s="422">
        <v>0.59824353977800004</v>
      </c>
    </row>
    <row r="39" spans="1:11" ht="14.4" customHeight="1" thickBot="1" x14ac:dyDescent="0.35">
      <c r="A39" s="439" t="s">
        <v>293</v>
      </c>
      <c r="B39" s="423">
        <v>17.999999433043001</v>
      </c>
      <c r="C39" s="423">
        <v>23.9925</v>
      </c>
      <c r="D39" s="424">
        <v>5.9925005669560001</v>
      </c>
      <c r="E39" s="430">
        <v>1.33291670865</v>
      </c>
      <c r="F39" s="423">
        <v>5.0620266067459996</v>
      </c>
      <c r="G39" s="424">
        <v>2.952848853935</v>
      </c>
      <c r="H39" s="426">
        <v>1.8949</v>
      </c>
      <c r="I39" s="423">
        <v>12.61454</v>
      </c>
      <c r="J39" s="424">
        <v>9.6616911460639994</v>
      </c>
      <c r="K39" s="431">
        <v>2.491994013462</v>
      </c>
    </row>
    <row r="40" spans="1:11" ht="14.4" customHeight="1" thickBot="1" x14ac:dyDescent="0.35">
      <c r="A40" s="440" t="s">
        <v>294</v>
      </c>
      <c r="B40" s="418">
        <v>8.9999997165209997</v>
      </c>
      <c r="C40" s="418">
        <v>17.36307</v>
      </c>
      <c r="D40" s="419">
        <v>8.3630702834780006</v>
      </c>
      <c r="E40" s="420">
        <v>1.929230060766</v>
      </c>
      <c r="F40" s="418">
        <v>0</v>
      </c>
      <c r="G40" s="419">
        <v>0</v>
      </c>
      <c r="H40" s="421">
        <v>1.8949</v>
      </c>
      <c r="I40" s="418">
        <v>11.07131</v>
      </c>
      <c r="J40" s="419">
        <v>11.07131</v>
      </c>
      <c r="K40" s="429" t="s">
        <v>257</v>
      </c>
    </row>
    <row r="41" spans="1:11" ht="14.4" customHeight="1" thickBot="1" x14ac:dyDescent="0.35">
      <c r="A41" s="440" t="s">
        <v>295</v>
      </c>
      <c r="B41" s="418">
        <v>0</v>
      </c>
      <c r="C41" s="418">
        <v>0.64685999999999999</v>
      </c>
      <c r="D41" s="419">
        <v>0.64685999999999999</v>
      </c>
      <c r="E41" s="428" t="s">
        <v>267</v>
      </c>
      <c r="F41" s="418">
        <v>0.41976352313499998</v>
      </c>
      <c r="G41" s="419">
        <v>0.24486205516199999</v>
      </c>
      <c r="H41" s="421">
        <v>0</v>
      </c>
      <c r="I41" s="418">
        <v>0</v>
      </c>
      <c r="J41" s="419">
        <v>-0.24486205516199999</v>
      </c>
      <c r="K41" s="422">
        <v>0</v>
      </c>
    </row>
    <row r="42" spans="1:11" ht="14.4" customHeight="1" thickBot="1" x14ac:dyDescent="0.35">
      <c r="A42" s="440" t="s">
        <v>296</v>
      </c>
      <c r="B42" s="418">
        <v>0</v>
      </c>
      <c r="C42" s="418">
        <v>0.20004</v>
      </c>
      <c r="D42" s="419">
        <v>0.20004</v>
      </c>
      <c r="E42" s="428" t="s">
        <v>267</v>
      </c>
      <c r="F42" s="418">
        <v>0.14129044004399999</v>
      </c>
      <c r="G42" s="419">
        <v>8.2419423359000002E-2</v>
      </c>
      <c r="H42" s="421">
        <v>0</v>
      </c>
      <c r="I42" s="418">
        <v>0</v>
      </c>
      <c r="J42" s="419">
        <v>-8.2419423359000002E-2</v>
      </c>
      <c r="K42" s="422">
        <v>0</v>
      </c>
    </row>
    <row r="43" spans="1:11" ht="14.4" customHeight="1" thickBot="1" x14ac:dyDescent="0.35">
      <c r="A43" s="440" t="s">
        <v>297</v>
      </c>
      <c r="B43" s="418">
        <v>0.99999996850200001</v>
      </c>
      <c r="C43" s="418">
        <v>1.1127400000000001</v>
      </c>
      <c r="D43" s="419">
        <v>0.112740031497</v>
      </c>
      <c r="E43" s="420">
        <v>1.1127400350479999</v>
      </c>
      <c r="F43" s="418">
        <v>1.5009723727290001</v>
      </c>
      <c r="G43" s="419">
        <v>0.87556721742499999</v>
      </c>
      <c r="H43" s="421">
        <v>0</v>
      </c>
      <c r="I43" s="418">
        <v>0.57777000000000001</v>
      </c>
      <c r="J43" s="419">
        <v>-0.29779721742499998</v>
      </c>
      <c r="K43" s="422">
        <v>0.38493046940499998</v>
      </c>
    </row>
    <row r="44" spans="1:11" ht="14.4" customHeight="1" thickBot="1" x14ac:dyDescent="0.35">
      <c r="A44" s="440" t="s">
        <v>298</v>
      </c>
      <c r="B44" s="418">
        <v>7.9999997480190004</v>
      </c>
      <c r="C44" s="418">
        <v>4.6697899999999999</v>
      </c>
      <c r="D44" s="419">
        <v>-3.330209748019</v>
      </c>
      <c r="E44" s="420">
        <v>0.58372376838499995</v>
      </c>
      <c r="F44" s="418">
        <v>3.000000270838</v>
      </c>
      <c r="G44" s="419">
        <v>1.7500001579890001</v>
      </c>
      <c r="H44" s="421">
        <v>0</v>
      </c>
      <c r="I44" s="418">
        <v>0.96545999999999998</v>
      </c>
      <c r="J44" s="419">
        <v>-0.78454015798900001</v>
      </c>
      <c r="K44" s="422">
        <v>0.32181997094600001</v>
      </c>
    </row>
    <row r="45" spans="1:11" ht="14.4" customHeight="1" thickBot="1" x14ac:dyDescent="0.35">
      <c r="A45" s="439" t="s">
        <v>299</v>
      </c>
      <c r="B45" s="423">
        <v>0</v>
      </c>
      <c r="C45" s="423">
        <v>0</v>
      </c>
      <c r="D45" s="424">
        <v>0</v>
      </c>
      <c r="E45" s="430">
        <v>1</v>
      </c>
      <c r="F45" s="423">
        <v>0</v>
      </c>
      <c r="G45" s="424">
        <v>0</v>
      </c>
      <c r="H45" s="426">
        <v>0</v>
      </c>
      <c r="I45" s="423">
        <v>5.8550000000000004</v>
      </c>
      <c r="J45" s="424">
        <v>5.8550000000000004</v>
      </c>
      <c r="K45" s="427" t="s">
        <v>267</v>
      </c>
    </row>
    <row r="46" spans="1:11" ht="14.4" customHeight="1" thickBot="1" x14ac:dyDescent="0.35">
      <c r="A46" s="440" t="s">
        <v>300</v>
      </c>
      <c r="B46" s="418">
        <v>0</v>
      </c>
      <c r="C46" s="418">
        <v>0</v>
      </c>
      <c r="D46" s="419">
        <v>0</v>
      </c>
      <c r="E46" s="420">
        <v>1</v>
      </c>
      <c r="F46" s="418">
        <v>0</v>
      </c>
      <c r="G46" s="419">
        <v>0</v>
      </c>
      <c r="H46" s="421">
        <v>0</v>
      </c>
      <c r="I46" s="418">
        <v>5.8550000000000004</v>
      </c>
      <c r="J46" s="419">
        <v>5.8550000000000004</v>
      </c>
      <c r="K46" s="429" t="s">
        <v>267</v>
      </c>
    </row>
    <row r="47" spans="1:11" ht="14.4" customHeight="1" thickBot="1" x14ac:dyDescent="0.35">
      <c r="A47" s="438" t="s">
        <v>42</v>
      </c>
      <c r="B47" s="418">
        <v>178.61167656012799</v>
      </c>
      <c r="C47" s="418">
        <v>168.87299999999999</v>
      </c>
      <c r="D47" s="419">
        <v>-9.7386765601280008</v>
      </c>
      <c r="E47" s="420">
        <v>0.94547570042600004</v>
      </c>
      <c r="F47" s="418">
        <v>166.969357658604</v>
      </c>
      <c r="G47" s="419">
        <v>97.398791967519003</v>
      </c>
      <c r="H47" s="421">
        <v>9</v>
      </c>
      <c r="I47" s="418">
        <v>97.573999999999998</v>
      </c>
      <c r="J47" s="419">
        <v>0.17520803248</v>
      </c>
      <c r="K47" s="422">
        <v>0.58438267576900005</v>
      </c>
    </row>
    <row r="48" spans="1:11" ht="14.4" customHeight="1" thickBot="1" x14ac:dyDescent="0.35">
      <c r="A48" s="439" t="s">
        <v>301</v>
      </c>
      <c r="B48" s="423">
        <v>178.61167656012799</v>
      </c>
      <c r="C48" s="423">
        <v>168.87299999999999</v>
      </c>
      <c r="D48" s="424">
        <v>-9.7386765601280008</v>
      </c>
      <c r="E48" s="430">
        <v>0.94547570042600004</v>
      </c>
      <c r="F48" s="423">
        <v>166.969357658604</v>
      </c>
      <c r="G48" s="424">
        <v>97.398791967519003</v>
      </c>
      <c r="H48" s="426">
        <v>9</v>
      </c>
      <c r="I48" s="423">
        <v>97.573999999999998</v>
      </c>
      <c r="J48" s="424">
        <v>0.17520803248</v>
      </c>
      <c r="K48" s="431">
        <v>0.58438267576900005</v>
      </c>
    </row>
    <row r="49" spans="1:11" ht="14.4" customHeight="1" thickBot="1" x14ac:dyDescent="0.35">
      <c r="A49" s="440" t="s">
        <v>302</v>
      </c>
      <c r="B49" s="418">
        <v>56.611680402832</v>
      </c>
      <c r="C49" s="418">
        <v>60.758000000000003</v>
      </c>
      <c r="D49" s="419">
        <v>4.1463195971670004</v>
      </c>
      <c r="E49" s="420">
        <v>1.073241415334</v>
      </c>
      <c r="F49" s="418">
        <v>59.945411911736997</v>
      </c>
      <c r="G49" s="419">
        <v>34.968156948512998</v>
      </c>
      <c r="H49" s="421">
        <v>4.5540000000000003</v>
      </c>
      <c r="I49" s="418">
        <v>31.667000000000002</v>
      </c>
      <c r="J49" s="419">
        <v>-3.3011569485129999</v>
      </c>
      <c r="K49" s="422">
        <v>0.52826394865000004</v>
      </c>
    </row>
    <row r="50" spans="1:11" ht="14.4" customHeight="1" thickBot="1" x14ac:dyDescent="0.35">
      <c r="A50" s="440" t="s">
        <v>303</v>
      </c>
      <c r="B50" s="418">
        <v>27.999999118066999</v>
      </c>
      <c r="C50" s="418">
        <v>25</v>
      </c>
      <c r="D50" s="419">
        <v>-2.999999118067</v>
      </c>
      <c r="E50" s="420">
        <v>0.89285717097899997</v>
      </c>
      <c r="F50" s="418">
        <v>24.999995365596</v>
      </c>
      <c r="G50" s="419">
        <v>14.583330629931</v>
      </c>
      <c r="H50" s="421">
        <v>1.903</v>
      </c>
      <c r="I50" s="418">
        <v>15.302</v>
      </c>
      <c r="J50" s="419">
        <v>0.71866937006800002</v>
      </c>
      <c r="K50" s="422">
        <v>0.61208011346500002</v>
      </c>
    </row>
    <row r="51" spans="1:11" ht="14.4" customHeight="1" thickBot="1" x14ac:dyDescent="0.35">
      <c r="A51" s="440" t="s">
        <v>304</v>
      </c>
      <c r="B51" s="418">
        <v>93.999997039228006</v>
      </c>
      <c r="C51" s="418">
        <v>83.114999999999995</v>
      </c>
      <c r="D51" s="419">
        <v>-10.884997039228001</v>
      </c>
      <c r="E51" s="420">
        <v>0.88420215550900005</v>
      </c>
      <c r="F51" s="418">
        <v>82.023950381269998</v>
      </c>
      <c r="G51" s="419">
        <v>47.847304389073997</v>
      </c>
      <c r="H51" s="421">
        <v>2.5430000000000001</v>
      </c>
      <c r="I51" s="418">
        <v>50.604999999999997</v>
      </c>
      <c r="J51" s="419">
        <v>2.7576956109249999</v>
      </c>
      <c r="K51" s="422">
        <v>0.61695394777699997</v>
      </c>
    </row>
    <row r="52" spans="1:11" ht="14.4" customHeight="1" thickBot="1" x14ac:dyDescent="0.35">
      <c r="A52" s="441" t="s">
        <v>305</v>
      </c>
      <c r="B52" s="423">
        <v>2084.7233807326702</v>
      </c>
      <c r="C52" s="423">
        <v>1303.98804</v>
      </c>
      <c r="D52" s="424">
        <v>-780.73534073267103</v>
      </c>
      <c r="E52" s="430">
        <v>0.62549691342799996</v>
      </c>
      <c r="F52" s="423">
        <v>1230.0116285635399</v>
      </c>
      <c r="G52" s="424">
        <v>717.50678332873099</v>
      </c>
      <c r="H52" s="426">
        <v>33.488639999999997</v>
      </c>
      <c r="I52" s="423">
        <v>961.05913999999996</v>
      </c>
      <c r="J52" s="424">
        <v>243.552356671269</v>
      </c>
      <c r="K52" s="431">
        <v>0.78134150741499997</v>
      </c>
    </row>
    <row r="53" spans="1:11" ht="14.4" customHeight="1" thickBot="1" x14ac:dyDescent="0.35">
      <c r="A53" s="438" t="s">
        <v>45</v>
      </c>
      <c r="B53" s="418">
        <v>907.19417182578798</v>
      </c>
      <c r="C53" s="418">
        <v>94.252799999999993</v>
      </c>
      <c r="D53" s="419">
        <v>-812.941371825788</v>
      </c>
      <c r="E53" s="420">
        <v>0.10389484735100001</v>
      </c>
      <c r="F53" s="418">
        <v>91.007854056926007</v>
      </c>
      <c r="G53" s="419">
        <v>53.087914866539997</v>
      </c>
      <c r="H53" s="421">
        <v>3.82376</v>
      </c>
      <c r="I53" s="418">
        <v>314.44799999999998</v>
      </c>
      <c r="J53" s="419">
        <v>261.36008513346002</v>
      </c>
      <c r="K53" s="422">
        <v>3.4551743171889999</v>
      </c>
    </row>
    <row r="54" spans="1:11" ht="14.4" customHeight="1" thickBot="1" x14ac:dyDescent="0.35">
      <c r="A54" s="442" t="s">
        <v>306</v>
      </c>
      <c r="B54" s="418">
        <v>907.19417182578798</v>
      </c>
      <c r="C54" s="418">
        <v>94.252799999999993</v>
      </c>
      <c r="D54" s="419">
        <v>-812.941371825788</v>
      </c>
      <c r="E54" s="420">
        <v>0.10389484735100001</v>
      </c>
      <c r="F54" s="418">
        <v>91.007854056926007</v>
      </c>
      <c r="G54" s="419">
        <v>53.087914866539997</v>
      </c>
      <c r="H54" s="421">
        <v>3.82376</v>
      </c>
      <c r="I54" s="418">
        <v>314.44799999999998</v>
      </c>
      <c r="J54" s="419">
        <v>261.36008513346002</v>
      </c>
      <c r="K54" s="422">
        <v>3.4551743171889999</v>
      </c>
    </row>
    <row r="55" spans="1:11" ht="14.4" customHeight="1" thickBot="1" x14ac:dyDescent="0.35">
      <c r="A55" s="440" t="s">
        <v>307</v>
      </c>
      <c r="B55" s="418">
        <v>807.61617027596901</v>
      </c>
      <c r="C55" s="418">
        <v>25.053999999999998</v>
      </c>
      <c r="D55" s="419">
        <v>-782.56217027596904</v>
      </c>
      <c r="E55" s="420">
        <v>3.1022162410000002E-2</v>
      </c>
      <c r="F55" s="418">
        <v>21.338543037699999</v>
      </c>
      <c r="G55" s="419">
        <v>12.447483438658001</v>
      </c>
      <c r="H55" s="421">
        <v>1.0940000000000001</v>
      </c>
      <c r="I55" s="418">
        <v>284.13119999999998</v>
      </c>
      <c r="J55" s="419">
        <v>271.68371656134099</v>
      </c>
      <c r="K55" s="422">
        <v>13.315398314589</v>
      </c>
    </row>
    <row r="56" spans="1:11" ht="14.4" customHeight="1" thickBot="1" x14ac:dyDescent="0.35">
      <c r="A56" s="440" t="s">
        <v>308</v>
      </c>
      <c r="B56" s="418">
        <v>6.3033006090789998</v>
      </c>
      <c r="C56" s="418">
        <v>5.2030000000000003</v>
      </c>
      <c r="D56" s="419">
        <v>-1.100300609079</v>
      </c>
      <c r="E56" s="420">
        <v>0.82544056244200004</v>
      </c>
      <c r="F56" s="418">
        <v>16.568127304151002</v>
      </c>
      <c r="G56" s="419">
        <v>9.6647409274210005</v>
      </c>
      <c r="H56" s="421">
        <v>0</v>
      </c>
      <c r="I56" s="418">
        <v>0</v>
      </c>
      <c r="J56" s="419">
        <v>-9.6647409274210005</v>
      </c>
      <c r="K56" s="422">
        <v>0</v>
      </c>
    </row>
    <row r="57" spans="1:11" ht="14.4" customHeight="1" thickBot="1" x14ac:dyDescent="0.35">
      <c r="A57" s="440" t="s">
        <v>309</v>
      </c>
      <c r="B57" s="418">
        <v>4.0010879048519996</v>
      </c>
      <c r="C57" s="418">
        <v>11.4108</v>
      </c>
      <c r="D57" s="419">
        <v>7.4097120951470004</v>
      </c>
      <c r="E57" s="420">
        <v>2.8519243444160001</v>
      </c>
      <c r="F57" s="418">
        <v>0</v>
      </c>
      <c r="G57" s="419">
        <v>0</v>
      </c>
      <c r="H57" s="421">
        <v>0</v>
      </c>
      <c r="I57" s="418">
        <v>1.5249999999999999</v>
      </c>
      <c r="J57" s="419">
        <v>1.5249999999999999</v>
      </c>
      <c r="K57" s="429" t="s">
        <v>257</v>
      </c>
    </row>
    <row r="58" spans="1:11" ht="14.4" customHeight="1" thickBot="1" x14ac:dyDescent="0.35">
      <c r="A58" s="440" t="s">
        <v>310</v>
      </c>
      <c r="B58" s="418">
        <v>35.999998866086997</v>
      </c>
      <c r="C58" s="418">
        <v>10.70923</v>
      </c>
      <c r="D58" s="419">
        <v>-25.290768866086999</v>
      </c>
      <c r="E58" s="420">
        <v>0.29747862048000001</v>
      </c>
      <c r="F58" s="418">
        <v>11.006291240909</v>
      </c>
      <c r="G58" s="419">
        <v>6.4203365571970004</v>
      </c>
      <c r="H58" s="421">
        <v>0</v>
      </c>
      <c r="I58" s="418">
        <v>5.4617000000000004</v>
      </c>
      <c r="J58" s="419">
        <v>-0.95863655719700003</v>
      </c>
      <c r="K58" s="422">
        <v>0.49623437000199999</v>
      </c>
    </row>
    <row r="59" spans="1:11" ht="14.4" customHeight="1" thickBot="1" x14ac:dyDescent="0.35">
      <c r="A59" s="440" t="s">
        <v>311</v>
      </c>
      <c r="B59" s="418">
        <v>53.273614169799004</v>
      </c>
      <c r="C59" s="418">
        <v>41.875770000000003</v>
      </c>
      <c r="D59" s="419">
        <v>-11.397844169799001</v>
      </c>
      <c r="E59" s="420">
        <v>0.78605085561700005</v>
      </c>
      <c r="F59" s="418">
        <v>42.094892474165</v>
      </c>
      <c r="G59" s="419">
        <v>24.555353943261998</v>
      </c>
      <c r="H59" s="421">
        <v>2.7297600000000002</v>
      </c>
      <c r="I59" s="418">
        <v>23.330100000000002</v>
      </c>
      <c r="J59" s="419">
        <v>-1.225253943262</v>
      </c>
      <c r="K59" s="422">
        <v>0.55422638303000005</v>
      </c>
    </row>
    <row r="60" spans="1:11" ht="14.4" customHeight="1" thickBot="1" x14ac:dyDescent="0.35">
      <c r="A60" s="443" t="s">
        <v>46</v>
      </c>
      <c r="B60" s="423">
        <v>0</v>
      </c>
      <c r="C60" s="423">
        <v>221.36724000000001</v>
      </c>
      <c r="D60" s="424">
        <v>221.36724000000001</v>
      </c>
      <c r="E60" s="425" t="s">
        <v>257</v>
      </c>
      <c r="F60" s="423">
        <v>0</v>
      </c>
      <c r="G60" s="424">
        <v>0</v>
      </c>
      <c r="H60" s="426">
        <v>0</v>
      </c>
      <c r="I60" s="423">
        <v>88.388999999999996</v>
      </c>
      <c r="J60" s="424">
        <v>88.388999999999996</v>
      </c>
      <c r="K60" s="427" t="s">
        <v>257</v>
      </c>
    </row>
    <row r="61" spans="1:11" ht="14.4" customHeight="1" thickBot="1" x14ac:dyDescent="0.35">
      <c r="A61" s="439" t="s">
        <v>312</v>
      </c>
      <c r="B61" s="423">
        <v>0</v>
      </c>
      <c r="C61" s="423">
        <v>68.881</v>
      </c>
      <c r="D61" s="424">
        <v>68.881</v>
      </c>
      <c r="E61" s="425" t="s">
        <v>257</v>
      </c>
      <c r="F61" s="423">
        <v>0</v>
      </c>
      <c r="G61" s="424">
        <v>0</v>
      </c>
      <c r="H61" s="426">
        <v>0</v>
      </c>
      <c r="I61" s="423">
        <v>14.654</v>
      </c>
      <c r="J61" s="424">
        <v>14.654</v>
      </c>
      <c r="K61" s="427" t="s">
        <v>257</v>
      </c>
    </row>
    <row r="62" spans="1:11" ht="14.4" customHeight="1" thickBot="1" x14ac:dyDescent="0.35">
      <c r="A62" s="440" t="s">
        <v>313</v>
      </c>
      <c r="B62" s="418">
        <v>0</v>
      </c>
      <c r="C62" s="418">
        <v>68.881</v>
      </c>
      <c r="D62" s="419">
        <v>68.881</v>
      </c>
      <c r="E62" s="428" t="s">
        <v>257</v>
      </c>
      <c r="F62" s="418">
        <v>0</v>
      </c>
      <c r="G62" s="419">
        <v>0</v>
      </c>
      <c r="H62" s="421">
        <v>0</v>
      </c>
      <c r="I62" s="418">
        <v>14.654</v>
      </c>
      <c r="J62" s="419">
        <v>14.654</v>
      </c>
      <c r="K62" s="429" t="s">
        <v>257</v>
      </c>
    </row>
    <row r="63" spans="1:11" ht="14.4" customHeight="1" thickBot="1" x14ac:dyDescent="0.35">
      <c r="A63" s="439" t="s">
        <v>314</v>
      </c>
      <c r="B63" s="423">
        <v>0</v>
      </c>
      <c r="C63" s="423">
        <v>152.48624000000001</v>
      </c>
      <c r="D63" s="424">
        <v>152.48624000000001</v>
      </c>
      <c r="E63" s="425" t="s">
        <v>257</v>
      </c>
      <c r="F63" s="423">
        <v>0</v>
      </c>
      <c r="G63" s="424">
        <v>0</v>
      </c>
      <c r="H63" s="426">
        <v>0</v>
      </c>
      <c r="I63" s="423">
        <v>73.734999999999999</v>
      </c>
      <c r="J63" s="424">
        <v>73.734999999999999</v>
      </c>
      <c r="K63" s="427" t="s">
        <v>257</v>
      </c>
    </row>
    <row r="64" spans="1:11" ht="14.4" customHeight="1" thickBot="1" x14ac:dyDescent="0.35">
      <c r="A64" s="440" t="s">
        <v>315</v>
      </c>
      <c r="B64" s="418">
        <v>0</v>
      </c>
      <c r="C64" s="418">
        <v>136.89400000000001</v>
      </c>
      <c r="D64" s="419">
        <v>136.89400000000001</v>
      </c>
      <c r="E64" s="428" t="s">
        <v>257</v>
      </c>
      <c r="F64" s="418">
        <v>0</v>
      </c>
      <c r="G64" s="419">
        <v>0</v>
      </c>
      <c r="H64" s="421">
        <v>0</v>
      </c>
      <c r="I64" s="418">
        <v>73.734999999999999</v>
      </c>
      <c r="J64" s="419">
        <v>73.734999999999999</v>
      </c>
      <c r="K64" s="429" t="s">
        <v>257</v>
      </c>
    </row>
    <row r="65" spans="1:11" ht="14.4" customHeight="1" thickBot="1" x14ac:dyDescent="0.35">
      <c r="A65" s="440" t="s">
        <v>316</v>
      </c>
      <c r="B65" s="418">
        <v>0</v>
      </c>
      <c r="C65" s="418">
        <v>15.59224</v>
      </c>
      <c r="D65" s="419">
        <v>15.59224</v>
      </c>
      <c r="E65" s="428" t="s">
        <v>267</v>
      </c>
      <c r="F65" s="418">
        <v>0</v>
      </c>
      <c r="G65" s="419">
        <v>0</v>
      </c>
      <c r="H65" s="421">
        <v>0</v>
      </c>
      <c r="I65" s="418">
        <v>0</v>
      </c>
      <c r="J65" s="419">
        <v>0</v>
      </c>
      <c r="K65" s="429" t="s">
        <v>257</v>
      </c>
    </row>
    <row r="66" spans="1:11" ht="14.4" customHeight="1" thickBot="1" x14ac:dyDescent="0.35">
      <c r="A66" s="438" t="s">
        <v>47</v>
      </c>
      <c r="B66" s="418">
        <v>1177.5292089068801</v>
      </c>
      <c r="C66" s="418">
        <v>988.36800000000005</v>
      </c>
      <c r="D66" s="419">
        <v>-189.16120890688299</v>
      </c>
      <c r="E66" s="420">
        <v>0.83935752295900001</v>
      </c>
      <c r="F66" s="418">
        <v>1139.0037745066099</v>
      </c>
      <c r="G66" s="419">
        <v>664.41886846219097</v>
      </c>
      <c r="H66" s="421">
        <v>29.66488</v>
      </c>
      <c r="I66" s="418">
        <v>558.22213999999997</v>
      </c>
      <c r="J66" s="419">
        <v>-106.196728462191</v>
      </c>
      <c r="K66" s="422">
        <v>0.49009683066300003</v>
      </c>
    </row>
    <row r="67" spans="1:11" ht="14.4" customHeight="1" thickBot="1" x14ac:dyDescent="0.35">
      <c r="A67" s="439" t="s">
        <v>317</v>
      </c>
      <c r="B67" s="423">
        <v>0.20973774570699999</v>
      </c>
      <c r="C67" s="423">
        <v>0</v>
      </c>
      <c r="D67" s="424">
        <v>-0.20973774570699999</v>
      </c>
      <c r="E67" s="430">
        <v>0</v>
      </c>
      <c r="F67" s="423">
        <v>0</v>
      </c>
      <c r="G67" s="424">
        <v>0</v>
      </c>
      <c r="H67" s="426">
        <v>0</v>
      </c>
      <c r="I67" s="423">
        <v>0</v>
      </c>
      <c r="J67" s="424">
        <v>0</v>
      </c>
      <c r="K67" s="431">
        <v>0</v>
      </c>
    </row>
    <row r="68" spans="1:11" ht="14.4" customHeight="1" thickBot="1" x14ac:dyDescent="0.35">
      <c r="A68" s="440" t="s">
        <v>318</v>
      </c>
      <c r="B68" s="418">
        <v>0.20973774570699999</v>
      </c>
      <c r="C68" s="418">
        <v>0</v>
      </c>
      <c r="D68" s="419">
        <v>-0.20973774570699999</v>
      </c>
      <c r="E68" s="420">
        <v>0</v>
      </c>
      <c r="F68" s="418">
        <v>0</v>
      </c>
      <c r="G68" s="419">
        <v>0</v>
      </c>
      <c r="H68" s="421">
        <v>0</v>
      </c>
      <c r="I68" s="418">
        <v>0</v>
      </c>
      <c r="J68" s="419">
        <v>0</v>
      </c>
      <c r="K68" s="422">
        <v>0</v>
      </c>
    </row>
    <row r="69" spans="1:11" ht="14.4" customHeight="1" thickBot="1" x14ac:dyDescent="0.35">
      <c r="A69" s="439" t="s">
        <v>319</v>
      </c>
      <c r="B69" s="423">
        <v>56.540991433949003</v>
      </c>
      <c r="C69" s="423">
        <v>31.502490000000002</v>
      </c>
      <c r="D69" s="424">
        <v>-25.038501433949001</v>
      </c>
      <c r="E69" s="430">
        <v>0.55716196693800002</v>
      </c>
      <c r="F69" s="423">
        <v>24.258537649718001</v>
      </c>
      <c r="G69" s="424">
        <v>14.150813629002</v>
      </c>
      <c r="H69" s="426">
        <v>2.66086</v>
      </c>
      <c r="I69" s="423">
        <v>25.701530000000002</v>
      </c>
      <c r="J69" s="424">
        <v>11.550716370997</v>
      </c>
      <c r="K69" s="431">
        <v>1.059483896808</v>
      </c>
    </row>
    <row r="70" spans="1:11" ht="14.4" customHeight="1" thickBot="1" x14ac:dyDescent="0.35">
      <c r="A70" s="440" t="s">
        <v>320</v>
      </c>
      <c r="B70" s="418">
        <v>37.165861453504</v>
      </c>
      <c r="C70" s="418">
        <v>23.976900000000001</v>
      </c>
      <c r="D70" s="419">
        <v>-13.188961453504</v>
      </c>
      <c r="E70" s="420">
        <v>0.64513236239600003</v>
      </c>
      <c r="F70" s="418">
        <v>15.982233214042999</v>
      </c>
      <c r="G70" s="419">
        <v>9.3229693748579994</v>
      </c>
      <c r="H70" s="421">
        <v>1.8183</v>
      </c>
      <c r="I70" s="418">
        <v>19.5349</v>
      </c>
      <c r="J70" s="419">
        <v>10.211930625140999</v>
      </c>
      <c r="K70" s="422">
        <v>1.2222885086440001</v>
      </c>
    </row>
    <row r="71" spans="1:11" ht="14.4" customHeight="1" thickBot="1" x14ac:dyDescent="0.35">
      <c r="A71" s="440" t="s">
        <v>321</v>
      </c>
      <c r="B71" s="418">
        <v>19.375129980444999</v>
      </c>
      <c r="C71" s="418">
        <v>7.5255900000000002</v>
      </c>
      <c r="D71" s="419">
        <v>-11.849539980445</v>
      </c>
      <c r="E71" s="420">
        <v>0.38841494263999998</v>
      </c>
      <c r="F71" s="418">
        <v>8.2763044356739996</v>
      </c>
      <c r="G71" s="419">
        <v>4.8278442541429998</v>
      </c>
      <c r="H71" s="421">
        <v>0.84255999999999998</v>
      </c>
      <c r="I71" s="418">
        <v>6.1666299999999996</v>
      </c>
      <c r="J71" s="419">
        <v>1.338785745856</v>
      </c>
      <c r="K71" s="422">
        <v>0.74509463105499996</v>
      </c>
    </row>
    <row r="72" spans="1:11" ht="14.4" customHeight="1" thickBot="1" x14ac:dyDescent="0.35">
      <c r="A72" s="439" t="s">
        <v>322</v>
      </c>
      <c r="B72" s="423">
        <v>22.000411616270998</v>
      </c>
      <c r="C72" s="423">
        <v>32.546509999999998</v>
      </c>
      <c r="D72" s="424">
        <v>10.546098383727999</v>
      </c>
      <c r="E72" s="430">
        <v>1.4793591396229999</v>
      </c>
      <c r="F72" s="423">
        <v>37.030576448634001</v>
      </c>
      <c r="G72" s="424">
        <v>21.601169595036001</v>
      </c>
      <c r="H72" s="426">
        <v>0.67500000000000004</v>
      </c>
      <c r="I72" s="423">
        <v>16.948340000000002</v>
      </c>
      <c r="J72" s="424">
        <v>-4.6528295950359997</v>
      </c>
      <c r="K72" s="431">
        <v>0.45768501669099998</v>
      </c>
    </row>
    <row r="73" spans="1:11" ht="14.4" customHeight="1" thickBot="1" x14ac:dyDescent="0.35">
      <c r="A73" s="440" t="s">
        <v>323</v>
      </c>
      <c r="B73" s="418">
        <v>3.0004122147249999</v>
      </c>
      <c r="C73" s="418">
        <v>2.7</v>
      </c>
      <c r="D73" s="419">
        <v>-0.30041221472500002</v>
      </c>
      <c r="E73" s="420">
        <v>0.89987635257200005</v>
      </c>
      <c r="F73" s="418">
        <v>2.999995225393</v>
      </c>
      <c r="G73" s="419">
        <v>1.749997214812</v>
      </c>
      <c r="H73" s="421">
        <v>0.67500000000000004</v>
      </c>
      <c r="I73" s="418">
        <v>2.0249999999999999</v>
      </c>
      <c r="J73" s="419">
        <v>0.275002785187</v>
      </c>
      <c r="K73" s="422">
        <v>0.67500107428800005</v>
      </c>
    </row>
    <row r="74" spans="1:11" ht="14.4" customHeight="1" thickBot="1" x14ac:dyDescent="0.35">
      <c r="A74" s="440" t="s">
        <v>324</v>
      </c>
      <c r="B74" s="418">
        <v>18.999999401545001</v>
      </c>
      <c r="C74" s="418">
        <v>29.846509999999999</v>
      </c>
      <c r="D74" s="419">
        <v>10.846510598454</v>
      </c>
      <c r="E74" s="420">
        <v>1.570868996847</v>
      </c>
      <c r="F74" s="418">
        <v>34.030581223239999</v>
      </c>
      <c r="G74" s="419">
        <v>19.851172380223002</v>
      </c>
      <c r="H74" s="421">
        <v>0</v>
      </c>
      <c r="I74" s="418">
        <v>14.92334</v>
      </c>
      <c r="J74" s="419">
        <v>-4.9278323802230002</v>
      </c>
      <c r="K74" s="422">
        <v>0.43852733228599999</v>
      </c>
    </row>
    <row r="75" spans="1:11" ht="14.4" customHeight="1" thickBot="1" x14ac:dyDescent="0.35">
      <c r="A75" s="439" t="s">
        <v>325</v>
      </c>
      <c r="B75" s="423">
        <v>339.53962240085599</v>
      </c>
      <c r="C75" s="423">
        <v>261.39769000000001</v>
      </c>
      <c r="D75" s="424">
        <v>-78.141932400856007</v>
      </c>
      <c r="E75" s="430">
        <v>0.76985916445199998</v>
      </c>
      <c r="F75" s="423">
        <v>262.74554588567599</v>
      </c>
      <c r="G75" s="424">
        <v>153.268235099978</v>
      </c>
      <c r="H75" s="426">
        <v>21.362300000000001</v>
      </c>
      <c r="I75" s="423">
        <v>152.84902</v>
      </c>
      <c r="J75" s="424">
        <v>-0.41921509997700002</v>
      </c>
      <c r="K75" s="431">
        <v>0.58173781589600004</v>
      </c>
    </row>
    <row r="76" spans="1:11" ht="14.4" customHeight="1" thickBot="1" x14ac:dyDescent="0.35">
      <c r="A76" s="440" t="s">
        <v>326</v>
      </c>
      <c r="B76" s="418">
        <v>300.521922908634</v>
      </c>
      <c r="C76" s="418">
        <v>221.89814999999999</v>
      </c>
      <c r="D76" s="419">
        <v>-78.623772908633995</v>
      </c>
      <c r="E76" s="420">
        <v>0.73837591564799998</v>
      </c>
      <c r="F76" s="418">
        <v>228.475378186847</v>
      </c>
      <c r="G76" s="419">
        <v>133.27730394232799</v>
      </c>
      <c r="H76" s="421">
        <v>19.00639</v>
      </c>
      <c r="I76" s="418">
        <v>133.07515000000001</v>
      </c>
      <c r="J76" s="419">
        <v>-0.20215394232700001</v>
      </c>
      <c r="K76" s="422">
        <v>0.58244853802600005</v>
      </c>
    </row>
    <row r="77" spans="1:11" ht="14.4" customHeight="1" thickBot="1" x14ac:dyDescent="0.35">
      <c r="A77" s="440" t="s">
        <v>327</v>
      </c>
      <c r="B77" s="418">
        <v>1.6778072749749999</v>
      </c>
      <c r="C77" s="418">
        <v>0.36399999999999999</v>
      </c>
      <c r="D77" s="419">
        <v>-1.3138072749750001</v>
      </c>
      <c r="E77" s="420">
        <v>0.216949828165</v>
      </c>
      <c r="F77" s="418">
        <v>0.40187537061</v>
      </c>
      <c r="G77" s="419">
        <v>0.234427299522</v>
      </c>
      <c r="H77" s="421">
        <v>0</v>
      </c>
      <c r="I77" s="418">
        <v>0.182</v>
      </c>
      <c r="J77" s="419">
        <v>-5.2427299522000002E-2</v>
      </c>
      <c r="K77" s="422">
        <v>0.45287672076899999</v>
      </c>
    </row>
    <row r="78" spans="1:11" ht="14.4" customHeight="1" thickBot="1" x14ac:dyDescent="0.35">
      <c r="A78" s="440" t="s">
        <v>328</v>
      </c>
      <c r="B78" s="418">
        <v>37.339892217246003</v>
      </c>
      <c r="C78" s="418">
        <v>39.135539999999999</v>
      </c>
      <c r="D78" s="419">
        <v>1.795647782753</v>
      </c>
      <c r="E78" s="420">
        <v>1.0480892599339999</v>
      </c>
      <c r="F78" s="418">
        <v>33.868292328217997</v>
      </c>
      <c r="G78" s="419">
        <v>19.756503858127001</v>
      </c>
      <c r="H78" s="421">
        <v>2.3559100000000002</v>
      </c>
      <c r="I78" s="418">
        <v>19.59187</v>
      </c>
      <c r="J78" s="419">
        <v>-0.16463385812699999</v>
      </c>
      <c r="K78" s="422">
        <v>0.57847233070100001</v>
      </c>
    </row>
    <row r="79" spans="1:11" ht="14.4" customHeight="1" thickBot="1" x14ac:dyDescent="0.35">
      <c r="A79" s="439" t="s">
        <v>329</v>
      </c>
      <c r="B79" s="423">
        <v>569.238451694638</v>
      </c>
      <c r="C79" s="423">
        <v>527.35258999999996</v>
      </c>
      <c r="D79" s="424">
        <v>-41.885861694638002</v>
      </c>
      <c r="E79" s="430">
        <v>0.92641772253700005</v>
      </c>
      <c r="F79" s="423">
        <v>404.16936898103501</v>
      </c>
      <c r="G79" s="424">
        <v>235.765465238937</v>
      </c>
      <c r="H79" s="426">
        <v>3.8667199999999999</v>
      </c>
      <c r="I79" s="423">
        <v>162.31086999999999</v>
      </c>
      <c r="J79" s="424">
        <v>-73.454595238937003</v>
      </c>
      <c r="K79" s="431">
        <v>0.40159122005999998</v>
      </c>
    </row>
    <row r="80" spans="1:11" ht="14.4" customHeight="1" thickBot="1" x14ac:dyDescent="0.35">
      <c r="A80" s="440" t="s">
        <v>330</v>
      </c>
      <c r="B80" s="418">
        <v>0</v>
      </c>
      <c r="C80" s="418">
        <v>19.54</v>
      </c>
      <c r="D80" s="419">
        <v>19.54</v>
      </c>
      <c r="E80" s="428" t="s">
        <v>267</v>
      </c>
      <c r="F80" s="418">
        <v>0</v>
      </c>
      <c r="G80" s="419">
        <v>0</v>
      </c>
      <c r="H80" s="421">
        <v>0</v>
      </c>
      <c r="I80" s="418">
        <v>0</v>
      </c>
      <c r="J80" s="419">
        <v>0</v>
      </c>
      <c r="K80" s="429" t="s">
        <v>257</v>
      </c>
    </row>
    <row r="81" spans="1:11" ht="14.4" customHeight="1" thickBot="1" x14ac:dyDescent="0.35">
      <c r="A81" s="440" t="s">
        <v>331</v>
      </c>
      <c r="B81" s="418">
        <v>325.21709860875001</v>
      </c>
      <c r="C81" s="418">
        <v>352.35059999999999</v>
      </c>
      <c r="D81" s="419">
        <v>27.13350139125</v>
      </c>
      <c r="E81" s="420">
        <v>1.0834319643929999</v>
      </c>
      <c r="F81" s="418">
        <v>236.79681120822801</v>
      </c>
      <c r="G81" s="419">
        <v>138.13147320479999</v>
      </c>
      <c r="H81" s="421">
        <v>0</v>
      </c>
      <c r="I81" s="418">
        <v>108.9355</v>
      </c>
      <c r="J81" s="419">
        <v>-29.195973204798999</v>
      </c>
      <c r="K81" s="422">
        <v>0.46003786725000001</v>
      </c>
    </row>
    <row r="82" spans="1:11" ht="14.4" customHeight="1" thickBot="1" x14ac:dyDescent="0.35">
      <c r="A82" s="440" t="s">
        <v>332</v>
      </c>
      <c r="B82" s="418">
        <v>31.999998992077</v>
      </c>
      <c r="C82" s="418">
        <v>16.598600000000001</v>
      </c>
      <c r="D82" s="419">
        <v>-15.401398992077</v>
      </c>
      <c r="E82" s="420">
        <v>0.51870626633700001</v>
      </c>
      <c r="F82" s="418">
        <v>14.999976126967001</v>
      </c>
      <c r="G82" s="419">
        <v>8.7499860740639992</v>
      </c>
      <c r="H82" s="421">
        <v>1.089</v>
      </c>
      <c r="I82" s="418">
        <v>3.6150000000000002</v>
      </c>
      <c r="J82" s="419">
        <v>-5.1349860740639999</v>
      </c>
      <c r="K82" s="422">
        <v>0.24100038356</v>
      </c>
    </row>
    <row r="83" spans="1:11" ht="14.4" customHeight="1" thickBot="1" x14ac:dyDescent="0.35">
      <c r="A83" s="440" t="s">
        <v>333</v>
      </c>
      <c r="B83" s="418">
        <v>210.09022643611701</v>
      </c>
      <c r="C83" s="418">
        <v>136.94917000000001</v>
      </c>
      <c r="D83" s="419">
        <v>-73.141056436116997</v>
      </c>
      <c r="E83" s="420">
        <v>0.65185883381200005</v>
      </c>
      <c r="F83" s="418">
        <v>149.35242877788801</v>
      </c>
      <c r="G83" s="419">
        <v>87.122250120434003</v>
      </c>
      <c r="H83" s="421">
        <v>2.77772</v>
      </c>
      <c r="I83" s="418">
        <v>49.760370000000002</v>
      </c>
      <c r="J83" s="419">
        <v>-37.361880120434002</v>
      </c>
      <c r="K83" s="422">
        <v>0.33317415998599997</v>
      </c>
    </row>
    <row r="84" spans="1:11" ht="14.4" customHeight="1" thickBot="1" x14ac:dyDescent="0.35">
      <c r="A84" s="440" t="s">
        <v>334</v>
      </c>
      <c r="B84" s="418">
        <v>1.9311276576930001</v>
      </c>
      <c r="C84" s="418">
        <v>1.91422</v>
      </c>
      <c r="D84" s="419">
        <v>-1.6907657693000001E-2</v>
      </c>
      <c r="E84" s="420">
        <v>0.99124467115000003</v>
      </c>
      <c r="F84" s="418">
        <v>3.020152867952</v>
      </c>
      <c r="G84" s="419">
        <v>1.761755839638</v>
      </c>
      <c r="H84" s="421">
        <v>0</v>
      </c>
      <c r="I84" s="418">
        <v>0</v>
      </c>
      <c r="J84" s="419">
        <v>-1.761755839638</v>
      </c>
      <c r="K84" s="422">
        <v>0</v>
      </c>
    </row>
    <row r="85" spans="1:11" ht="14.4" customHeight="1" thickBot="1" x14ac:dyDescent="0.35">
      <c r="A85" s="439" t="s">
        <v>335</v>
      </c>
      <c r="B85" s="423">
        <v>189.99999401546</v>
      </c>
      <c r="C85" s="423">
        <v>135.56872000000001</v>
      </c>
      <c r="D85" s="424">
        <v>-54.431274015459998</v>
      </c>
      <c r="E85" s="430">
        <v>0.71351960142100002</v>
      </c>
      <c r="F85" s="423">
        <v>410.79974554154899</v>
      </c>
      <c r="G85" s="424">
        <v>239.63318489923699</v>
      </c>
      <c r="H85" s="426">
        <v>1.1000000000000001</v>
      </c>
      <c r="I85" s="423">
        <v>200.41238000000001</v>
      </c>
      <c r="J85" s="424">
        <v>-39.220804899236001</v>
      </c>
      <c r="K85" s="431">
        <v>0.487859065579</v>
      </c>
    </row>
    <row r="86" spans="1:11" ht="14.4" customHeight="1" thickBot="1" x14ac:dyDescent="0.35">
      <c r="A86" s="440" t="s">
        <v>336</v>
      </c>
      <c r="B86" s="418">
        <v>0</v>
      </c>
      <c r="C86" s="418">
        <v>37.50318</v>
      </c>
      <c r="D86" s="419">
        <v>37.50318</v>
      </c>
      <c r="E86" s="428" t="s">
        <v>267</v>
      </c>
      <c r="F86" s="418">
        <v>19.680867082787</v>
      </c>
      <c r="G86" s="419">
        <v>11.480505798292</v>
      </c>
      <c r="H86" s="421">
        <v>0</v>
      </c>
      <c r="I86" s="418">
        <v>0</v>
      </c>
      <c r="J86" s="419">
        <v>-11.480505798292</v>
      </c>
      <c r="K86" s="422">
        <v>0</v>
      </c>
    </row>
    <row r="87" spans="1:11" ht="14.4" customHeight="1" thickBot="1" x14ac:dyDescent="0.35">
      <c r="A87" s="440" t="s">
        <v>337</v>
      </c>
      <c r="B87" s="418">
        <v>99.999996850241999</v>
      </c>
      <c r="C87" s="418">
        <v>16.401140000000002</v>
      </c>
      <c r="D87" s="419">
        <v>-83.598856850242001</v>
      </c>
      <c r="E87" s="420">
        <v>0.16401140516500001</v>
      </c>
      <c r="F87" s="418">
        <v>231.11913310444299</v>
      </c>
      <c r="G87" s="419">
        <v>134.81949431092499</v>
      </c>
      <c r="H87" s="421">
        <v>1.1000000000000001</v>
      </c>
      <c r="I87" s="418">
        <v>47.797379999999997</v>
      </c>
      <c r="J87" s="419">
        <v>-87.022114310925005</v>
      </c>
      <c r="K87" s="422">
        <v>0.20680840810500001</v>
      </c>
    </row>
    <row r="88" spans="1:11" ht="14.4" customHeight="1" thickBot="1" x14ac:dyDescent="0.35">
      <c r="A88" s="440" t="s">
        <v>338</v>
      </c>
      <c r="B88" s="418">
        <v>89.999997165218005</v>
      </c>
      <c r="C88" s="418">
        <v>81.664400000000001</v>
      </c>
      <c r="D88" s="419">
        <v>-8.3355971652179992</v>
      </c>
      <c r="E88" s="420">
        <v>0.90738225080199997</v>
      </c>
      <c r="F88" s="418">
        <v>159.99974535431801</v>
      </c>
      <c r="G88" s="419">
        <v>93.333184790019004</v>
      </c>
      <c r="H88" s="421">
        <v>0</v>
      </c>
      <c r="I88" s="418">
        <v>152.61500000000001</v>
      </c>
      <c r="J88" s="419">
        <v>59.281815209980003</v>
      </c>
      <c r="K88" s="422">
        <v>0.95384526807799996</v>
      </c>
    </row>
    <row r="89" spans="1:11" ht="14.4" customHeight="1" thickBot="1" x14ac:dyDescent="0.35">
      <c r="A89" s="437" t="s">
        <v>48</v>
      </c>
      <c r="B89" s="418">
        <v>14899.9995306861</v>
      </c>
      <c r="C89" s="418">
        <v>14548.511909999999</v>
      </c>
      <c r="D89" s="419">
        <v>-351.48762068611398</v>
      </c>
      <c r="E89" s="420">
        <v>0.97641022605600003</v>
      </c>
      <c r="F89" s="418">
        <v>14901.001345254699</v>
      </c>
      <c r="G89" s="419">
        <v>8692.2507847319303</v>
      </c>
      <c r="H89" s="421">
        <v>1912.5603100000001</v>
      </c>
      <c r="I89" s="418">
        <v>9859.8730500000001</v>
      </c>
      <c r="J89" s="419">
        <v>1167.6222652680799</v>
      </c>
      <c r="K89" s="422">
        <v>0.66169197770900001</v>
      </c>
    </row>
    <row r="90" spans="1:11" ht="14.4" customHeight="1" thickBot="1" x14ac:dyDescent="0.35">
      <c r="A90" s="443" t="s">
        <v>339</v>
      </c>
      <c r="B90" s="423">
        <v>11048.9996519833</v>
      </c>
      <c r="C90" s="423">
        <v>10789.688</v>
      </c>
      <c r="D90" s="424">
        <v>-259.31165198328</v>
      </c>
      <c r="E90" s="430">
        <v>0.97653075751999996</v>
      </c>
      <c r="F90" s="423">
        <v>11031.000995873101</v>
      </c>
      <c r="G90" s="424">
        <v>6434.7505809259701</v>
      </c>
      <c r="H90" s="426">
        <v>1411.636</v>
      </c>
      <c r="I90" s="423">
        <v>7279.6790000000001</v>
      </c>
      <c r="J90" s="424">
        <v>844.92841907403204</v>
      </c>
      <c r="K90" s="431">
        <v>0.65992913995000002</v>
      </c>
    </row>
    <row r="91" spans="1:11" ht="14.4" customHeight="1" thickBot="1" x14ac:dyDescent="0.35">
      <c r="A91" s="439" t="s">
        <v>340</v>
      </c>
      <c r="B91" s="423">
        <v>10999.9996535267</v>
      </c>
      <c r="C91" s="423">
        <v>10708.985000000001</v>
      </c>
      <c r="D91" s="424">
        <v>-291.01465352666099</v>
      </c>
      <c r="E91" s="430">
        <v>0.97354412157299997</v>
      </c>
      <c r="F91" s="423">
        <v>10900.000984046501</v>
      </c>
      <c r="G91" s="424">
        <v>6358.3339073604502</v>
      </c>
      <c r="H91" s="426">
        <v>1397.636</v>
      </c>
      <c r="I91" s="423">
        <v>7187.6790000000001</v>
      </c>
      <c r="J91" s="424">
        <v>829.34509263955601</v>
      </c>
      <c r="K91" s="431">
        <v>0.65942003221099998</v>
      </c>
    </row>
    <row r="92" spans="1:11" ht="14.4" customHeight="1" thickBot="1" x14ac:dyDescent="0.35">
      <c r="A92" s="440" t="s">
        <v>341</v>
      </c>
      <c r="B92" s="418">
        <v>10999.9996535267</v>
      </c>
      <c r="C92" s="418">
        <v>10708.985000000001</v>
      </c>
      <c r="D92" s="419">
        <v>-291.01465352666099</v>
      </c>
      <c r="E92" s="420">
        <v>0.97354412157299997</v>
      </c>
      <c r="F92" s="418">
        <v>10900.000984046501</v>
      </c>
      <c r="G92" s="419">
        <v>6358.3339073604502</v>
      </c>
      <c r="H92" s="421">
        <v>1397.636</v>
      </c>
      <c r="I92" s="418">
        <v>7187.6790000000001</v>
      </c>
      <c r="J92" s="419">
        <v>829.34509263955601</v>
      </c>
      <c r="K92" s="422">
        <v>0.65942003221099998</v>
      </c>
    </row>
    <row r="93" spans="1:11" ht="14.4" customHeight="1" thickBot="1" x14ac:dyDescent="0.35">
      <c r="A93" s="439" t="s">
        <v>342</v>
      </c>
      <c r="B93" s="423">
        <v>14.999999527536</v>
      </c>
      <c r="C93" s="423">
        <v>70.8</v>
      </c>
      <c r="D93" s="424">
        <v>55.800000472462997</v>
      </c>
      <c r="E93" s="430">
        <v>4.7200001486680003</v>
      </c>
      <c r="F93" s="423">
        <v>100.00000902794901</v>
      </c>
      <c r="G93" s="424">
        <v>58.333338599637003</v>
      </c>
      <c r="H93" s="426">
        <v>14</v>
      </c>
      <c r="I93" s="423">
        <v>92</v>
      </c>
      <c r="J93" s="424">
        <v>33.666661400362003</v>
      </c>
      <c r="K93" s="431">
        <v>0.91999991694200001</v>
      </c>
    </row>
    <row r="94" spans="1:11" ht="14.4" customHeight="1" thickBot="1" x14ac:dyDescent="0.35">
      <c r="A94" s="440" t="s">
        <v>343</v>
      </c>
      <c r="B94" s="418">
        <v>14.999999527536</v>
      </c>
      <c r="C94" s="418">
        <v>70.8</v>
      </c>
      <c r="D94" s="419">
        <v>55.800000472462997</v>
      </c>
      <c r="E94" s="420">
        <v>4.7200001486680003</v>
      </c>
      <c r="F94" s="418">
        <v>100.00000902794901</v>
      </c>
      <c r="G94" s="419">
        <v>58.333338599637003</v>
      </c>
      <c r="H94" s="421">
        <v>14</v>
      </c>
      <c r="I94" s="418">
        <v>92</v>
      </c>
      <c r="J94" s="419">
        <v>33.666661400362003</v>
      </c>
      <c r="K94" s="422">
        <v>0.91999991694200001</v>
      </c>
    </row>
    <row r="95" spans="1:11" ht="14.4" customHeight="1" thickBot="1" x14ac:dyDescent="0.35">
      <c r="A95" s="439" t="s">
        <v>344</v>
      </c>
      <c r="B95" s="423">
        <v>33.999998929081997</v>
      </c>
      <c r="C95" s="423">
        <v>9.9030000000000005</v>
      </c>
      <c r="D95" s="424">
        <v>-24.096998929082002</v>
      </c>
      <c r="E95" s="430">
        <v>0.29126471505599999</v>
      </c>
      <c r="F95" s="423">
        <v>31.000002798663999</v>
      </c>
      <c r="G95" s="424">
        <v>18.083334965887001</v>
      </c>
      <c r="H95" s="426">
        <v>0</v>
      </c>
      <c r="I95" s="423">
        <v>0</v>
      </c>
      <c r="J95" s="424">
        <v>-18.083334965887001</v>
      </c>
      <c r="K95" s="431">
        <v>0</v>
      </c>
    </row>
    <row r="96" spans="1:11" ht="14.4" customHeight="1" thickBot="1" x14ac:dyDescent="0.35">
      <c r="A96" s="440" t="s">
        <v>345</v>
      </c>
      <c r="B96" s="418">
        <v>33.999998929081997</v>
      </c>
      <c r="C96" s="418">
        <v>9.9030000000000005</v>
      </c>
      <c r="D96" s="419">
        <v>-24.096998929082002</v>
      </c>
      <c r="E96" s="420">
        <v>0.29126471505599999</v>
      </c>
      <c r="F96" s="418">
        <v>31.000002798663999</v>
      </c>
      <c r="G96" s="419">
        <v>18.083334965887001</v>
      </c>
      <c r="H96" s="421">
        <v>0</v>
      </c>
      <c r="I96" s="418">
        <v>0</v>
      </c>
      <c r="J96" s="419">
        <v>-18.083334965887001</v>
      </c>
      <c r="K96" s="422">
        <v>0</v>
      </c>
    </row>
    <row r="97" spans="1:11" ht="14.4" customHeight="1" thickBot="1" x14ac:dyDescent="0.35">
      <c r="A97" s="438" t="s">
        <v>346</v>
      </c>
      <c r="B97" s="418">
        <v>3740.9998821675699</v>
      </c>
      <c r="C97" s="418">
        <v>3651.6333</v>
      </c>
      <c r="D97" s="419">
        <v>-89.366582167565994</v>
      </c>
      <c r="E97" s="420">
        <v>0.97611157845899998</v>
      </c>
      <c r="F97" s="418">
        <v>3706.0003345758</v>
      </c>
      <c r="G97" s="419">
        <v>2161.8335285025501</v>
      </c>
      <c r="H97" s="421">
        <v>479.95850999999999</v>
      </c>
      <c r="I97" s="418">
        <v>2472.37761</v>
      </c>
      <c r="J97" s="419">
        <v>310.54408149744899</v>
      </c>
      <c r="K97" s="422">
        <v>0.66712827490399995</v>
      </c>
    </row>
    <row r="98" spans="1:11" ht="14.4" customHeight="1" thickBot="1" x14ac:dyDescent="0.35">
      <c r="A98" s="439" t="s">
        <v>347</v>
      </c>
      <c r="B98" s="423">
        <v>990.99996878590196</v>
      </c>
      <c r="C98" s="423">
        <v>967.45506</v>
      </c>
      <c r="D98" s="424">
        <v>-23.544908785901001</v>
      </c>
      <c r="E98" s="430">
        <v>0.97624126182799997</v>
      </c>
      <c r="F98" s="423">
        <v>981.00008856418299</v>
      </c>
      <c r="G98" s="424">
        <v>572.25005166244</v>
      </c>
      <c r="H98" s="426">
        <v>127.04951</v>
      </c>
      <c r="I98" s="423">
        <v>654.45785999999998</v>
      </c>
      <c r="J98" s="424">
        <v>82.207808337559996</v>
      </c>
      <c r="K98" s="431">
        <v>0.66713333426599997</v>
      </c>
    </row>
    <row r="99" spans="1:11" ht="14.4" customHeight="1" thickBot="1" x14ac:dyDescent="0.35">
      <c r="A99" s="440" t="s">
        <v>348</v>
      </c>
      <c r="B99" s="418">
        <v>990.99996878590196</v>
      </c>
      <c r="C99" s="418">
        <v>967.45506</v>
      </c>
      <c r="D99" s="419">
        <v>-23.544908785901001</v>
      </c>
      <c r="E99" s="420">
        <v>0.97624126182799997</v>
      </c>
      <c r="F99" s="418">
        <v>981.00008856418299</v>
      </c>
      <c r="G99" s="419">
        <v>572.25005166244</v>
      </c>
      <c r="H99" s="421">
        <v>127.04951</v>
      </c>
      <c r="I99" s="418">
        <v>654.45785999999998</v>
      </c>
      <c r="J99" s="419">
        <v>82.207808337559996</v>
      </c>
      <c r="K99" s="422">
        <v>0.66713333426599997</v>
      </c>
    </row>
    <row r="100" spans="1:11" ht="14.4" customHeight="1" thickBot="1" x14ac:dyDescent="0.35">
      <c r="A100" s="439" t="s">
        <v>349</v>
      </c>
      <c r="B100" s="423">
        <v>2749.99991338167</v>
      </c>
      <c r="C100" s="423">
        <v>2684.1782400000002</v>
      </c>
      <c r="D100" s="424">
        <v>-65.821673381664993</v>
      </c>
      <c r="E100" s="430">
        <v>0.97606484528899995</v>
      </c>
      <c r="F100" s="423">
        <v>2725.0002460116202</v>
      </c>
      <c r="G100" s="424">
        <v>1589.5834768401101</v>
      </c>
      <c r="H100" s="426">
        <v>352.90899999999999</v>
      </c>
      <c r="I100" s="423">
        <v>1817.91975</v>
      </c>
      <c r="J100" s="424">
        <v>228.336273159889</v>
      </c>
      <c r="K100" s="431">
        <v>0.66712645353300004</v>
      </c>
    </row>
    <row r="101" spans="1:11" ht="14.4" customHeight="1" thickBot="1" x14ac:dyDescent="0.35">
      <c r="A101" s="440" t="s">
        <v>350</v>
      </c>
      <c r="B101" s="418">
        <v>2749.99991338167</v>
      </c>
      <c r="C101" s="418">
        <v>2684.1782400000002</v>
      </c>
      <c r="D101" s="419">
        <v>-65.821673381664993</v>
      </c>
      <c r="E101" s="420">
        <v>0.97606484528899995</v>
      </c>
      <c r="F101" s="418">
        <v>2725.0002460116202</v>
      </c>
      <c r="G101" s="419">
        <v>1589.5834768401101</v>
      </c>
      <c r="H101" s="421">
        <v>352.90899999999999</v>
      </c>
      <c r="I101" s="418">
        <v>1817.91975</v>
      </c>
      <c r="J101" s="419">
        <v>228.336273159889</v>
      </c>
      <c r="K101" s="422">
        <v>0.66712645353300004</v>
      </c>
    </row>
    <row r="102" spans="1:11" ht="14.4" customHeight="1" thickBot="1" x14ac:dyDescent="0.35">
      <c r="A102" s="438" t="s">
        <v>351</v>
      </c>
      <c r="B102" s="418">
        <v>109.999996535267</v>
      </c>
      <c r="C102" s="418">
        <v>107.19061000000001</v>
      </c>
      <c r="D102" s="419">
        <v>-2.8093865352659999</v>
      </c>
      <c r="E102" s="420">
        <v>0.97446012160200002</v>
      </c>
      <c r="F102" s="418">
        <v>164.000014805837</v>
      </c>
      <c r="G102" s="419">
        <v>95.666675303404006</v>
      </c>
      <c r="H102" s="421">
        <v>20.965800000000002</v>
      </c>
      <c r="I102" s="418">
        <v>107.81644</v>
      </c>
      <c r="J102" s="419">
        <v>12.149764696595</v>
      </c>
      <c r="K102" s="422">
        <v>0.65741725772100001</v>
      </c>
    </row>
    <row r="103" spans="1:11" ht="14.4" customHeight="1" thickBot="1" x14ac:dyDescent="0.35">
      <c r="A103" s="439" t="s">
        <v>352</v>
      </c>
      <c r="B103" s="423">
        <v>109.999996535267</v>
      </c>
      <c r="C103" s="423">
        <v>107.19061000000001</v>
      </c>
      <c r="D103" s="424">
        <v>-2.8093865352659999</v>
      </c>
      <c r="E103" s="430">
        <v>0.97446012160200002</v>
      </c>
      <c r="F103" s="423">
        <v>164.000014805837</v>
      </c>
      <c r="G103" s="424">
        <v>95.666675303404006</v>
      </c>
      <c r="H103" s="426">
        <v>20.965800000000002</v>
      </c>
      <c r="I103" s="423">
        <v>107.81644</v>
      </c>
      <c r="J103" s="424">
        <v>12.149764696595</v>
      </c>
      <c r="K103" s="431">
        <v>0.65741725772100001</v>
      </c>
    </row>
    <row r="104" spans="1:11" ht="14.4" customHeight="1" thickBot="1" x14ac:dyDescent="0.35">
      <c r="A104" s="440" t="s">
        <v>353</v>
      </c>
      <c r="B104" s="418">
        <v>109.999996535267</v>
      </c>
      <c r="C104" s="418">
        <v>107.19061000000001</v>
      </c>
      <c r="D104" s="419">
        <v>-2.8093865352659999</v>
      </c>
      <c r="E104" s="420">
        <v>0.97446012160200002</v>
      </c>
      <c r="F104" s="418">
        <v>164.000014805837</v>
      </c>
      <c r="G104" s="419">
        <v>95.666675303404006</v>
      </c>
      <c r="H104" s="421">
        <v>20.965800000000002</v>
      </c>
      <c r="I104" s="418">
        <v>107.81644</v>
      </c>
      <c r="J104" s="419">
        <v>12.149764696595</v>
      </c>
      <c r="K104" s="422">
        <v>0.65741725772100001</v>
      </c>
    </row>
    <row r="105" spans="1:11" ht="14.4" customHeight="1" thickBot="1" x14ac:dyDescent="0.35">
      <c r="A105" s="437" t="s">
        <v>354</v>
      </c>
      <c r="B105" s="418">
        <v>0</v>
      </c>
      <c r="C105" s="418">
        <v>106.84538000000001</v>
      </c>
      <c r="D105" s="419">
        <v>106.84538000000001</v>
      </c>
      <c r="E105" s="428" t="s">
        <v>257</v>
      </c>
      <c r="F105" s="418">
        <v>0</v>
      </c>
      <c r="G105" s="419">
        <v>0</v>
      </c>
      <c r="H105" s="421">
        <v>0</v>
      </c>
      <c r="I105" s="418">
        <v>64.484499999999997</v>
      </c>
      <c r="J105" s="419">
        <v>64.484499999999997</v>
      </c>
      <c r="K105" s="429" t="s">
        <v>257</v>
      </c>
    </row>
    <row r="106" spans="1:11" ht="14.4" customHeight="1" thickBot="1" x14ac:dyDescent="0.35">
      <c r="A106" s="438" t="s">
        <v>355</v>
      </c>
      <c r="B106" s="418">
        <v>0</v>
      </c>
      <c r="C106" s="418">
        <v>106.84538000000001</v>
      </c>
      <c r="D106" s="419">
        <v>106.84538000000001</v>
      </c>
      <c r="E106" s="428" t="s">
        <v>257</v>
      </c>
      <c r="F106" s="418">
        <v>0</v>
      </c>
      <c r="G106" s="419">
        <v>0</v>
      </c>
      <c r="H106" s="421">
        <v>0</v>
      </c>
      <c r="I106" s="418">
        <v>64.484499999999997</v>
      </c>
      <c r="J106" s="419">
        <v>64.484499999999997</v>
      </c>
      <c r="K106" s="429" t="s">
        <v>257</v>
      </c>
    </row>
    <row r="107" spans="1:11" ht="14.4" customHeight="1" thickBot="1" x14ac:dyDescent="0.35">
      <c r="A107" s="439" t="s">
        <v>356</v>
      </c>
      <c r="B107" s="423">
        <v>0</v>
      </c>
      <c r="C107" s="423">
        <v>47.507379999999998</v>
      </c>
      <c r="D107" s="424">
        <v>47.507379999999998</v>
      </c>
      <c r="E107" s="425" t="s">
        <v>257</v>
      </c>
      <c r="F107" s="423">
        <v>0</v>
      </c>
      <c r="G107" s="424">
        <v>0</v>
      </c>
      <c r="H107" s="426">
        <v>0</v>
      </c>
      <c r="I107" s="423">
        <v>12.5025</v>
      </c>
      <c r="J107" s="424">
        <v>12.5025</v>
      </c>
      <c r="K107" s="427" t="s">
        <v>257</v>
      </c>
    </row>
    <row r="108" spans="1:11" ht="14.4" customHeight="1" thickBot="1" x14ac:dyDescent="0.35">
      <c r="A108" s="440" t="s">
        <v>357</v>
      </c>
      <c r="B108" s="418">
        <v>0</v>
      </c>
      <c r="C108" s="418">
        <v>0.59075</v>
      </c>
      <c r="D108" s="419">
        <v>0.59075</v>
      </c>
      <c r="E108" s="428" t="s">
        <v>257</v>
      </c>
      <c r="F108" s="418">
        <v>0</v>
      </c>
      <c r="G108" s="419">
        <v>0</v>
      </c>
      <c r="H108" s="421">
        <v>0</v>
      </c>
      <c r="I108" s="418">
        <v>0</v>
      </c>
      <c r="J108" s="419">
        <v>0</v>
      </c>
      <c r="K108" s="429" t="s">
        <v>257</v>
      </c>
    </row>
    <row r="109" spans="1:11" ht="14.4" customHeight="1" thickBot="1" x14ac:dyDescent="0.35">
      <c r="A109" s="440" t="s">
        <v>358</v>
      </c>
      <c r="B109" s="418">
        <v>0</v>
      </c>
      <c r="C109" s="418">
        <v>4.1666299999999996</v>
      </c>
      <c r="D109" s="419">
        <v>4.1666299999999996</v>
      </c>
      <c r="E109" s="428" t="s">
        <v>257</v>
      </c>
      <c r="F109" s="418">
        <v>0</v>
      </c>
      <c r="G109" s="419">
        <v>0</v>
      </c>
      <c r="H109" s="421">
        <v>0</v>
      </c>
      <c r="I109" s="418">
        <v>0</v>
      </c>
      <c r="J109" s="419">
        <v>0</v>
      </c>
      <c r="K109" s="429" t="s">
        <v>257</v>
      </c>
    </row>
    <row r="110" spans="1:11" ht="14.4" customHeight="1" thickBot="1" x14ac:dyDescent="0.35">
      <c r="A110" s="440" t="s">
        <v>359</v>
      </c>
      <c r="B110" s="418">
        <v>0</v>
      </c>
      <c r="C110" s="418">
        <v>42.75</v>
      </c>
      <c r="D110" s="419">
        <v>42.75</v>
      </c>
      <c r="E110" s="428" t="s">
        <v>257</v>
      </c>
      <c r="F110" s="418">
        <v>0</v>
      </c>
      <c r="G110" s="419">
        <v>0</v>
      </c>
      <c r="H110" s="421">
        <v>0</v>
      </c>
      <c r="I110" s="418">
        <v>12.2</v>
      </c>
      <c r="J110" s="419">
        <v>12.2</v>
      </c>
      <c r="K110" s="429" t="s">
        <v>257</v>
      </c>
    </row>
    <row r="111" spans="1:11" ht="14.4" customHeight="1" thickBot="1" x14ac:dyDescent="0.35">
      <c r="A111" s="440" t="s">
        <v>360</v>
      </c>
      <c r="B111" s="418">
        <v>0</v>
      </c>
      <c r="C111" s="418">
        <v>0</v>
      </c>
      <c r="D111" s="419">
        <v>0</v>
      </c>
      <c r="E111" s="428" t="s">
        <v>257</v>
      </c>
      <c r="F111" s="418">
        <v>0</v>
      </c>
      <c r="G111" s="419">
        <v>0</v>
      </c>
      <c r="H111" s="421">
        <v>0</v>
      </c>
      <c r="I111" s="418">
        <v>0.30249999999999999</v>
      </c>
      <c r="J111" s="419">
        <v>0.30249999999999999</v>
      </c>
      <c r="K111" s="429" t="s">
        <v>267</v>
      </c>
    </row>
    <row r="112" spans="1:11" ht="14.4" customHeight="1" thickBot="1" x14ac:dyDescent="0.35">
      <c r="A112" s="442" t="s">
        <v>361</v>
      </c>
      <c r="B112" s="418">
        <v>0</v>
      </c>
      <c r="C112" s="418">
        <v>12.8</v>
      </c>
      <c r="D112" s="419">
        <v>12.8</v>
      </c>
      <c r="E112" s="428" t="s">
        <v>257</v>
      </c>
      <c r="F112" s="418">
        <v>0</v>
      </c>
      <c r="G112" s="419">
        <v>0</v>
      </c>
      <c r="H112" s="421">
        <v>0</v>
      </c>
      <c r="I112" s="418">
        <v>2.5</v>
      </c>
      <c r="J112" s="419">
        <v>2.5</v>
      </c>
      <c r="K112" s="429" t="s">
        <v>257</v>
      </c>
    </row>
    <row r="113" spans="1:11" ht="14.4" customHeight="1" thickBot="1" x14ac:dyDescent="0.35">
      <c r="A113" s="440" t="s">
        <v>362</v>
      </c>
      <c r="B113" s="418">
        <v>0</v>
      </c>
      <c r="C113" s="418">
        <v>12.8</v>
      </c>
      <c r="D113" s="419">
        <v>12.8</v>
      </c>
      <c r="E113" s="428" t="s">
        <v>257</v>
      </c>
      <c r="F113" s="418">
        <v>0</v>
      </c>
      <c r="G113" s="419">
        <v>0</v>
      </c>
      <c r="H113" s="421">
        <v>0</v>
      </c>
      <c r="I113" s="418">
        <v>2.5</v>
      </c>
      <c r="J113" s="419">
        <v>2.5</v>
      </c>
      <c r="K113" s="429" t="s">
        <v>257</v>
      </c>
    </row>
    <row r="114" spans="1:11" ht="14.4" customHeight="1" thickBot="1" x14ac:dyDescent="0.35">
      <c r="A114" s="442" t="s">
        <v>363</v>
      </c>
      <c r="B114" s="418">
        <v>0</v>
      </c>
      <c r="C114" s="418">
        <v>13.4</v>
      </c>
      <c r="D114" s="419">
        <v>13.4</v>
      </c>
      <c r="E114" s="428" t="s">
        <v>257</v>
      </c>
      <c r="F114" s="418">
        <v>0</v>
      </c>
      <c r="G114" s="419">
        <v>0</v>
      </c>
      <c r="H114" s="421">
        <v>0</v>
      </c>
      <c r="I114" s="418">
        <v>0.2</v>
      </c>
      <c r="J114" s="419">
        <v>0.2</v>
      </c>
      <c r="K114" s="429" t="s">
        <v>257</v>
      </c>
    </row>
    <row r="115" spans="1:11" ht="14.4" customHeight="1" thickBot="1" x14ac:dyDescent="0.35">
      <c r="A115" s="440" t="s">
        <v>364</v>
      </c>
      <c r="B115" s="418">
        <v>0</v>
      </c>
      <c r="C115" s="418">
        <v>13.4</v>
      </c>
      <c r="D115" s="419">
        <v>13.4</v>
      </c>
      <c r="E115" s="428" t="s">
        <v>257</v>
      </c>
      <c r="F115" s="418">
        <v>0</v>
      </c>
      <c r="G115" s="419">
        <v>0</v>
      </c>
      <c r="H115" s="421">
        <v>0</v>
      </c>
      <c r="I115" s="418">
        <v>0.2</v>
      </c>
      <c r="J115" s="419">
        <v>0.2</v>
      </c>
      <c r="K115" s="429" t="s">
        <v>257</v>
      </c>
    </row>
    <row r="116" spans="1:11" ht="14.4" customHeight="1" thickBot="1" x14ac:dyDescent="0.35">
      <c r="A116" s="442" t="s">
        <v>365</v>
      </c>
      <c r="B116" s="418">
        <v>0</v>
      </c>
      <c r="C116" s="418">
        <v>33.137999999999998</v>
      </c>
      <c r="D116" s="419">
        <v>33.137999999999998</v>
      </c>
      <c r="E116" s="428" t="s">
        <v>257</v>
      </c>
      <c r="F116" s="418">
        <v>0</v>
      </c>
      <c r="G116" s="419">
        <v>0</v>
      </c>
      <c r="H116" s="421">
        <v>0</v>
      </c>
      <c r="I116" s="418">
        <v>49.281999999999996</v>
      </c>
      <c r="J116" s="419">
        <v>49.281999999999996</v>
      </c>
      <c r="K116" s="429" t="s">
        <v>257</v>
      </c>
    </row>
    <row r="117" spans="1:11" ht="14.4" customHeight="1" thickBot="1" x14ac:dyDescent="0.35">
      <c r="A117" s="440" t="s">
        <v>366</v>
      </c>
      <c r="B117" s="418">
        <v>0</v>
      </c>
      <c r="C117" s="418">
        <v>33.137999999999998</v>
      </c>
      <c r="D117" s="419">
        <v>33.137999999999998</v>
      </c>
      <c r="E117" s="428" t="s">
        <v>257</v>
      </c>
      <c r="F117" s="418">
        <v>0</v>
      </c>
      <c r="G117" s="419">
        <v>0</v>
      </c>
      <c r="H117" s="421">
        <v>0</v>
      </c>
      <c r="I117" s="418">
        <v>49.281999999999996</v>
      </c>
      <c r="J117" s="419">
        <v>49.281999999999996</v>
      </c>
      <c r="K117" s="429" t="s">
        <v>257</v>
      </c>
    </row>
    <row r="118" spans="1:11" ht="14.4" customHeight="1" thickBot="1" x14ac:dyDescent="0.35">
      <c r="A118" s="437" t="s">
        <v>367</v>
      </c>
      <c r="B118" s="418">
        <v>2050.9998984448798</v>
      </c>
      <c r="C118" s="418">
        <v>2114.5818399999998</v>
      </c>
      <c r="D118" s="419">
        <v>63.581941555116998</v>
      </c>
      <c r="E118" s="420">
        <v>1.0310004606059999</v>
      </c>
      <c r="F118" s="418">
        <v>1856.8922530730699</v>
      </c>
      <c r="G118" s="419">
        <v>1083.1871476259601</v>
      </c>
      <c r="H118" s="421">
        <v>168.59399999999999</v>
      </c>
      <c r="I118" s="418">
        <v>1216.2629999999999</v>
      </c>
      <c r="J118" s="419">
        <v>133.07585237404399</v>
      </c>
      <c r="K118" s="422">
        <v>0.65499923217699996</v>
      </c>
    </row>
    <row r="119" spans="1:11" ht="14.4" customHeight="1" thickBot="1" x14ac:dyDescent="0.35">
      <c r="A119" s="438" t="s">
        <v>368</v>
      </c>
      <c r="B119" s="418">
        <v>2050.9998984448798</v>
      </c>
      <c r="C119" s="418">
        <v>2075.7510000000002</v>
      </c>
      <c r="D119" s="419">
        <v>24.751101555117</v>
      </c>
      <c r="E119" s="420">
        <v>1.012067821931</v>
      </c>
      <c r="F119" s="418">
        <v>1781.0041127914401</v>
      </c>
      <c r="G119" s="419">
        <v>1038.9190657950101</v>
      </c>
      <c r="H119" s="421">
        <v>168.59399999999999</v>
      </c>
      <c r="I119" s="418">
        <v>1184.92</v>
      </c>
      <c r="J119" s="419">
        <v>146.00093420499201</v>
      </c>
      <c r="K119" s="422">
        <v>0.66531008630999999</v>
      </c>
    </row>
    <row r="120" spans="1:11" ht="14.4" customHeight="1" thickBot="1" x14ac:dyDescent="0.35">
      <c r="A120" s="439" t="s">
        <v>369</v>
      </c>
      <c r="B120" s="423">
        <v>2050.9998984448798</v>
      </c>
      <c r="C120" s="423">
        <v>2075.7510000000002</v>
      </c>
      <c r="D120" s="424">
        <v>24.751101555117</v>
      </c>
      <c r="E120" s="430">
        <v>1.012067821931</v>
      </c>
      <c r="F120" s="423">
        <v>1781.0041127914401</v>
      </c>
      <c r="G120" s="424">
        <v>1038.9190657950101</v>
      </c>
      <c r="H120" s="426">
        <v>168.59399999999999</v>
      </c>
      <c r="I120" s="423">
        <v>1184.92</v>
      </c>
      <c r="J120" s="424">
        <v>146.00093420499201</v>
      </c>
      <c r="K120" s="431">
        <v>0.66531008630999999</v>
      </c>
    </row>
    <row r="121" spans="1:11" ht="14.4" customHeight="1" thickBot="1" x14ac:dyDescent="0.35">
      <c r="A121" s="440" t="s">
        <v>370</v>
      </c>
      <c r="B121" s="418">
        <v>41.999998677100002</v>
      </c>
      <c r="C121" s="418">
        <v>42.335999999999999</v>
      </c>
      <c r="D121" s="419">
        <v>0.33600132289899998</v>
      </c>
      <c r="E121" s="420">
        <v>1.0080000317490001</v>
      </c>
      <c r="F121" s="418">
        <v>42.000096988905</v>
      </c>
      <c r="G121" s="419">
        <v>24.500056576860999</v>
      </c>
      <c r="H121" s="421">
        <v>3.528</v>
      </c>
      <c r="I121" s="418">
        <v>24.696000000000002</v>
      </c>
      <c r="J121" s="419">
        <v>0.19594342313800001</v>
      </c>
      <c r="K121" s="422">
        <v>0.58799864215800002</v>
      </c>
    </row>
    <row r="122" spans="1:11" ht="14.4" customHeight="1" thickBot="1" x14ac:dyDescent="0.35">
      <c r="A122" s="440" t="s">
        <v>371</v>
      </c>
      <c r="B122" s="418">
        <v>420.999986739512</v>
      </c>
      <c r="C122" s="418">
        <v>421.584</v>
      </c>
      <c r="D122" s="419">
        <v>0.58401326048699997</v>
      </c>
      <c r="E122" s="420">
        <v>1.0013872049370001</v>
      </c>
      <c r="F122" s="418">
        <v>421.000972198314</v>
      </c>
      <c r="G122" s="419">
        <v>245.58390044901699</v>
      </c>
      <c r="H122" s="421">
        <v>35.131999999999998</v>
      </c>
      <c r="I122" s="418">
        <v>245.92400000000001</v>
      </c>
      <c r="J122" s="419">
        <v>0.34009955098299999</v>
      </c>
      <c r="K122" s="422">
        <v>0.58414116888099998</v>
      </c>
    </row>
    <row r="123" spans="1:11" ht="14.4" customHeight="1" thickBot="1" x14ac:dyDescent="0.35">
      <c r="A123" s="440" t="s">
        <v>372</v>
      </c>
      <c r="B123" s="418">
        <v>1583.99995010781</v>
      </c>
      <c r="C123" s="418">
        <v>1607.1389999999999</v>
      </c>
      <c r="D123" s="419">
        <v>23.139049892191</v>
      </c>
      <c r="E123" s="420">
        <v>1.014607986503</v>
      </c>
      <c r="F123" s="418">
        <v>1314.0030343671899</v>
      </c>
      <c r="G123" s="419">
        <v>766.50177004752504</v>
      </c>
      <c r="H123" s="421">
        <v>129.54300000000001</v>
      </c>
      <c r="I123" s="418">
        <v>911.56299999999999</v>
      </c>
      <c r="J123" s="419">
        <v>145.061229952476</v>
      </c>
      <c r="K123" s="422">
        <v>0.69372975264000003</v>
      </c>
    </row>
    <row r="124" spans="1:11" ht="14.4" customHeight="1" thickBot="1" x14ac:dyDescent="0.35">
      <c r="A124" s="440" t="s">
        <v>373</v>
      </c>
      <c r="B124" s="418">
        <v>3.9999629204609999</v>
      </c>
      <c r="C124" s="418">
        <v>4.6920000000000002</v>
      </c>
      <c r="D124" s="419">
        <v>0.69203707953799998</v>
      </c>
      <c r="E124" s="420">
        <v>1.173010873675</v>
      </c>
      <c r="F124" s="418">
        <v>4.0000092370380003</v>
      </c>
      <c r="G124" s="419">
        <v>2.3333387216050001</v>
      </c>
      <c r="H124" s="421">
        <v>0.39100000000000001</v>
      </c>
      <c r="I124" s="418">
        <v>2.7370000000000001</v>
      </c>
      <c r="J124" s="419">
        <v>0.40366127839400001</v>
      </c>
      <c r="K124" s="422">
        <v>0.68424841989200003</v>
      </c>
    </row>
    <row r="125" spans="1:11" ht="14.4" customHeight="1" thickBot="1" x14ac:dyDescent="0.35">
      <c r="A125" s="438" t="s">
        <v>374</v>
      </c>
      <c r="B125" s="418">
        <v>0</v>
      </c>
      <c r="C125" s="418">
        <v>38.830840000000002</v>
      </c>
      <c r="D125" s="419">
        <v>38.830840000000002</v>
      </c>
      <c r="E125" s="428" t="s">
        <v>257</v>
      </c>
      <c r="F125" s="418">
        <v>75.888140281624999</v>
      </c>
      <c r="G125" s="419">
        <v>44.268081830947999</v>
      </c>
      <c r="H125" s="421">
        <v>0</v>
      </c>
      <c r="I125" s="418">
        <v>31.343</v>
      </c>
      <c r="J125" s="419">
        <v>-12.925081830948001</v>
      </c>
      <c r="K125" s="422">
        <v>0.413015787232</v>
      </c>
    </row>
    <row r="126" spans="1:11" ht="14.4" customHeight="1" thickBot="1" x14ac:dyDescent="0.35">
      <c r="A126" s="439" t="s">
        <v>375</v>
      </c>
      <c r="B126" s="423">
        <v>0</v>
      </c>
      <c r="C126" s="423">
        <v>20.68084</v>
      </c>
      <c r="D126" s="424">
        <v>20.68084</v>
      </c>
      <c r="E126" s="425" t="s">
        <v>257</v>
      </c>
      <c r="F126" s="423">
        <v>31</v>
      </c>
      <c r="G126" s="424">
        <v>18.083333333333002</v>
      </c>
      <c r="H126" s="426">
        <v>0</v>
      </c>
      <c r="I126" s="423">
        <v>31.343</v>
      </c>
      <c r="J126" s="424">
        <v>13.259666666666</v>
      </c>
      <c r="K126" s="431">
        <v>1.0110645161289999</v>
      </c>
    </row>
    <row r="127" spans="1:11" ht="14.4" customHeight="1" thickBot="1" x14ac:dyDescent="0.35">
      <c r="A127" s="440" t="s">
        <v>376</v>
      </c>
      <c r="B127" s="418">
        <v>0</v>
      </c>
      <c r="C127" s="418">
        <v>20.68084</v>
      </c>
      <c r="D127" s="419">
        <v>20.68084</v>
      </c>
      <c r="E127" s="428" t="s">
        <v>257</v>
      </c>
      <c r="F127" s="418">
        <v>31</v>
      </c>
      <c r="G127" s="419">
        <v>18.083333333333002</v>
      </c>
      <c r="H127" s="421">
        <v>0</v>
      </c>
      <c r="I127" s="418">
        <v>31.343</v>
      </c>
      <c r="J127" s="419">
        <v>13.259666666666</v>
      </c>
      <c r="K127" s="422">
        <v>1.0110645161289999</v>
      </c>
    </row>
    <row r="128" spans="1:11" ht="14.4" customHeight="1" thickBot="1" x14ac:dyDescent="0.35">
      <c r="A128" s="439" t="s">
        <v>377</v>
      </c>
      <c r="B128" s="423">
        <v>0</v>
      </c>
      <c r="C128" s="423">
        <v>18.149999999999999</v>
      </c>
      <c r="D128" s="424">
        <v>18.149999999999999</v>
      </c>
      <c r="E128" s="425" t="s">
        <v>257</v>
      </c>
      <c r="F128" s="423">
        <v>44.888140281624999</v>
      </c>
      <c r="G128" s="424">
        <v>26.184748497613999</v>
      </c>
      <c r="H128" s="426">
        <v>0</v>
      </c>
      <c r="I128" s="423">
        <v>0</v>
      </c>
      <c r="J128" s="424">
        <v>-26.184748497613999</v>
      </c>
      <c r="K128" s="431">
        <v>0</v>
      </c>
    </row>
    <row r="129" spans="1:11" ht="14.4" customHeight="1" thickBot="1" x14ac:dyDescent="0.35">
      <c r="A129" s="440" t="s">
        <v>378</v>
      </c>
      <c r="B129" s="418">
        <v>0</v>
      </c>
      <c r="C129" s="418">
        <v>18.149999999999999</v>
      </c>
      <c r="D129" s="419">
        <v>18.149999999999999</v>
      </c>
      <c r="E129" s="428" t="s">
        <v>267</v>
      </c>
      <c r="F129" s="418">
        <v>44.888140281624999</v>
      </c>
      <c r="G129" s="419">
        <v>26.184748497613999</v>
      </c>
      <c r="H129" s="421">
        <v>0</v>
      </c>
      <c r="I129" s="418">
        <v>0</v>
      </c>
      <c r="J129" s="419">
        <v>-26.184748497613999</v>
      </c>
      <c r="K129" s="422">
        <v>0</v>
      </c>
    </row>
    <row r="130" spans="1:11" ht="14.4" customHeight="1" thickBot="1" x14ac:dyDescent="0.35">
      <c r="A130" s="437" t="s">
        <v>379</v>
      </c>
      <c r="B130" s="418">
        <v>0</v>
      </c>
      <c r="C130" s="418">
        <v>1.20431</v>
      </c>
      <c r="D130" s="419">
        <v>1.20431</v>
      </c>
      <c r="E130" s="428" t="s">
        <v>257</v>
      </c>
      <c r="F130" s="418">
        <v>0</v>
      </c>
      <c r="G130" s="419">
        <v>0</v>
      </c>
      <c r="H130" s="421">
        <v>0.28316999999999998</v>
      </c>
      <c r="I130" s="418">
        <v>0.28316999999999998</v>
      </c>
      <c r="J130" s="419">
        <v>0.28316999999999998</v>
      </c>
      <c r="K130" s="429" t="s">
        <v>257</v>
      </c>
    </row>
    <row r="131" spans="1:11" ht="14.4" customHeight="1" thickBot="1" x14ac:dyDescent="0.35">
      <c r="A131" s="438" t="s">
        <v>380</v>
      </c>
      <c r="B131" s="418">
        <v>0</v>
      </c>
      <c r="C131" s="418">
        <v>1.20431</v>
      </c>
      <c r="D131" s="419">
        <v>1.20431</v>
      </c>
      <c r="E131" s="428" t="s">
        <v>257</v>
      </c>
      <c r="F131" s="418">
        <v>0</v>
      </c>
      <c r="G131" s="419">
        <v>0</v>
      </c>
      <c r="H131" s="421">
        <v>0.28316999999999998</v>
      </c>
      <c r="I131" s="418">
        <v>0.28316999999999998</v>
      </c>
      <c r="J131" s="419">
        <v>0.28316999999999998</v>
      </c>
      <c r="K131" s="429" t="s">
        <v>257</v>
      </c>
    </row>
    <row r="132" spans="1:11" ht="14.4" customHeight="1" thickBot="1" x14ac:dyDescent="0.35">
      <c r="A132" s="439" t="s">
        <v>381</v>
      </c>
      <c r="B132" s="423">
        <v>0</v>
      </c>
      <c r="C132" s="423">
        <v>1.20431</v>
      </c>
      <c r="D132" s="424">
        <v>1.20431</v>
      </c>
      <c r="E132" s="425" t="s">
        <v>257</v>
      </c>
      <c r="F132" s="423">
        <v>0</v>
      </c>
      <c r="G132" s="424">
        <v>0</v>
      </c>
      <c r="H132" s="426">
        <v>0.28316999999999998</v>
      </c>
      <c r="I132" s="423">
        <v>0.28316999999999998</v>
      </c>
      <c r="J132" s="424">
        <v>0.28316999999999998</v>
      </c>
      <c r="K132" s="427" t="s">
        <v>257</v>
      </c>
    </row>
    <row r="133" spans="1:11" ht="14.4" customHeight="1" thickBot="1" x14ac:dyDescent="0.35">
      <c r="A133" s="440" t="s">
        <v>382</v>
      </c>
      <c r="B133" s="418">
        <v>0</v>
      </c>
      <c r="C133" s="418">
        <v>1.20431</v>
      </c>
      <c r="D133" s="419">
        <v>1.20431</v>
      </c>
      <c r="E133" s="428" t="s">
        <v>257</v>
      </c>
      <c r="F133" s="418">
        <v>0</v>
      </c>
      <c r="G133" s="419">
        <v>0</v>
      </c>
      <c r="H133" s="421">
        <v>0.28316999999999998</v>
      </c>
      <c r="I133" s="418">
        <v>0.28316999999999998</v>
      </c>
      <c r="J133" s="419">
        <v>0.28316999999999998</v>
      </c>
      <c r="K133" s="429" t="s">
        <v>257</v>
      </c>
    </row>
    <row r="134" spans="1:11" ht="14.4" customHeight="1" thickBot="1" x14ac:dyDescent="0.35">
      <c r="A134" s="436" t="s">
        <v>383</v>
      </c>
      <c r="B134" s="418">
        <v>59224.982298911498</v>
      </c>
      <c r="C134" s="418">
        <v>76503.901259999999</v>
      </c>
      <c r="D134" s="419">
        <v>17278.918961088501</v>
      </c>
      <c r="E134" s="420">
        <v>1.2917505128810001</v>
      </c>
      <c r="F134" s="418">
        <v>77975.618239885094</v>
      </c>
      <c r="G134" s="419">
        <v>45485.777306599601</v>
      </c>
      <c r="H134" s="421">
        <v>6626.5775700000004</v>
      </c>
      <c r="I134" s="418">
        <v>62216.819909999998</v>
      </c>
      <c r="J134" s="419">
        <v>16731.042603400401</v>
      </c>
      <c r="K134" s="422">
        <v>0.79790095050700005</v>
      </c>
    </row>
    <row r="135" spans="1:11" ht="14.4" customHeight="1" thickBot="1" x14ac:dyDescent="0.35">
      <c r="A135" s="437" t="s">
        <v>384</v>
      </c>
      <c r="B135" s="418">
        <v>59201.982298911498</v>
      </c>
      <c r="C135" s="418">
        <v>76495.840389999998</v>
      </c>
      <c r="D135" s="419">
        <v>17293.858091088499</v>
      </c>
      <c r="E135" s="420">
        <v>1.2921161998220001</v>
      </c>
      <c r="F135" s="418">
        <v>77973.232826761203</v>
      </c>
      <c r="G135" s="419">
        <v>45484.385815610702</v>
      </c>
      <c r="H135" s="421">
        <v>6624.0977700000003</v>
      </c>
      <c r="I135" s="418">
        <v>62195.042309999997</v>
      </c>
      <c r="J135" s="419">
        <v>16710.656494389299</v>
      </c>
      <c r="K135" s="422">
        <v>0.79764606461999998</v>
      </c>
    </row>
    <row r="136" spans="1:11" ht="14.4" customHeight="1" thickBot="1" x14ac:dyDescent="0.35">
      <c r="A136" s="438" t="s">
        <v>385</v>
      </c>
      <c r="B136" s="418">
        <v>59201.982298911498</v>
      </c>
      <c r="C136" s="418">
        <v>76495.840389999998</v>
      </c>
      <c r="D136" s="419">
        <v>17293.858091088499</v>
      </c>
      <c r="E136" s="420">
        <v>1.2921161998220001</v>
      </c>
      <c r="F136" s="418">
        <v>77973.232826761203</v>
      </c>
      <c r="G136" s="419">
        <v>45484.385815610702</v>
      </c>
      <c r="H136" s="421">
        <v>6624.0977700000003</v>
      </c>
      <c r="I136" s="418">
        <v>62195.042309999997</v>
      </c>
      <c r="J136" s="419">
        <v>16710.656494389299</v>
      </c>
      <c r="K136" s="422">
        <v>0.79764606461999998</v>
      </c>
    </row>
    <row r="137" spans="1:11" ht="14.4" customHeight="1" thickBot="1" x14ac:dyDescent="0.35">
      <c r="A137" s="439" t="s">
        <v>386</v>
      </c>
      <c r="B137" s="423">
        <v>347.62220521387701</v>
      </c>
      <c r="C137" s="423">
        <v>51.708939999999998</v>
      </c>
      <c r="D137" s="424">
        <v>-295.91326521387703</v>
      </c>
      <c r="E137" s="430">
        <v>0.14875039403199999</v>
      </c>
      <c r="F137" s="423">
        <v>37.225029770150996</v>
      </c>
      <c r="G137" s="424">
        <v>21.714600699255001</v>
      </c>
      <c r="H137" s="426">
        <v>0.17699999999999999</v>
      </c>
      <c r="I137" s="423">
        <v>27.325600000000001</v>
      </c>
      <c r="J137" s="424">
        <v>5.6109993007450001</v>
      </c>
      <c r="K137" s="431">
        <v>0.73406522892500004</v>
      </c>
    </row>
    <row r="138" spans="1:11" ht="14.4" customHeight="1" thickBot="1" x14ac:dyDescent="0.35">
      <c r="A138" s="440" t="s">
        <v>387</v>
      </c>
      <c r="B138" s="418">
        <v>165.40040387859099</v>
      </c>
      <c r="C138" s="418">
        <v>15.486000000000001</v>
      </c>
      <c r="D138" s="419">
        <v>-149.914403878591</v>
      </c>
      <c r="E138" s="420">
        <v>9.3627340906000001E-2</v>
      </c>
      <c r="F138" s="418">
        <v>15.901642664125999</v>
      </c>
      <c r="G138" s="419">
        <v>9.2759582207399998</v>
      </c>
      <c r="H138" s="421">
        <v>0</v>
      </c>
      <c r="I138" s="418">
        <v>24.445599999999999</v>
      </c>
      <c r="J138" s="419">
        <v>15.169641779259001</v>
      </c>
      <c r="K138" s="422">
        <v>1.537300297606</v>
      </c>
    </row>
    <row r="139" spans="1:11" ht="14.4" customHeight="1" thickBot="1" x14ac:dyDescent="0.35">
      <c r="A139" s="440" t="s">
        <v>388</v>
      </c>
      <c r="B139" s="418">
        <v>0</v>
      </c>
      <c r="C139" s="418">
        <v>11.2112</v>
      </c>
      <c r="D139" s="419">
        <v>11.2112</v>
      </c>
      <c r="E139" s="428" t="s">
        <v>267</v>
      </c>
      <c r="F139" s="418">
        <v>0.59907563200900005</v>
      </c>
      <c r="G139" s="419">
        <v>0.34946078533899999</v>
      </c>
      <c r="H139" s="421">
        <v>0</v>
      </c>
      <c r="I139" s="418">
        <v>0</v>
      </c>
      <c r="J139" s="419">
        <v>-0.34946078533899999</v>
      </c>
      <c r="K139" s="422">
        <v>0</v>
      </c>
    </row>
    <row r="140" spans="1:11" ht="14.4" customHeight="1" thickBot="1" x14ac:dyDescent="0.35">
      <c r="A140" s="440" t="s">
        <v>389</v>
      </c>
      <c r="B140" s="418">
        <v>182.22180133528499</v>
      </c>
      <c r="C140" s="418">
        <v>25.01174</v>
      </c>
      <c r="D140" s="419">
        <v>-157.21006133528499</v>
      </c>
      <c r="E140" s="420">
        <v>0.13725986581499999</v>
      </c>
      <c r="F140" s="418">
        <v>20.724311474015</v>
      </c>
      <c r="G140" s="419">
        <v>12.089181693175</v>
      </c>
      <c r="H140" s="421">
        <v>0.17699999999999999</v>
      </c>
      <c r="I140" s="418">
        <v>2.88</v>
      </c>
      <c r="J140" s="419">
        <v>-9.2091816931749992</v>
      </c>
      <c r="K140" s="422">
        <v>0.13896722231799999</v>
      </c>
    </row>
    <row r="141" spans="1:11" ht="14.4" customHeight="1" thickBot="1" x14ac:dyDescent="0.35">
      <c r="A141" s="439" t="s">
        <v>390</v>
      </c>
      <c r="B141" s="423">
        <v>5.1116973209059999</v>
      </c>
      <c r="C141" s="423">
        <v>211.09623999999999</v>
      </c>
      <c r="D141" s="424">
        <v>205.98454267909401</v>
      </c>
      <c r="E141" s="430">
        <v>41.296701809129999</v>
      </c>
      <c r="F141" s="423">
        <v>177.00000020053699</v>
      </c>
      <c r="G141" s="424">
        <v>103.25000011698</v>
      </c>
      <c r="H141" s="426">
        <v>0</v>
      </c>
      <c r="I141" s="423">
        <v>0.34137000000000001</v>
      </c>
      <c r="J141" s="424">
        <v>-102.90863011698001</v>
      </c>
      <c r="K141" s="431">
        <v>1.9286440649999999E-3</v>
      </c>
    </row>
    <row r="142" spans="1:11" ht="14.4" customHeight="1" thickBot="1" x14ac:dyDescent="0.35">
      <c r="A142" s="440" t="s">
        <v>391</v>
      </c>
      <c r="B142" s="418">
        <v>5.1116973209059999</v>
      </c>
      <c r="C142" s="418">
        <v>71.515839999999997</v>
      </c>
      <c r="D142" s="419">
        <v>66.404142679092999</v>
      </c>
      <c r="E142" s="420">
        <v>13.990624935382</v>
      </c>
      <c r="F142" s="418">
        <v>2.0000002005369999</v>
      </c>
      <c r="G142" s="419">
        <v>1.1666667836460001</v>
      </c>
      <c r="H142" s="421">
        <v>0</v>
      </c>
      <c r="I142" s="418">
        <v>1.96417</v>
      </c>
      <c r="J142" s="419">
        <v>0.79750321635300003</v>
      </c>
      <c r="K142" s="422">
        <v>0.98208490152700001</v>
      </c>
    </row>
    <row r="143" spans="1:11" ht="14.4" customHeight="1" thickBot="1" x14ac:dyDescent="0.35">
      <c r="A143" s="440" t="s">
        <v>392</v>
      </c>
      <c r="B143" s="418">
        <v>0</v>
      </c>
      <c r="C143" s="418">
        <v>139.5804</v>
      </c>
      <c r="D143" s="419">
        <v>139.5804</v>
      </c>
      <c r="E143" s="428" t="s">
        <v>267</v>
      </c>
      <c r="F143" s="418">
        <v>175</v>
      </c>
      <c r="G143" s="419">
        <v>102.083333333333</v>
      </c>
      <c r="H143" s="421">
        <v>0</v>
      </c>
      <c r="I143" s="418">
        <v>-1.6228</v>
      </c>
      <c r="J143" s="419">
        <v>-103.706133333333</v>
      </c>
      <c r="K143" s="422">
        <v>-9.2731428570000003E-3</v>
      </c>
    </row>
    <row r="144" spans="1:11" ht="14.4" customHeight="1" thickBot="1" x14ac:dyDescent="0.35">
      <c r="A144" s="439" t="s">
        <v>393</v>
      </c>
      <c r="B144" s="423">
        <v>112.248396361396</v>
      </c>
      <c r="C144" s="423">
        <v>0</v>
      </c>
      <c r="D144" s="424">
        <v>-112.248396361396</v>
      </c>
      <c r="E144" s="430">
        <v>0</v>
      </c>
      <c r="F144" s="423">
        <v>0</v>
      </c>
      <c r="G144" s="424">
        <v>0</v>
      </c>
      <c r="H144" s="426">
        <v>4.2035</v>
      </c>
      <c r="I144" s="423">
        <v>9.6316799999999994</v>
      </c>
      <c r="J144" s="424">
        <v>9.6316799999999994</v>
      </c>
      <c r="K144" s="427" t="s">
        <v>257</v>
      </c>
    </row>
    <row r="145" spans="1:11" ht="14.4" customHeight="1" thickBot="1" x14ac:dyDescent="0.35">
      <c r="A145" s="440" t="s">
        <v>394</v>
      </c>
      <c r="B145" s="418">
        <v>4.2483963613669999</v>
      </c>
      <c r="C145" s="418">
        <v>0</v>
      </c>
      <c r="D145" s="419">
        <v>-4.2483963613669999</v>
      </c>
      <c r="E145" s="420">
        <v>0</v>
      </c>
      <c r="F145" s="418">
        <v>0</v>
      </c>
      <c r="G145" s="419">
        <v>0</v>
      </c>
      <c r="H145" s="421">
        <v>2.6844999999999999</v>
      </c>
      <c r="I145" s="418">
        <v>4.9586800000000002</v>
      </c>
      <c r="J145" s="419">
        <v>4.9586800000000002</v>
      </c>
      <c r="K145" s="429" t="s">
        <v>267</v>
      </c>
    </row>
    <row r="146" spans="1:11" ht="14.4" customHeight="1" thickBot="1" x14ac:dyDescent="0.35">
      <c r="A146" s="440" t="s">
        <v>395</v>
      </c>
      <c r="B146" s="418">
        <v>108.000000000028</v>
      </c>
      <c r="C146" s="418">
        <v>0</v>
      </c>
      <c r="D146" s="419">
        <v>-108.000000000028</v>
      </c>
      <c r="E146" s="420">
        <v>0</v>
      </c>
      <c r="F146" s="418">
        <v>0</v>
      </c>
      <c r="G146" s="419">
        <v>0</v>
      </c>
      <c r="H146" s="421">
        <v>1.5189999999999999</v>
      </c>
      <c r="I146" s="418">
        <v>4.673</v>
      </c>
      <c r="J146" s="419">
        <v>4.673</v>
      </c>
      <c r="K146" s="429" t="s">
        <v>257</v>
      </c>
    </row>
    <row r="147" spans="1:11" ht="14.4" customHeight="1" thickBot="1" x14ac:dyDescent="0.35">
      <c r="A147" s="439" t="s">
        <v>396</v>
      </c>
      <c r="B147" s="423">
        <v>58737.000000015301</v>
      </c>
      <c r="C147" s="423">
        <v>73008.479760000002</v>
      </c>
      <c r="D147" s="424">
        <v>14271.479759984701</v>
      </c>
      <c r="E147" s="430">
        <v>1.242972568568</v>
      </c>
      <c r="F147" s="423">
        <v>77759.007796790494</v>
      </c>
      <c r="G147" s="424">
        <v>45359.4212147945</v>
      </c>
      <c r="H147" s="426">
        <v>6619.7172700000001</v>
      </c>
      <c r="I147" s="423">
        <v>59575.267370000001</v>
      </c>
      <c r="J147" s="424">
        <v>14215.8461552055</v>
      </c>
      <c r="K147" s="431">
        <v>0.76615261765800002</v>
      </c>
    </row>
    <row r="148" spans="1:11" ht="14.4" customHeight="1" thickBot="1" x14ac:dyDescent="0.35">
      <c r="A148" s="440" t="s">
        <v>397</v>
      </c>
      <c r="B148" s="418">
        <v>23672.000000006199</v>
      </c>
      <c r="C148" s="418">
        <v>26036.730459999999</v>
      </c>
      <c r="D148" s="419">
        <v>2364.7304599938202</v>
      </c>
      <c r="E148" s="420">
        <v>1.0998956767479999</v>
      </c>
      <c r="F148" s="418">
        <v>30513.0030594975</v>
      </c>
      <c r="G148" s="419">
        <v>17799.251784706899</v>
      </c>
      <c r="H148" s="421">
        <v>1052.64591</v>
      </c>
      <c r="I148" s="418">
        <v>16830.5455</v>
      </c>
      <c r="J148" s="419">
        <v>-968.70628470690303</v>
      </c>
      <c r="K148" s="422">
        <v>0.55158600637099997</v>
      </c>
    </row>
    <row r="149" spans="1:11" ht="14.4" customHeight="1" thickBot="1" x14ac:dyDescent="0.35">
      <c r="A149" s="440" t="s">
        <v>398</v>
      </c>
      <c r="B149" s="418">
        <v>35065.000000009197</v>
      </c>
      <c r="C149" s="418">
        <v>46971.749300000003</v>
      </c>
      <c r="D149" s="419">
        <v>11906.749299990801</v>
      </c>
      <c r="E149" s="420">
        <v>1.3395622215880001</v>
      </c>
      <c r="F149" s="418">
        <v>47246.004737292998</v>
      </c>
      <c r="G149" s="419">
        <v>27560.169430087601</v>
      </c>
      <c r="H149" s="421">
        <v>5567.0713599999999</v>
      </c>
      <c r="I149" s="418">
        <v>42744.721870000001</v>
      </c>
      <c r="J149" s="419">
        <v>15184.552439912401</v>
      </c>
      <c r="K149" s="422">
        <v>0.904726698218</v>
      </c>
    </row>
    <row r="150" spans="1:11" ht="14.4" customHeight="1" thickBot="1" x14ac:dyDescent="0.35">
      <c r="A150" s="439" t="s">
        <v>399</v>
      </c>
      <c r="B150" s="423">
        <v>0</v>
      </c>
      <c r="C150" s="423">
        <v>3224.5554499999998</v>
      </c>
      <c r="D150" s="424">
        <v>3224.5554499999998</v>
      </c>
      <c r="E150" s="425" t="s">
        <v>257</v>
      </c>
      <c r="F150" s="423">
        <v>0</v>
      </c>
      <c r="G150" s="424">
        <v>0</v>
      </c>
      <c r="H150" s="426">
        <v>0</v>
      </c>
      <c r="I150" s="423">
        <v>2582.4762900000001</v>
      </c>
      <c r="J150" s="424">
        <v>2582.4762900000001</v>
      </c>
      <c r="K150" s="427" t="s">
        <v>257</v>
      </c>
    </row>
    <row r="151" spans="1:11" ht="14.4" customHeight="1" thickBot="1" x14ac:dyDescent="0.35">
      <c r="A151" s="440" t="s">
        <v>400</v>
      </c>
      <c r="B151" s="418">
        <v>0</v>
      </c>
      <c r="C151" s="418">
        <v>576.49708999999996</v>
      </c>
      <c r="D151" s="419">
        <v>576.49708999999996</v>
      </c>
      <c r="E151" s="428" t="s">
        <v>257</v>
      </c>
      <c r="F151" s="418">
        <v>0</v>
      </c>
      <c r="G151" s="419">
        <v>0</v>
      </c>
      <c r="H151" s="421">
        <v>0</v>
      </c>
      <c r="I151" s="418">
        <v>500.93743000000001</v>
      </c>
      <c r="J151" s="419">
        <v>500.93743000000001</v>
      </c>
      <c r="K151" s="429" t="s">
        <v>257</v>
      </c>
    </row>
    <row r="152" spans="1:11" ht="14.4" customHeight="1" thickBot="1" x14ac:dyDescent="0.35">
      <c r="A152" s="440" t="s">
        <v>401</v>
      </c>
      <c r="B152" s="418">
        <v>0</v>
      </c>
      <c r="C152" s="418">
        <v>2648.05836</v>
      </c>
      <c r="D152" s="419">
        <v>2648.05836</v>
      </c>
      <c r="E152" s="428" t="s">
        <v>257</v>
      </c>
      <c r="F152" s="418">
        <v>0</v>
      </c>
      <c r="G152" s="419">
        <v>0</v>
      </c>
      <c r="H152" s="421">
        <v>0</v>
      </c>
      <c r="I152" s="418">
        <v>2081.5388600000001</v>
      </c>
      <c r="J152" s="419">
        <v>2081.5388600000001</v>
      </c>
      <c r="K152" s="429" t="s">
        <v>257</v>
      </c>
    </row>
    <row r="153" spans="1:11" ht="14.4" customHeight="1" thickBot="1" x14ac:dyDescent="0.35">
      <c r="A153" s="437" t="s">
        <v>402</v>
      </c>
      <c r="B153" s="418">
        <v>23</v>
      </c>
      <c r="C153" s="418">
        <v>8.0608699999999995</v>
      </c>
      <c r="D153" s="419">
        <v>-14.93913</v>
      </c>
      <c r="E153" s="420">
        <v>0.35047260869500002</v>
      </c>
      <c r="F153" s="418">
        <v>2.3854131238740002</v>
      </c>
      <c r="G153" s="419">
        <v>1.3914909889260001</v>
      </c>
      <c r="H153" s="421">
        <v>2.4798</v>
      </c>
      <c r="I153" s="418">
        <v>21.7776</v>
      </c>
      <c r="J153" s="419">
        <v>20.386109011073</v>
      </c>
      <c r="K153" s="422">
        <v>9.1294877948120003</v>
      </c>
    </row>
    <row r="154" spans="1:11" ht="14.4" customHeight="1" thickBot="1" x14ac:dyDescent="0.35">
      <c r="A154" s="438" t="s">
        <v>403</v>
      </c>
      <c r="B154" s="418">
        <v>0</v>
      </c>
      <c r="C154" s="418">
        <v>0</v>
      </c>
      <c r="D154" s="419">
        <v>0</v>
      </c>
      <c r="E154" s="420">
        <v>1</v>
      </c>
      <c r="F154" s="418">
        <v>0</v>
      </c>
      <c r="G154" s="419">
        <v>0</v>
      </c>
      <c r="H154" s="421">
        <v>0</v>
      </c>
      <c r="I154" s="418">
        <v>5.8550000000000004</v>
      </c>
      <c r="J154" s="419">
        <v>5.8550000000000004</v>
      </c>
      <c r="K154" s="429" t="s">
        <v>267</v>
      </c>
    </row>
    <row r="155" spans="1:11" ht="14.4" customHeight="1" thickBot="1" x14ac:dyDescent="0.35">
      <c r="A155" s="439" t="s">
        <v>404</v>
      </c>
      <c r="B155" s="423">
        <v>0</v>
      </c>
      <c r="C155" s="423">
        <v>0</v>
      </c>
      <c r="D155" s="424">
        <v>0</v>
      </c>
      <c r="E155" s="430">
        <v>1</v>
      </c>
      <c r="F155" s="423">
        <v>0</v>
      </c>
      <c r="G155" s="424">
        <v>0</v>
      </c>
      <c r="H155" s="426">
        <v>0</v>
      </c>
      <c r="I155" s="423">
        <v>5.8550000000000004</v>
      </c>
      <c r="J155" s="424">
        <v>5.8550000000000004</v>
      </c>
      <c r="K155" s="427" t="s">
        <v>267</v>
      </c>
    </row>
    <row r="156" spans="1:11" ht="14.4" customHeight="1" thickBot="1" x14ac:dyDescent="0.35">
      <c r="A156" s="440" t="s">
        <v>405</v>
      </c>
      <c r="B156" s="418">
        <v>0</v>
      </c>
      <c r="C156" s="418">
        <v>0</v>
      </c>
      <c r="D156" s="419">
        <v>0</v>
      </c>
      <c r="E156" s="420">
        <v>1</v>
      </c>
      <c r="F156" s="418">
        <v>0</v>
      </c>
      <c r="G156" s="419">
        <v>0</v>
      </c>
      <c r="H156" s="421">
        <v>0</v>
      </c>
      <c r="I156" s="418">
        <v>5.8550000000000004</v>
      </c>
      <c r="J156" s="419">
        <v>5.8550000000000004</v>
      </c>
      <c r="K156" s="429" t="s">
        <v>267</v>
      </c>
    </row>
    <row r="157" spans="1:11" ht="14.4" customHeight="1" thickBot="1" x14ac:dyDescent="0.35">
      <c r="A157" s="443" t="s">
        <v>406</v>
      </c>
      <c r="B157" s="423">
        <v>23</v>
      </c>
      <c r="C157" s="423">
        <v>8.0608699999999995</v>
      </c>
      <c r="D157" s="424">
        <v>-14.93913</v>
      </c>
      <c r="E157" s="430">
        <v>0.35047260869500002</v>
      </c>
      <c r="F157" s="423">
        <v>2.3854131238740002</v>
      </c>
      <c r="G157" s="424">
        <v>1.3914909889260001</v>
      </c>
      <c r="H157" s="426">
        <v>2.4798</v>
      </c>
      <c r="I157" s="423">
        <v>15.922599999999999</v>
      </c>
      <c r="J157" s="424">
        <v>14.531109011072999</v>
      </c>
      <c r="K157" s="431">
        <v>6.6749863328229999</v>
      </c>
    </row>
    <row r="158" spans="1:11" ht="14.4" customHeight="1" thickBot="1" x14ac:dyDescent="0.35">
      <c r="A158" s="439" t="s">
        <v>407</v>
      </c>
      <c r="B158" s="423">
        <v>0</v>
      </c>
      <c r="C158" s="423">
        <v>6.5547899999999997</v>
      </c>
      <c r="D158" s="424">
        <v>6.5547899999999997</v>
      </c>
      <c r="E158" s="425" t="s">
        <v>257</v>
      </c>
      <c r="F158" s="423">
        <v>0</v>
      </c>
      <c r="G158" s="424">
        <v>0</v>
      </c>
      <c r="H158" s="426">
        <v>5.0000000000000001E-4</v>
      </c>
      <c r="I158" s="423">
        <v>-9.9999999999999896E-5</v>
      </c>
      <c r="J158" s="424">
        <v>-9.9999999999999896E-5</v>
      </c>
      <c r="K158" s="427" t="s">
        <v>257</v>
      </c>
    </row>
    <row r="159" spans="1:11" ht="14.4" customHeight="1" thickBot="1" x14ac:dyDescent="0.35">
      <c r="A159" s="440" t="s">
        <v>408</v>
      </c>
      <c r="B159" s="418">
        <v>0</v>
      </c>
      <c r="C159" s="418">
        <v>-2.1000000000000001E-4</v>
      </c>
      <c r="D159" s="419">
        <v>-2.1000000000000001E-4</v>
      </c>
      <c r="E159" s="428" t="s">
        <v>257</v>
      </c>
      <c r="F159" s="418">
        <v>0</v>
      </c>
      <c r="G159" s="419">
        <v>0</v>
      </c>
      <c r="H159" s="421">
        <v>5.0000000000000001E-4</v>
      </c>
      <c r="I159" s="418">
        <v>-9.9999999999999896E-5</v>
      </c>
      <c r="J159" s="419">
        <v>-9.9999999999999896E-5</v>
      </c>
      <c r="K159" s="429" t="s">
        <v>257</v>
      </c>
    </row>
    <row r="160" spans="1:11" ht="14.4" customHeight="1" thickBot="1" x14ac:dyDescent="0.35">
      <c r="A160" s="440" t="s">
        <v>409</v>
      </c>
      <c r="B160" s="418">
        <v>0</v>
      </c>
      <c r="C160" s="418">
        <v>6.5549999999999997</v>
      </c>
      <c r="D160" s="419">
        <v>6.5549999999999997</v>
      </c>
      <c r="E160" s="428" t="s">
        <v>267</v>
      </c>
      <c r="F160" s="418">
        <v>0</v>
      </c>
      <c r="G160" s="419">
        <v>0</v>
      </c>
      <c r="H160" s="421">
        <v>0</v>
      </c>
      <c r="I160" s="418">
        <v>0</v>
      </c>
      <c r="J160" s="419">
        <v>0</v>
      </c>
      <c r="K160" s="429" t="s">
        <v>257</v>
      </c>
    </row>
    <row r="161" spans="1:11" ht="14.4" customHeight="1" thickBot="1" x14ac:dyDescent="0.35">
      <c r="A161" s="439" t="s">
        <v>410</v>
      </c>
      <c r="B161" s="423">
        <v>23</v>
      </c>
      <c r="C161" s="423">
        <v>1.5060800000000001</v>
      </c>
      <c r="D161" s="424">
        <v>-21.493919999999999</v>
      </c>
      <c r="E161" s="430">
        <v>6.5481739129999994E-2</v>
      </c>
      <c r="F161" s="423">
        <v>2.3854131238740002</v>
      </c>
      <c r="G161" s="424">
        <v>1.3914909889260001</v>
      </c>
      <c r="H161" s="426">
        <v>2.4792999999999998</v>
      </c>
      <c r="I161" s="423">
        <v>15.922700000000001</v>
      </c>
      <c r="J161" s="424">
        <v>14.531209011073001</v>
      </c>
      <c r="K161" s="431">
        <v>6.6750282542820001</v>
      </c>
    </row>
    <row r="162" spans="1:11" ht="14.4" customHeight="1" thickBot="1" x14ac:dyDescent="0.35">
      <c r="A162" s="440" t="s">
        <v>411</v>
      </c>
      <c r="B162" s="418">
        <v>0</v>
      </c>
      <c r="C162" s="418">
        <v>3.5000000000000003E-2</v>
      </c>
      <c r="D162" s="419">
        <v>3.5000000000000003E-2</v>
      </c>
      <c r="E162" s="428" t="s">
        <v>257</v>
      </c>
      <c r="F162" s="418">
        <v>1.9868212925999999E-2</v>
      </c>
      <c r="G162" s="419">
        <v>1.1589790873E-2</v>
      </c>
      <c r="H162" s="421">
        <v>0</v>
      </c>
      <c r="I162" s="418">
        <v>5.5E-2</v>
      </c>
      <c r="J162" s="419">
        <v>4.3410209126E-2</v>
      </c>
      <c r="K162" s="422">
        <v>2.7682409184800001</v>
      </c>
    </row>
    <row r="163" spans="1:11" ht="14.4" customHeight="1" thickBot="1" x14ac:dyDescent="0.35">
      <c r="A163" s="440" t="s">
        <v>412</v>
      </c>
      <c r="B163" s="418">
        <v>23</v>
      </c>
      <c r="C163" s="418">
        <v>1.4710799999999999</v>
      </c>
      <c r="D163" s="419">
        <v>-21.528919999999999</v>
      </c>
      <c r="E163" s="420">
        <v>6.3960000000000003E-2</v>
      </c>
      <c r="F163" s="418">
        <v>2.365544910948</v>
      </c>
      <c r="G163" s="419">
        <v>1.379901198053</v>
      </c>
      <c r="H163" s="421">
        <v>2.4792999999999998</v>
      </c>
      <c r="I163" s="418">
        <v>15.867699999999999</v>
      </c>
      <c r="J163" s="419">
        <v>14.487798801945999</v>
      </c>
      <c r="K163" s="422">
        <v>6.7078413631289999</v>
      </c>
    </row>
    <row r="164" spans="1:11" ht="14.4" customHeight="1" thickBot="1" x14ac:dyDescent="0.35">
      <c r="A164" s="436" t="s">
        <v>413</v>
      </c>
      <c r="B164" s="418">
        <v>2585.1075248492298</v>
      </c>
      <c r="C164" s="418">
        <v>2401.95534</v>
      </c>
      <c r="D164" s="419">
        <v>-183.15218484923301</v>
      </c>
      <c r="E164" s="420">
        <v>0.92915103797800003</v>
      </c>
      <c r="F164" s="418">
        <v>2758.4611113379301</v>
      </c>
      <c r="G164" s="419">
        <v>1609.10231494713</v>
      </c>
      <c r="H164" s="421">
        <v>231.76632000000001</v>
      </c>
      <c r="I164" s="418">
        <v>1531.8443600000001</v>
      </c>
      <c r="J164" s="419">
        <v>-77.257954947127004</v>
      </c>
      <c r="K164" s="422">
        <v>0.55532570450300001</v>
      </c>
    </row>
    <row r="165" spans="1:11" ht="14.4" customHeight="1" thickBot="1" x14ac:dyDescent="0.35">
      <c r="A165" s="441" t="s">
        <v>414</v>
      </c>
      <c r="B165" s="423">
        <v>2585.1075248492298</v>
      </c>
      <c r="C165" s="423">
        <v>2401.95534</v>
      </c>
      <c r="D165" s="424">
        <v>-183.15218484923301</v>
      </c>
      <c r="E165" s="430">
        <v>0.92915103797800003</v>
      </c>
      <c r="F165" s="423">
        <v>2758.4611113379301</v>
      </c>
      <c r="G165" s="424">
        <v>1609.10231494713</v>
      </c>
      <c r="H165" s="426">
        <v>231.76632000000001</v>
      </c>
      <c r="I165" s="423">
        <v>1531.8443600000001</v>
      </c>
      <c r="J165" s="424">
        <v>-77.257954947127004</v>
      </c>
      <c r="K165" s="431">
        <v>0.55532570450300001</v>
      </c>
    </row>
    <row r="166" spans="1:11" ht="14.4" customHeight="1" thickBot="1" x14ac:dyDescent="0.35">
      <c r="A166" s="443" t="s">
        <v>54</v>
      </c>
      <c r="B166" s="423">
        <v>2585.1075248492298</v>
      </c>
      <c r="C166" s="423">
        <v>2401.95534</v>
      </c>
      <c r="D166" s="424">
        <v>-183.15218484923301</v>
      </c>
      <c r="E166" s="430">
        <v>0.92915103797800003</v>
      </c>
      <c r="F166" s="423">
        <v>2758.4611113379301</v>
      </c>
      <c r="G166" s="424">
        <v>1609.10231494713</v>
      </c>
      <c r="H166" s="426">
        <v>231.76632000000001</v>
      </c>
      <c r="I166" s="423">
        <v>1531.8443600000001</v>
      </c>
      <c r="J166" s="424">
        <v>-77.257954947127004</v>
      </c>
      <c r="K166" s="431">
        <v>0.55532570450300001</v>
      </c>
    </row>
    <row r="167" spans="1:11" ht="14.4" customHeight="1" thickBot="1" x14ac:dyDescent="0.35">
      <c r="A167" s="439" t="s">
        <v>415</v>
      </c>
      <c r="B167" s="423">
        <v>43.651651418348003</v>
      </c>
      <c r="C167" s="423">
        <v>40.521250000000002</v>
      </c>
      <c r="D167" s="424">
        <v>-3.1304014183479998</v>
      </c>
      <c r="E167" s="430">
        <v>0.92828675853800002</v>
      </c>
      <c r="F167" s="423">
        <v>44.062948368057</v>
      </c>
      <c r="G167" s="424">
        <v>25.703386548032999</v>
      </c>
      <c r="H167" s="426">
        <v>3.3959999999999999</v>
      </c>
      <c r="I167" s="423">
        <v>23.771999999999998</v>
      </c>
      <c r="J167" s="424">
        <v>-1.9313865480329999</v>
      </c>
      <c r="K167" s="431">
        <v>0.53950089316299998</v>
      </c>
    </row>
    <row r="168" spans="1:11" ht="14.4" customHeight="1" thickBot="1" x14ac:dyDescent="0.35">
      <c r="A168" s="440" t="s">
        <v>416</v>
      </c>
      <c r="B168" s="418">
        <v>43.651651418348003</v>
      </c>
      <c r="C168" s="418">
        <v>40.521250000000002</v>
      </c>
      <c r="D168" s="419">
        <v>-3.1304014183479998</v>
      </c>
      <c r="E168" s="420">
        <v>0.92828675853800002</v>
      </c>
      <c r="F168" s="418">
        <v>44.062948368057</v>
      </c>
      <c r="G168" s="419">
        <v>25.703386548032999</v>
      </c>
      <c r="H168" s="421">
        <v>3.3959999999999999</v>
      </c>
      <c r="I168" s="418">
        <v>23.771999999999998</v>
      </c>
      <c r="J168" s="419">
        <v>-1.9313865480329999</v>
      </c>
      <c r="K168" s="422">
        <v>0.53950089316299998</v>
      </c>
    </row>
    <row r="169" spans="1:11" ht="14.4" customHeight="1" thickBot="1" x14ac:dyDescent="0.35">
      <c r="A169" s="439" t="s">
        <v>417</v>
      </c>
      <c r="B169" s="423">
        <v>5.3044056967920001</v>
      </c>
      <c r="C169" s="423">
        <v>5.0025399999999998</v>
      </c>
      <c r="D169" s="424">
        <v>-0.30186569679199998</v>
      </c>
      <c r="E169" s="430">
        <v>0.94309151410199998</v>
      </c>
      <c r="F169" s="423">
        <v>5.8923595120690004</v>
      </c>
      <c r="G169" s="424">
        <v>3.4372097153730001</v>
      </c>
      <c r="H169" s="426">
        <v>0.29399999999999998</v>
      </c>
      <c r="I169" s="423">
        <v>3.0340799999999999</v>
      </c>
      <c r="J169" s="424">
        <v>-0.40312971537300002</v>
      </c>
      <c r="K169" s="431">
        <v>0.51491766478000001</v>
      </c>
    </row>
    <row r="170" spans="1:11" ht="14.4" customHeight="1" thickBot="1" x14ac:dyDescent="0.35">
      <c r="A170" s="440" t="s">
        <v>418</v>
      </c>
      <c r="B170" s="418">
        <v>0</v>
      </c>
      <c r="C170" s="418">
        <v>0.58960000000000001</v>
      </c>
      <c r="D170" s="419">
        <v>0.58960000000000001</v>
      </c>
      <c r="E170" s="428" t="s">
        <v>257</v>
      </c>
      <c r="F170" s="418">
        <v>0</v>
      </c>
      <c r="G170" s="419">
        <v>0</v>
      </c>
      <c r="H170" s="421">
        <v>0</v>
      </c>
      <c r="I170" s="418">
        <v>0</v>
      </c>
      <c r="J170" s="419">
        <v>0</v>
      </c>
      <c r="K170" s="422">
        <v>7</v>
      </c>
    </row>
    <row r="171" spans="1:11" ht="14.4" customHeight="1" thickBot="1" x14ac:dyDescent="0.35">
      <c r="A171" s="440" t="s">
        <v>419</v>
      </c>
      <c r="B171" s="418">
        <v>5.3044056967920001</v>
      </c>
      <c r="C171" s="418">
        <v>4.4129399999999999</v>
      </c>
      <c r="D171" s="419">
        <v>-0.89146569679200005</v>
      </c>
      <c r="E171" s="420">
        <v>0.83193862842499999</v>
      </c>
      <c r="F171" s="418">
        <v>5.8923595120690004</v>
      </c>
      <c r="G171" s="419">
        <v>3.4372097153730001</v>
      </c>
      <c r="H171" s="421">
        <v>0.29399999999999998</v>
      </c>
      <c r="I171" s="418">
        <v>3.0340799999999999</v>
      </c>
      <c r="J171" s="419">
        <v>-0.40312971537300002</v>
      </c>
      <c r="K171" s="422">
        <v>0.51491766478000001</v>
      </c>
    </row>
    <row r="172" spans="1:11" ht="14.4" customHeight="1" thickBot="1" x14ac:dyDescent="0.35">
      <c r="A172" s="439" t="s">
        <v>420</v>
      </c>
      <c r="B172" s="423">
        <v>30.036696195190999</v>
      </c>
      <c r="C172" s="423">
        <v>27.74344</v>
      </c>
      <c r="D172" s="424">
        <v>-2.2932561951910002</v>
      </c>
      <c r="E172" s="430">
        <v>0.92365151678799995</v>
      </c>
      <c r="F172" s="423">
        <v>28.040435643837998</v>
      </c>
      <c r="G172" s="424">
        <v>16.356920792238</v>
      </c>
      <c r="H172" s="426">
        <v>1.8656999999999999</v>
      </c>
      <c r="I172" s="423">
        <v>16.712</v>
      </c>
      <c r="J172" s="424">
        <v>0.35507920776099999</v>
      </c>
      <c r="K172" s="431">
        <v>0.595996446427</v>
      </c>
    </row>
    <row r="173" spans="1:11" ht="14.4" customHeight="1" thickBot="1" x14ac:dyDescent="0.35">
      <c r="A173" s="440" t="s">
        <v>421</v>
      </c>
      <c r="B173" s="418">
        <v>30.036696195190999</v>
      </c>
      <c r="C173" s="418">
        <v>27.74344</v>
      </c>
      <c r="D173" s="419">
        <v>-2.2932561951910002</v>
      </c>
      <c r="E173" s="420">
        <v>0.92365151678799995</v>
      </c>
      <c r="F173" s="418">
        <v>28.040435643837998</v>
      </c>
      <c r="G173" s="419">
        <v>16.356920792238</v>
      </c>
      <c r="H173" s="421">
        <v>1.8656999999999999</v>
      </c>
      <c r="I173" s="418">
        <v>16.712</v>
      </c>
      <c r="J173" s="419">
        <v>0.35507920776099999</v>
      </c>
      <c r="K173" s="422">
        <v>0.595996446427</v>
      </c>
    </row>
    <row r="174" spans="1:11" ht="14.4" customHeight="1" thickBot="1" x14ac:dyDescent="0.35">
      <c r="A174" s="439" t="s">
        <v>422</v>
      </c>
      <c r="B174" s="423">
        <v>876</v>
      </c>
      <c r="C174" s="423">
        <v>800.08550000000105</v>
      </c>
      <c r="D174" s="424">
        <v>-75.914499999998995</v>
      </c>
      <c r="E174" s="430">
        <v>0.91333961187199997</v>
      </c>
      <c r="F174" s="423">
        <v>934.57803266924896</v>
      </c>
      <c r="G174" s="424">
        <v>545.17051905706205</v>
      </c>
      <c r="H174" s="426">
        <v>56.565939999999998</v>
      </c>
      <c r="I174" s="423">
        <v>486.17678000000001</v>
      </c>
      <c r="J174" s="424">
        <v>-58.993739057062001</v>
      </c>
      <c r="K174" s="431">
        <v>0.52020993753800004</v>
      </c>
    </row>
    <row r="175" spans="1:11" ht="14.4" customHeight="1" thickBot="1" x14ac:dyDescent="0.35">
      <c r="A175" s="440" t="s">
        <v>423</v>
      </c>
      <c r="B175" s="418">
        <v>876</v>
      </c>
      <c r="C175" s="418">
        <v>800.08550000000105</v>
      </c>
      <c r="D175" s="419">
        <v>-75.914499999998995</v>
      </c>
      <c r="E175" s="420">
        <v>0.91333961187199997</v>
      </c>
      <c r="F175" s="418">
        <v>934.57803266924896</v>
      </c>
      <c r="G175" s="419">
        <v>545.17051905706205</v>
      </c>
      <c r="H175" s="421">
        <v>56.565939999999998</v>
      </c>
      <c r="I175" s="418">
        <v>486.17678000000001</v>
      </c>
      <c r="J175" s="419">
        <v>-58.993739057062001</v>
      </c>
      <c r="K175" s="422">
        <v>0.52020993753800004</v>
      </c>
    </row>
    <row r="176" spans="1:11" ht="14.4" customHeight="1" thickBot="1" x14ac:dyDescent="0.35">
      <c r="A176" s="439" t="s">
        <v>424</v>
      </c>
      <c r="B176" s="423">
        <v>0</v>
      </c>
      <c r="C176" s="423">
        <v>0</v>
      </c>
      <c r="D176" s="424">
        <v>0</v>
      </c>
      <c r="E176" s="430">
        <v>1</v>
      </c>
      <c r="F176" s="423">
        <v>0</v>
      </c>
      <c r="G176" s="424">
        <v>0</v>
      </c>
      <c r="H176" s="426">
        <v>4.2200000000000001E-2</v>
      </c>
      <c r="I176" s="423">
        <v>4.2200000000000001E-2</v>
      </c>
      <c r="J176" s="424">
        <v>4.2200000000000001E-2</v>
      </c>
      <c r="K176" s="427" t="s">
        <v>267</v>
      </c>
    </row>
    <row r="177" spans="1:11" ht="14.4" customHeight="1" thickBot="1" x14ac:dyDescent="0.35">
      <c r="A177" s="440" t="s">
        <v>425</v>
      </c>
      <c r="B177" s="418">
        <v>0</v>
      </c>
      <c r="C177" s="418">
        <v>0</v>
      </c>
      <c r="D177" s="419">
        <v>0</v>
      </c>
      <c r="E177" s="420">
        <v>1</v>
      </c>
      <c r="F177" s="418">
        <v>0</v>
      </c>
      <c r="G177" s="419">
        <v>0</v>
      </c>
      <c r="H177" s="421">
        <v>4.2200000000000001E-2</v>
      </c>
      <c r="I177" s="418">
        <v>4.2200000000000001E-2</v>
      </c>
      <c r="J177" s="419">
        <v>4.2200000000000001E-2</v>
      </c>
      <c r="K177" s="429" t="s">
        <v>267</v>
      </c>
    </row>
    <row r="178" spans="1:11" ht="14.4" customHeight="1" thickBot="1" x14ac:dyDescent="0.35">
      <c r="A178" s="439" t="s">
        <v>426</v>
      </c>
      <c r="B178" s="423">
        <v>1630.1147715389</v>
      </c>
      <c r="C178" s="423">
        <v>1528.6026099999999</v>
      </c>
      <c r="D178" s="424">
        <v>-101.512161538901</v>
      </c>
      <c r="E178" s="430">
        <v>0.93772698504899998</v>
      </c>
      <c r="F178" s="423">
        <v>1745.8873351447201</v>
      </c>
      <c r="G178" s="424">
        <v>1018.43427883442</v>
      </c>
      <c r="H178" s="426">
        <v>169.60248000000001</v>
      </c>
      <c r="I178" s="423">
        <v>1002.1073</v>
      </c>
      <c r="J178" s="424">
        <v>-16.326978834418998</v>
      </c>
      <c r="K178" s="431">
        <v>0.57398165381400001</v>
      </c>
    </row>
    <row r="179" spans="1:11" ht="14.4" customHeight="1" thickBot="1" x14ac:dyDescent="0.35">
      <c r="A179" s="440" t="s">
        <v>427</v>
      </c>
      <c r="B179" s="418">
        <v>1630.1147715389</v>
      </c>
      <c r="C179" s="418">
        <v>1528.6026099999999</v>
      </c>
      <c r="D179" s="419">
        <v>-101.512161538901</v>
      </c>
      <c r="E179" s="420">
        <v>0.93772698504899998</v>
      </c>
      <c r="F179" s="418">
        <v>1745.8873351447201</v>
      </c>
      <c r="G179" s="419">
        <v>1018.43427883442</v>
      </c>
      <c r="H179" s="421">
        <v>169.60248000000001</v>
      </c>
      <c r="I179" s="418">
        <v>1002.1073</v>
      </c>
      <c r="J179" s="419">
        <v>-16.326978834418998</v>
      </c>
      <c r="K179" s="422">
        <v>0.57398165381400001</v>
      </c>
    </row>
    <row r="180" spans="1:11" ht="14.4" customHeight="1" thickBot="1" x14ac:dyDescent="0.35">
      <c r="A180" s="444" t="s">
        <v>428</v>
      </c>
      <c r="B180" s="423">
        <v>0</v>
      </c>
      <c r="C180" s="423">
        <v>0</v>
      </c>
      <c r="D180" s="424">
        <v>0</v>
      </c>
      <c r="E180" s="425" t="s">
        <v>257</v>
      </c>
      <c r="F180" s="423">
        <v>0</v>
      </c>
      <c r="G180" s="424">
        <v>0</v>
      </c>
      <c r="H180" s="426">
        <v>0</v>
      </c>
      <c r="I180" s="423">
        <v>3.2309999999999998E-2</v>
      </c>
      <c r="J180" s="424">
        <v>3.2309999999999998E-2</v>
      </c>
      <c r="K180" s="427" t="s">
        <v>267</v>
      </c>
    </row>
    <row r="181" spans="1:11" ht="14.4" customHeight="1" thickBot="1" x14ac:dyDescent="0.35">
      <c r="A181" s="441" t="s">
        <v>429</v>
      </c>
      <c r="B181" s="423">
        <v>0</v>
      </c>
      <c r="C181" s="423">
        <v>0</v>
      </c>
      <c r="D181" s="424">
        <v>0</v>
      </c>
      <c r="E181" s="425" t="s">
        <v>257</v>
      </c>
      <c r="F181" s="423">
        <v>0</v>
      </c>
      <c r="G181" s="424">
        <v>0</v>
      </c>
      <c r="H181" s="426">
        <v>0</v>
      </c>
      <c r="I181" s="423">
        <v>3.2309999999999998E-2</v>
      </c>
      <c r="J181" s="424">
        <v>3.2309999999999998E-2</v>
      </c>
      <c r="K181" s="427" t="s">
        <v>267</v>
      </c>
    </row>
    <row r="182" spans="1:11" ht="14.4" customHeight="1" thickBot="1" x14ac:dyDescent="0.35">
      <c r="A182" s="443" t="s">
        <v>430</v>
      </c>
      <c r="B182" s="423">
        <v>0</v>
      </c>
      <c r="C182" s="423">
        <v>0</v>
      </c>
      <c r="D182" s="424">
        <v>0</v>
      </c>
      <c r="E182" s="425" t="s">
        <v>257</v>
      </c>
      <c r="F182" s="423">
        <v>0</v>
      </c>
      <c r="G182" s="424">
        <v>0</v>
      </c>
      <c r="H182" s="426">
        <v>0</v>
      </c>
      <c r="I182" s="423">
        <v>3.2309999999999998E-2</v>
      </c>
      <c r="J182" s="424">
        <v>3.2309999999999998E-2</v>
      </c>
      <c r="K182" s="427" t="s">
        <v>267</v>
      </c>
    </row>
    <row r="183" spans="1:11" ht="14.4" customHeight="1" thickBot="1" x14ac:dyDescent="0.35">
      <c r="A183" s="439" t="s">
        <v>431</v>
      </c>
      <c r="B183" s="423">
        <v>0</v>
      </c>
      <c r="C183" s="423">
        <v>0</v>
      </c>
      <c r="D183" s="424">
        <v>0</v>
      </c>
      <c r="E183" s="430">
        <v>1</v>
      </c>
      <c r="F183" s="423">
        <v>0</v>
      </c>
      <c r="G183" s="424">
        <v>0</v>
      </c>
      <c r="H183" s="426">
        <v>0</v>
      </c>
      <c r="I183" s="423">
        <v>3.2309999999999998E-2</v>
      </c>
      <c r="J183" s="424">
        <v>3.2309999999999998E-2</v>
      </c>
      <c r="K183" s="427" t="s">
        <v>267</v>
      </c>
    </row>
    <row r="184" spans="1:11" ht="14.4" customHeight="1" thickBot="1" x14ac:dyDescent="0.35">
      <c r="A184" s="440" t="s">
        <v>432</v>
      </c>
      <c r="B184" s="418">
        <v>0</v>
      </c>
      <c r="C184" s="418">
        <v>0</v>
      </c>
      <c r="D184" s="419">
        <v>0</v>
      </c>
      <c r="E184" s="420">
        <v>1</v>
      </c>
      <c r="F184" s="418">
        <v>0</v>
      </c>
      <c r="G184" s="419">
        <v>0</v>
      </c>
      <c r="H184" s="421">
        <v>0</v>
      </c>
      <c r="I184" s="418">
        <v>3.2309999999999998E-2</v>
      </c>
      <c r="J184" s="419">
        <v>3.2309999999999998E-2</v>
      </c>
      <c r="K184" s="429" t="s">
        <v>267</v>
      </c>
    </row>
    <row r="185" spans="1:11" ht="14.4" customHeight="1" thickBot="1" x14ac:dyDescent="0.35">
      <c r="A185" s="445"/>
      <c r="B185" s="418">
        <v>32441.908648399101</v>
      </c>
      <c r="C185" s="418">
        <v>51348.499069999998</v>
      </c>
      <c r="D185" s="419">
        <v>18906.5904216009</v>
      </c>
      <c r="E185" s="420">
        <v>1.582782925212</v>
      </c>
      <c r="F185" s="418">
        <v>51981.599261961099</v>
      </c>
      <c r="G185" s="419">
        <v>30322.599569477301</v>
      </c>
      <c r="H185" s="421">
        <v>3828.9390100000001</v>
      </c>
      <c r="I185" s="418">
        <v>46040.322719999996</v>
      </c>
      <c r="J185" s="419">
        <v>15717.723150522699</v>
      </c>
      <c r="K185" s="422">
        <v>0.88570423714699997</v>
      </c>
    </row>
    <row r="186" spans="1:11" ht="14.4" customHeight="1" thickBot="1" x14ac:dyDescent="0.35">
      <c r="A186" s="446" t="s">
        <v>66</v>
      </c>
      <c r="B186" s="432">
        <v>32441.908648399101</v>
      </c>
      <c r="C186" s="432">
        <v>51348.499069999998</v>
      </c>
      <c r="D186" s="433">
        <v>18906.5904216009</v>
      </c>
      <c r="E186" s="434" t="s">
        <v>257</v>
      </c>
      <c r="F186" s="432">
        <v>51981.599261961099</v>
      </c>
      <c r="G186" s="433">
        <v>30322.599569477301</v>
      </c>
      <c r="H186" s="432">
        <v>3828.9390100000001</v>
      </c>
      <c r="I186" s="432">
        <v>46040.322719999996</v>
      </c>
      <c r="J186" s="433">
        <v>15717.723150522699</v>
      </c>
      <c r="K186" s="435">
        <v>0.88570423714699997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433</v>
      </c>
      <c r="B5" s="448" t="s">
        <v>434</v>
      </c>
      <c r="C5" s="449" t="s">
        <v>435</v>
      </c>
      <c r="D5" s="449" t="s">
        <v>435</v>
      </c>
      <c r="E5" s="449"/>
      <c r="F5" s="449" t="s">
        <v>435</v>
      </c>
      <c r="G5" s="449" t="s">
        <v>435</v>
      </c>
      <c r="H5" s="449" t="s">
        <v>435</v>
      </c>
      <c r="I5" s="450" t="s">
        <v>435</v>
      </c>
      <c r="J5" s="451" t="s">
        <v>69</v>
      </c>
    </row>
    <row r="6" spans="1:10" ht="14.4" customHeight="1" x14ac:dyDescent="0.3">
      <c r="A6" s="447" t="s">
        <v>433</v>
      </c>
      <c r="B6" s="448" t="s">
        <v>265</v>
      </c>
      <c r="C6" s="449">
        <v>44.426250000000003</v>
      </c>
      <c r="D6" s="449">
        <v>15.477690000000001</v>
      </c>
      <c r="E6" s="449"/>
      <c r="F6" s="449">
        <v>15.404699999999998</v>
      </c>
      <c r="G6" s="449">
        <v>34.416669773784662</v>
      </c>
      <c r="H6" s="449">
        <v>-19.011969773784664</v>
      </c>
      <c r="I6" s="450">
        <v>0.44759414845342854</v>
      </c>
      <c r="J6" s="451" t="s">
        <v>1</v>
      </c>
    </row>
    <row r="7" spans="1:10" ht="14.4" customHeight="1" x14ac:dyDescent="0.3">
      <c r="A7" s="447" t="s">
        <v>433</v>
      </c>
      <c r="B7" s="448" t="s">
        <v>266</v>
      </c>
      <c r="C7" s="449">
        <v>0</v>
      </c>
      <c r="D7" s="449" t="s">
        <v>435</v>
      </c>
      <c r="E7" s="449"/>
      <c r="F7" s="449">
        <v>0.19051999999999999</v>
      </c>
      <c r="G7" s="449">
        <v>0</v>
      </c>
      <c r="H7" s="449">
        <v>0.19051999999999999</v>
      </c>
      <c r="I7" s="450" t="s">
        <v>435</v>
      </c>
      <c r="J7" s="451" t="s">
        <v>1</v>
      </c>
    </row>
    <row r="8" spans="1:10" ht="14.4" customHeight="1" x14ac:dyDescent="0.3">
      <c r="A8" s="447" t="s">
        <v>433</v>
      </c>
      <c r="B8" s="448" t="s">
        <v>268</v>
      </c>
      <c r="C8" s="449">
        <v>0.88571999999999995</v>
      </c>
      <c r="D8" s="449">
        <v>0</v>
      </c>
      <c r="E8" s="449"/>
      <c r="F8" s="449">
        <v>0</v>
      </c>
      <c r="G8" s="449">
        <v>1.1666667719921668</v>
      </c>
      <c r="H8" s="449">
        <v>-1.1666667719921668</v>
      </c>
      <c r="I8" s="450">
        <v>0</v>
      </c>
      <c r="J8" s="451" t="s">
        <v>1</v>
      </c>
    </row>
    <row r="9" spans="1:10" ht="14.4" customHeight="1" x14ac:dyDescent="0.3">
      <c r="A9" s="447" t="s">
        <v>433</v>
      </c>
      <c r="B9" s="448" t="s">
        <v>436</v>
      </c>
      <c r="C9" s="449">
        <v>45.311970000000002</v>
      </c>
      <c r="D9" s="449">
        <v>15.477690000000001</v>
      </c>
      <c r="E9" s="449"/>
      <c r="F9" s="449">
        <v>15.595219999999998</v>
      </c>
      <c r="G9" s="449">
        <v>35.583336545776831</v>
      </c>
      <c r="H9" s="449">
        <v>-19.988116545776833</v>
      </c>
      <c r="I9" s="450">
        <v>0.43827312202545265</v>
      </c>
      <c r="J9" s="451" t="s">
        <v>437</v>
      </c>
    </row>
    <row r="11" spans="1:10" ht="14.4" customHeight="1" x14ac:dyDescent="0.3">
      <c r="A11" s="447" t="s">
        <v>433</v>
      </c>
      <c r="B11" s="448" t="s">
        <v>434</v>
      </c>
      <c r="C11" s="449" t="s">
        <v>435</v>
      </c>
      <c r="D11" s="449" t="s">
        <v>435</v>
      </c>
      <c r="E11" s="449"/>
      <c r="F11" s="449" t="s">
        <v>435</v>
      </c>
      <c r="G11" s="449" t="s">
        <v>435</v>
      </c>
      <c r="H11" s="449" t="s">
        <v>435</v>
      </c>
      <c r="I11" s="450" t="s">
        <v>435</v>
      </c>
      <c r="J11" s="451" t="s">
        <v>69</v>
      </c>
    </row>
    <row r="12" spans="1:10" ht="14.4" customHeight="1" x14ac:dyDescent="0.3">
      <c r="A12" s="447" t="s">
        <v>438</v>
      </c>
      <c r="B12" s="448" t="s">
        <v>439</v>
      </c>
      <c r="C12" s="449" t="s">
        <v>435</v>
      </c>
      <c r="D12" s="449" t="s">
        <v>435</v>
      </c>
      <c r="E12" s="449"/>
      <c r="F12" s="449" t="s">
        <v>435</v>
      </c>
      <c r="G12" s="449" t="s">
        <v>435</v>
      </c>
      <c r="H12" s="449" t="s">
        <v>435</v>
      </c>
      <c r="I12" s="450" t="s">
        <v>435</v>
      </c>
      <c r="J12" s="451" t="s">
        <v>0</v>
      </c>
    </row>
    <row r="13" spans="1:10" ht="14.4" customHeight="1" x14ac:dyDescent="0.3">
      <c r="A13" s="447" t="s">
        <v>438</v>
      </c>
      <c r="B13" s="448" t="s">
        <v>265</v>
      </c>
      <c r="C13" s="449">
        <v>23.51576</v>
      </c>
      <c r="D13" s="449">
        <v>0.13088</v>
      </c>
      <c r="E13" s="449"/>
      <c r="F13" s="449">
        <v>0.82638999999999996</v>
      </c>
      <c r="G13" s="449">
        <v>1.2264186293502499</v>
      </c>
      <c r="H13" s="449">
        <v>-0.40002862935024996</v>
      </c>
      <c r="I13" s="450">
        <v>0.67382375008264261</v>
      </c>
      <c r="J13" s="451" t="s">
        <v>1</v>
      </c>
    </row>
    <row r="14" spans="1:10" ht="14.4" customHeight="1" x14ac:dyDescent="0.3">
      <c r="A14" s="447" t="s">
        <v>438</v>
      </c>
      <c r="B14" s="448" t="s">
        <v>266</v>
      </c>
      <c r="C14" s="449">
        <v>0</v>
      </c>
      <c r="D14" s="449" t="s">
        <v>435</v>
      </c>
      <c r="E14" s="449"/>
      <c r="F14" s="449" t="s">
        <v>435</v>
      </c>
      <c r="G14" s="449" t="s">
        <v>435</v>
      </c>
      <c r="H14" s="449" t="s">
        <v>435</v>
      </c>
      <c r="I14" s="450" t="s">
        <v>435</v>
      </c>
      <c r="J14" s="451" t="s">
        <v>1</v>
      </c>
    </row>
    <row r="15" spans="1:10" ht="14.4" customHeight="1" x14ac:dyDescent="0.3">
      <c r="A15" s="447" t="s">
        <v>438</v>
      </c>
      <c r="B15" s="448" t="s">
        <v>440</v>
      </c>
      <c r="C15" s="449">
        <v>23.51576</v>
      </c>
      <c r="D15" s="449">
        <v>0.13088</v>
      </c>
      <c r="E15" s="449"/>
      <c r="F15" s="449">
        <v>0.82638999999999996</v>
      </c>
      <c r="G15" s="449">
        <v>1.2264186293502499</v>
      </c>
      <c r="H15" s="449">
        <v>-0.40002862935024996</v>
      </c>
      <c r="I15" s="450">
        <v>0.67382375008264261</v>
      </c>
      <c r="J15" s="451" t="s">
        <v>441</v>
      </c>
    </row>
    <row r="16" spans="1:10" ht="14.4" customHeight="1" x14ac:dyDescent="0.3">
      <c r="A16" s="447" t="s">
        <v>435</v>
      </c>
      <c r="B16" s="448" t="s">
        <v>435</v>
      </c>
      <c r="C16" s="449" t="s">
        <v>435</v>
      </c>
      <c r="D16" s="449" t="s">
        <v>435</v>
      </c>
      <c r="E16" s="449"/>
      <c r="F16" s="449" t="s">
        <v>435</v>
      </c>
      <c r="G16" s="449" t="s">
        <v>435</v>
      </c>
      <c r="H16" s="449" t="s">
        <v>435</v>
      </c>
      <c r="I16" s="450" t="s">
        <v>435</v>
      </c>
      <c r="J16" s="451" t="s">
        <v>442</v>
      </c>
    </row>
    <row r="17" spans="1:10" ht="14.4" customHeight="1" x14ac:dyDescent="0.3">
      <c r="A17" s="447" t="s">
        <v>443</v>
      </c>
      <c r="B17" s="448" t="s">
        <v>444</v>
      </c>
      <c r="C17" s="449" t="s">
        <v>435</v>
      </c>
      <c r="D17" s="449" t="s">
        <v>435</v>
      </c>
      <c r="E17" s="449"/>
      <c r="F17" s="449" t="s">
        <v>435</v>
      </c>
      <c r="G17" s="449" t="s">
        <v>435</v>
      </c>
      <c r="H17" s="449" t="s">
        <v>435</v>
      </c>
      <c r="I17" s="450" t="s">
        <v>435</v>
      </c>
      <c r="J17" s="451" t="s">
        <v>0</v>
      </c>
    </row>
    <row r="18" spans="1:10" ht="14.4" customHeight="1" x14ac:dyDescent="0.3">
      <c r="A18" s="447" t="s">
        <v>443</v>
      </c>
      <c r="B18" s="448" t="s">
        <v>265</v>
      </c>
      <c r="C18" s="449">
        <v>20.910490000000003</v>
      </c>
      <c r="D18" s="449">
        <v>15.346810000000001</v>
      </c>
      <c r="E18" s="449"/>
      <c r="F18" s="449">
        <v>14.578309999999998</v>
      </c>
      <c r="G18" s="449">
        <v>33.190251144434413</v>
      </c>
      <c r="H18" s="449">
        <v>-18.611941144434414</v>
      </c>
      <c r="I18" s="450">
        <v>0.43923469986892816</v>
      </c>
      <c r="J18" s="451" t="s">
        <v>1</v>
      </c>
    </row>
    <row r="19" spans="1:10" ht="14.4" customHeight="1" x14ac:dyDescent="0.3">
      <c r="A19" s="447" t="s">
        <v>443</v>
      </c>
      <c r="B19" s="448" t="s">
        <v>266</v>
      </c>
      <c r="C19" s="449">
        <v>0</v>
      </c>
      <c r="D19" s="449" t="s">
        <v>435</v>
      </c>
      <c r="E19" s="449"/>
      <c r="F19" s="449">
        <v>0.19051999999999999</v>
      </c>
      <c r="G19" s="449">
        <v>0</v>
      </c>
      <c r="H19" s="449">
        <v>0.19051999999999999</v>
      </c>
      <c r="I19" s="450" t="s">
        <v>435</v>
      </c>
      <c r="J19" s="451" t="s">
        <v>1</v>
      </c>
    </row>
    <row r="20" spans="1:10" ht="14.4" customHeight="1" x14ac:dyDescent="0.3">
      <c r="A20" s="447" t="s">
        <v>443</v>
      </c>
      <c r="B20" s="448" t="s">
        <v>268</v>
      </c>
      <c r="C20" s="449">
        <v>0.88571999999999995</v>
      </c>
      <c r="D20" s="449">
        <v>0</v>
      </c>
      <c r="E20" s="449"/>
      <c r="F20" s="449">
        <v>0</v>
      </c>
      <c r="G20" s="449">
        <v>1.1666667719921668</v>
      </c>
      <c r="H20" s="449">
        <v>-1.1666667719921668</v>
      </c>
      <c r="I20" s="450">
        <v>0</v>
      </c>
      <c r="J20" s="451" t="s">
        <v>1</v>
      </c>
    </row>
    <row r="21" spans="1:10" ht="14.4" customHeight="1" x14ac:dyDescent="0.3">
      <c r="A21" s="447" t="s">
        <v>443</v>
      </c>
      <c r="B21" s="448" t="s">
        <v>445</v>
      </c>
      <c r="C21" s="449">
        <v>21.796210000000002</v>
      </c>
      <c r="D21" s="449">
        <v>15.346810000000001</v>
      </c>
      <c r="E21" s="449"/>
      <c r="F21" s="449">
        <v>14.768829999999998</v>
      </c>
      <c r="G21" s="449">
        <v>34.356917916426582</v>
      </c>
      <c r="H21" s="449">
        <v>-19.588087916426584</v>
      </c>
      <c r="I21" s="450">
        <v>0.42986481022323564</v>
      </c>
      <c r="J21" s="451" t="s">
        <v>441</v>
      </c>
    </row>
    <row r="22" spans="1:10" ht="14.4" customHeight="1" x14ac:dyDescent="0.3">
      <c r="A22" s="447" t="s">
        <v>435</v>
      </c>
      <c r="B22" s="448" t="s">
        <v>435</v>
      </c>
      <c r="C22" s="449" t="s">
        <v>435</v>
      </c>
      <c r="D22" s="449" t="s">
        <v>435</v>
      </c>
      <c r="E22" s="449"/>
      <c r="F22" s="449" t="s">
        <v>435</v>
      </c>
      <c r="G22" s="449" t="s">
        <v>435</v>
      </c>
      <c r="H22" s="449" t="s">
        <v>435</v>
      </c>
      <c r="I22" s="450" t="s">
        <v>435</v>
      </c>
      <c r="J22" s="451" t="s">
        <v>442</v>
      </c>
    </row>
    <row r="23" spans="1:10" ht="14.4" customHeight="1" x14ac:dyDescent="0.3">
      <c r="A23" s="447" t="s">
        <v>433</v>
      </c>
      <c r="B23" s="448" t="s">
        <v>436</v>
      </c>
      <c r="C23" s="449">
        <v>45.311970000000002</v>
      </c>
      <c r="D23" s="449">
        <v>15.477690000000001</v>
      </c>
      <c r="E23" s="449"/>
      <c r="F23" s="449">
        <v>15.595219999999998</v>
      </c>
      <c r="G23" s="449">
        <v>35.583336545776831</v>
      </c>
      <c r="H23" s="449">
        <v>-19.988116545776833</v>
      </c>
      <c r="I23" s="450">
        <v>0.43827312202545265</v>
      </c>
      <c r="J23" s="451" t="s">
        <v>437</v>
      </c>
    </row>
  </sheetData>
  <mergeCells count="3">
    <mergeCell ref="F3:I3"/>
    <mergeCell ref="C4:D4"/>
    <mergeCell ref="A1:I1"/>
  </mergeCells>
  <conditionalFormatting sqref="F10 F24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3">
    <cfRule type="expression" dxfId="49" priority="5">
      <formula>$H11&gt;0</formula>
    </cfRule>
  </conditionalFormatting>
  <conditionalFormatting sqref="A11:A23">
    <cfRule type="expression" dxfId="48" priority="2">
      <formula>AND($J11&lt;&gt;"mezeraKL",$J11&lt;&gt;"")</formula>
    </cfRule>
  </conditionalFormatting>
  <conditionalFormatting sqref="I11:I23">
    <cfRule type="expression" dxfId="47" priority="6">
      <formula>$I11&gt;1</formula>
    </cfRule>
  </conditionalFormatting>
  <conditionalFormatting sqref="B11:B23">
    <cfRule type="expression" dxfId="46" priority="1">
      <formula>OR($J11="NS",$J11="SumaNS",$J11="Účet")</formula>
    </cfRule>
  </conditionalFormatting>
  <conditionalFormatting sqref="A11:D23 F11:I23">
    <cfRule type="expression" dxfId="45" priority="8">
      <formula>AND($J11&lt;&gt;"",$J11&lt;&gt;"mezeraKL")</formula>
    </cfRule>
  </conditionalFormatting>
  <conditionalFormatting sqref="B11:D23 F11:I23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129.67157478251832</v>
      </c>
      <c r="M3" s="98">
        <f>SUBTOTAL(9,M5:M1048576)</f>
        <v>34.75</v>
      </c>
      <c r="N3" s="99">
        <f>SUBTOTAL(9,N5:N1048576)</f>
        <v>4506.0872236925115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433</v>
      </c>
      <c r="B5" s="460" t="s">
        <v>490</v>
      </c>
      <c r="C5" s="461" t="s">
        <v>438</v>
      </c>
      <c r="D5" s="462" t="s">
        <v>491</v>
      </c>
      <c r="E5" s="461" t="s">
        <v>446</v>
      </c>
      <c r="F5" s="462" t="s">
        <v>493</v>
      </c>
      <c r="G5" s="461" t="s">
        <v>447</v>
      </c>
      <c r="H5" s="461" t="s">
        <v>448</v>
      </c>
      <c r="I5" s="461" t="s">
        <v>449</v>
      </c>
      <c r="J5" s="461" t="s">
        <v>450</v>
      </c>
      <c r="K5" s="461" t="s">
        <v>451</v>
      </c>
      <c r="L5" s="463">
        <v>87.029999999999973</v>
      </c>
      <c r="M5" s="463">
        <v>1</v>
      </c>
      <c r="N5" s="464">
        <v>87.029999999999973</v>
      </c>
    </row>
    <row r="6" spans="1:14" ht="14.4" customHeight="1" x14ac:dyDescent="0.3">
      <c r="A6" s="465" t="s">
        <v>433</v>
      </c>
      <c r="B6" s="466" t="s">
        <v>490</v>
      </c>
      <c r="C6" s="467" t="s">
        <v>438</v>
      </c>
      <c r="D6" s="468" t="s">
        <v>491</v>
      </c>
      <c r="E6" s="467" t="s">
        <v>446</v>
      </c>
      <c r="F6" s="468" t="s">
        <v>493</v>
      </c>
      <c r="G6" s="467" t="s">
        <v>447</v>
      </c>
      <c r="H6" s="467" t="s">
        <v>452</v>
      </c>
      <c r="I6" s="467" t="s">
        <v>453</v>
      </c>
      <c r="J6" s="467" t="s">
        <v>454</v>
      </c>
      <c r="K6" s="467" t="s">
        <v>455</v>
      </c>
      <c r="L6" s="469">
        <v>77.609677215605785</v>
      </c>
      <c r="M6" s="469">
        <v>1</v>
      </c>
      <c r="N6" s="470">
        <v>77.609677215605785</v>
      </c>
    </row>
    <row r="7" spans="1:14" ht="14.4" customHeight="1" x14ac:dyDescent="0.3">
      <c r="A7" s="465" t="s">
        <v>433</v>
      </c>
      <c r="B7" s="466" t="s">
        <v>490</v>
      </c>
      <c r="C7" s="467" t="s">
        <v>438</v>
      </c>
      <c r="D7" s="468" t="s">
        <v>491</v>
      </c>
      <c r="E7" s="467" t="s">
        <v>446</v>
      </c>
      <c r="F7" s="468" t="s">
        <v>493</v>
      </c>
      <c r="G7" s="467" t="s">
        <v>447</v>
      </c>
      <c r="H7" s="467" t="s">
        <v>456</v>
      </c>
      <c r="I7" s="467" t="s">
        <v>457</v>
      </c>
      <c r="J7" s="467" t="s">
        <v>458</v>
      </c>
      <c r="K7" s="467" t="s">
        <v>459</v>
      </c>
      <c r="L7" s="469">
        <v>119.85993444079529</v>
      </c>
      <c r="M7" s="469">
        <v>2</v>
      </c>
      <c r="N7" s="470">
        <v>239.71986888159057</v>
      </c>
    </row>
    <row r="8" spans="1:14" ht="14.4" customHeight="1" x14ac:dyDescent="0.3">
      <c r="A8" s="465" t="s">
        <v>433</v>
      </c>
      <c r="B8" s="466" t="s">
        <v>490</v>
      </c>
      <c r="C8" s="467" t="s">
        <v>438</v>
      </c>
      <c r="D8" s="468" t="s">
        <v>491</v>
      </c>
      <c r="E8" s="467" t="s">
        <v>446</v>
      </c>
      <c r="F8" s="468" t="s">
        <v>493</v>
      </c>
      <c r="G8" s="467" t="s">
        <v>447</v>
      </c>
      <c r="H8" s="467" t="s">
        <v>460</v>
      </c>
      <c r="I8" s="467" t="s">
        <v>461</v>
      </c>
      <c r="J8" s="467" t="s">
        <v>462</v>
      </c>
      <c r="K8" s="467" t="s">
        <v>463</v>
      </c>
      <c r="L8" s="469">
        <v>71.45</v>
      </c>
      <c r="M8" s="469">
        <v>1</v>
      </c>
      <c r="N8" s="470">
        <v>71.45</v>
      </c>
    </row>
    <row r="9" spans="1:14" ht="14.4" customHeight="1" x14ac:dyDescent="0.3">
      <c r="A9" s="465" t="s">
        <v>433</v>
      </c>
      <c r="B9" s="466" t="s">
        <v>490</v>
      </c>
      <c r="C9" s="467" t="s">
        <v>438</v>
      </c>
      <c r="D9" s="468" t="s">
        <v>491</v>
      </c>
      <c r="E9" s="467" t="s">
        <v>446</v>
      </c>
      <c r="F9" s="468" t="s">
        <v>493</v>
      </c>
      <c r="G9" s="467" t="s">
        <v>447</v>
      </c>
      <c r="H9" s="467" t="s">
        <v>464</v>
      </c>
      <c r="I9" s="467" t="s">
        <v>465</v>
      </c>
      <c r="J9" s="467" t="s">
        <v>466</v>
      </c>
      <c r="K9" s="467" t="s">
        <v>467</v>
      </c>
      <c r="L9" s="469">
        <v>83.129999999999967</v>
      </c>
      <c r="M9" s="469">
        <v>1</v>
      </c>
      <c r="N9" s="470">
        <v>83.129999999999967</v>
      </c>
    </row>
    <row r="10" spans="1:14" ht="14.4" customHeight="1" x14ac:dyDescent="0.3">
      <c r="A10" s="465" t="s">
        <v>433</v>
      </c>
      <c r="B10" s="466" t="s">
        <v>490</v>
      </c>
      <c r="C10" s="467" t="s">
        <v>438</v>
      </c>
      <c r="D10" s="468" t="s">
        <v>491</v>
      </c>
      <c r="E10" s="467" t="s">
        <v>446</v>
      </c>
      <c r="F10" s="468" t="s">
        <v>493</v>
      </c>
      <c r="G10" s="467" t="s">
        <v>447</v>
      </c>
      <c r="H10" s="467" t="s">
        <v>468</v>
      </c>
      <c r="I10" s="467" t="s">
        <v>468</v>
      </c>
      <c r="J10" s="467" t="s">
        <v>469</v>
      </c>
      <c r="K10" s="467" t="s">
        <v>470</v>
      </c>
      <c r="L10" s="469">
        <v>44</v>
      </c>
      <c r="M10" s="469">
        <v>1</v>
      </c>
      <c r="N10" s="470">
        <v>44</v>
      </c>
    </row>
    <row r="11" spans="1:14" ht="14.4" customHeight="1" x14ac:dyDescent="0.3">
      <c r="A11" s="465" t="s">
        <v>433</v>
      </c>
      <c r="B11" s="466" t="s">
        <v>490</v>
      </c>
      <c r="C11" s="467" t="s">
        <v>438</v>
      </c>
      <c r="D11" s="468" t="s">
        <v>491</v>
      </c>
      <c r="E11" s="467" t="s">
        <v>446</v>
      </c>
      <c r="F11" s="468" t="s">
        <v>493</v>
      </c>
      <c r="G11" s="467" t="s">
        <v>447</v>
      </c>
      <c r="H11" s="467" t="s">
        <v>471</v>
      </c>
      <c r="I11" s="467" t="s">
        <v>471</v>
      </c>
      <c r="J11" s="467" t="s">
        <v>472</v>
      </c>
      <c r="K11" s="467" t="s">
        <v>473</v>
      </c>
      <c r="L11" s="469">
        <v>11.318999999999997</v>
      </c>
      <c r="M11" s="469">
        <v>3</v>
      </c>
      <c r="N11" s="470">
        <v>33.956999999999994</v>
      </c>
    </row>
    <row r="12" spans="1:14" ht="14.4" customHeight="1" x14ac:dyDescent="0.3">
      <c r="A12" s="465" t="s">
        <v>433</v>
      </c>
      <c r="B12" s="466" t="s">
        <v>490</v>
      </c>
      <c r="C12" s="467" t="s">
        <v>443</v>
      </c>
      <c r="D12" s="468" t="s">
        <v>492</v>
      </c>
      <c r="E12" s="467" t="s">
        <v>446</v>
      </c>
      <c r="F12" s="468" t="s">
        <v>493</v>
      </c>
      <c r="G12" s="467" t="s">
        <v>447</v>
      </c>
      <c r="H12" s="467" t="s">
        <v>474</v>
      </c>
      <c r="I12" s="467" t="s">
        <v>474</v>
      </c>
      <c r="J12" s="467" t="s">
        <v>475</v>
      </c>
      <c r="K12" s="467" t="s">
        <v>476</v>
      </c>
      <c r="L12" s="469">
        <v>171.60040428913325</v>
      </c>
      <c r="M12" s="469">
        <v>0.75</v>
      </c>
      <c r="N12" s="470">
        <v>128.70030321684993</v>
      </c>
    </row>
    <row r="13" spans="1:14" ht="14.4" customHeight="1" x14ac:dyDescent="0.3">
      <c r="A13" s="465" t="s">
        <v>433</v>
      </c>
      <c r="B13" s="466" t="s">
        <v>490</v>
      </c>
      <c r="C13" s="467" t="s">
        <v>443</v>
      </c>
      <c r="D13" s="468" t="s">
        <v>492</v>
      </c>
      <c r="E13" s="467" t="s">
        <v>446</v>
      </c>
      <c r="F13" s="468" t="s">
        <v>493</v>
      </c>
      <c r="G13" s="467" t="s">
        <v>447</v>
      </c>
      <c r="H13" s="467" t="s">
        <v>477</v>
      </c>
      <c r="I13" s="467" t="s">
        <v>478</v>
      </c>
      <c r="J13" s="467" t="s">
        <v>479</v>
      </c>
      <c r="K13" s="467" t="s">
        <v>480</v>
      </c>
      <c r="L13" s="469">
        <v>75.020008241404057</v>
      </c>
      <c r="M13" s="469">
        <v>6</v>
      </c>
      <c r="N13" s="470">
        <v>450.12004944842431</v>
      </c>
    </row>
    <row r="14" spans="1:14" ht="14.4" customHeight="1" x14ac:dyDescent="0.3">
      <c r="A14" s="465" t="s">
        <v>433</v>
      </c>
      <c r="B14" s="466" t="s">
        <v>490</v>
      </c>
      <c r="C14" s="467" t="s">
        <v>443</v>
      </c>
      <c r="D14" s="468" t="s">
        <v>492</v>
      </c>
      <c r="E14" s="467" t="s">
        <v>446</v>
      </c>
      <c r="F14" s="468" t="s">
        <v>493</v>
      </c>
      <c r="G14" s="467" t="s">
        <v>447</v>
      </c>
      <c r="H14" s="467" t="s">
        <v>481</v>
      </c>
      <c r="I14" s="467" t="s">
        <v>478</v>
      </c>
      <c r="J14" s="467" t="s">
        <v>482</v>
      </c>
      <c r="K14" s="467"/>
      <c r="L14" s="469">
        <v>183.47830751918352</v>
      </c>
      <c r="M14" s="469">
        <v>16</v>
      </c>
      <c r="N14" s="470">
        <v>2935.6529203069363</v>
      </c>
    </row>
    <row r="15" spans="1:14" ht="14.4" customHeight="1" x14ac:dyDescent="0.3">
      <c r="A15" s="465" t="s">
        <v>433</v>
      </c>
      <c r="B15" s="466" t="s">
        <v>490</v>
      </c>
      <c r="C15" s="467" t="s">
        <v>443</v>
      </c>
      <c r="D15" s="468" t="s">
        <v>492</v>
      </c>
      <c r="E15" s="467" t="s">
        <v>446</v>
      </c>
      <c r="F15" s="468" t="s">
        <v>493</v>
      </c>
      <c r="G15" s="467" t="s">
        <v>447</v>
      </c>
      <c r="H15" s="467" t="s">
        <v>483</v>
      </c>
      <c r="I15" s="467" t="s">
        <v>478</v>
      </c>
      <c r="J15" s="467" t="s">
        <v>484</v>
      </c>
      <c r="K15" s="467" t="s">
        <v>485</v>
      </c>
      <c r="L15" s="469">
        <v>164.19740462310469</v>
      </c>
      <c r="M15" s="469">
        <v>1</v>
      </c>
      <c r="N15" s="470">
        <v>164.19740462310469</v>
      </c>
    </row>
    <row r="16" spans="1:14" ht="14.4" customHeight="1" thickBot="1" x14ac:dyDescent="0.35">
      <c r="A16" s="471" t="s">
        <v>433</v>
      </c>
      <c r="B16" s="472" t="s">
        <v>490</v>
      </c>
      <c r="C16" s="473" t="s">
        <v>443</v>
      </c>
      <c r="D16" s="474" t="s">
        <v>492</v>
      </c>
      <c r="E16" s="473" t="s">
        <v>486</v>
      </c>
      <c r="F16" s="474" t="s">
        <v>494</v>
      </c>
      <c r="G16" s="473" t="s">
        <v>447</v>
      </c>
      <c r="H16" s="473" t="s">
        <v>487</v>
      </c>
      <c r="I16" s="473" t="s">
        <v>487</v>
      </c>
      <c r="J16" s="473" t="s">
        <v>488</v>
      </c>
      <c r="K16" s="473" t="s">
        <v>489</v>
      </c>
      <c r="L16" s="475">
        <v>190.52</v>
      </c>
      <c r="M16" s="475">
        <v>1</v>
      </c>
      <c r="N16" s="476">
        <v>190.52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495</v>
      </c>
      <c r="B5" s="457"/>
      <c r="C5" s="481">
        <v>0</v>
      </c>
      <c r="D5" s="457">
        <v>190.52</v>
      </c>
      <c r="E5" s="481">
        <v>1</v>
      </c>
      <c r="F5" s="458">
        <v>190.52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190.52</v>
      </c>
      <c r="E6" s="489">
        <v>1</v>
      </c>
      <c r="F6" s="490">
        <v>190.52</v>
      </c>
    </row>
    <row r="7" spans="1:6" ht="14.4" customHeight="1" thickBot="1" x14ac:dyDescent="0.35"/>
    <row r="8" spans="1:6" ht="14.4" customHeight="1" thickBot="1" x14ac:dyDescent="0.35">
      <c r="A8" s="491" t="s">
        <v>496</v>
      </c>
      <c r="B8" s="457"/>
      <c r="C8" s="481">
        <v>0</v>
      </c>
      <c r="D8" s="457">
        <v>190.52</v>
      </c>
      <c r="E8" s="481">
        <v>1</v>
      </c>
      <c r="F8" s="458">
        <v>190.52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190.52</v>
      </c>
      <c r="E9" s="489">
        <v>1</v>
      </c>
      <c r="F9" s="490">
        <v>190.52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2016-08-19T11:17:13Z</dcterms:modified>
</cp:coreProperties>
</file>