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F18" i="419" l="1"/>
  <c r="L18" i="419"/>
  <c r="C18" i="419"/>
  <c r="E18" i="419"/>
  <c r="H18" i="419"/>
  <c r="I18" i="419"/>
  <c r="D18" i="419"/>
  <c r="G18" i="419"/>
  <c r="J18" i="419"/>
  <c r="K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J21" i="419" l="1"/>
  <c r="I21" i="419"/>
  <c r="I22" i="419" s="1"/>
  <c r="H21" i="419"/>
  <c r="H22" i="419" s="1"/>
  <c r="G21" i="419"/>
  <c r="H23" i="419" l="1"/>
  <c r="J23" i="419"/>
  <c r="G23" i="419"/>
  <c r="I23" i="419"/>
  <c r="J22" i="419"/>
  <c r="G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L6" i="419"/>
  <c r="I6" i="419"/>
  <c r="H6" i="419"/>
  <c r="E6" i="419"/>
  <c r="C6" i="419"/>
  <c r="K6" i="419"/>
  <c r="J6" i="419"/>
  <c r="G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C23" i="414"/>
  <c r="D23" i="414"/>
  <c r="H3" i="390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<sst xmlns="http://schemas.openxmlformats.org/spreadsheetml/2006/main" count="3740" uniqueCount="1095">
  <si>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</si>
  <si>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</si>
  <si>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</si>
  <si>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</si>
  <si>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</si>
  <si>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</si>
  <si>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</si>
  <si>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</si>
  <si>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</si>
  <si>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</si>
  <si>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</si>
  <si>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</si>
  <si>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</si>
  <si>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</si>
  <si>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</si>
  <si>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</si>
  <si>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</si>
  <si>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</si>
  <si>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</si>
  <si>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</si>
  <si>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</si>
  <si>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</si>
  <si>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</si>
  <si>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</si>
  <si>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</si>
  <si>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</si>
  <si>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</si>
  <si>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</si>
  <si>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</si>
  <si>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</si>
  <si>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</si>
  <si>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</si>
  <si>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</si>
  <si>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</si>
  <si>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</si>
  <si>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</si>
  <si>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</si>
  <si>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</si>
  <si>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</si>
  <si>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</si>
  <si>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</si>
  <si>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</si>
  <si>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</si>
  <si>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</si>
  <si>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</si>
  <si>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</si>
  <si>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</si>
  <si>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</si>
  <si>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</si>
  <si>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</si>
  <si>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</si>
  <si>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</si>
  <si>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</si>
  <si>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</si>
  <si>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</si>
  <si>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</si>
  <si>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</si>
  <si>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</si>
  <si>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</si>
  <si>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</si>
  <si>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</si>
  <si>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</si>
  <si>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</si>
  <si>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</si>
  <si>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</si>
  <si>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</si>
  <si>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</si>
  <si>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</si>
  <si>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</si>
  <si>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</si>
  <si>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</si>
  <si>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</si>
  <si>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</si>
  <si>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</si>
  <si>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</si>
  <si>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</si>
  <si>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</si>
  <si>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</si>
  <si>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</si>
  <si>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</si>
  <si>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</si>
  <si>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</si>
  <si>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</si>
  <si>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</si>
  <si>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</si>
  <si>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</si>
  <si>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</si>
  <si>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</si>
  <si>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</si>
  <si>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</si>
  <si>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</si>
  <si>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</si>
  <si>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</si>
  <si>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</si>
  <si>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</si>
  <si>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</si>
  <si>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</si>
  <si>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</si>
  <si>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</si>
  <si>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</si>
  <si>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</si>
  <si>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</si>
  <si>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</si>
  <si>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</si>
  <si>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</si>
  <si>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</si>
  <si>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</si>
  <si>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</si>
  <si>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</si>
  <si>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</si>
  <si>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</si>
  <si>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</si>
  <si>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</si>
  <si>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</si>
  <si>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</si>
  <si>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</si>
  <si>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</si>
  <si>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</si>
  <si>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</si>
  <si>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</si>
  <si>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</si>
  <si>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</si>
  <si>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</si>
  <si>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</si>
  <si>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</si>
  <si>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</si>
  <si>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</si>
  <si>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</si>
  <si>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</si>
  <si>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</si>
  <si>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</si>
  <si>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</si>
  <si>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</si>
  <si>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</si>
  <si>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</si>
  <si>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</si>
  <si>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</si>
  <si>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</si>
  <si>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</si>
  <si>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</si>
  <si>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</si>
  <si>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</si>
  <si>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</si>
  <si>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</si>
  <si>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</si>
  <si>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</si>
  <si>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</si>
  <si>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</si>
  <si>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</si>
  <si>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</si>
  <si>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</si>
  <si>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</si>
  <si>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</si>
  <si>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</si>
  <si>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</si>
  <si>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</si>
  <si>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</si>
  <si>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</si>
  <si>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</si>
  <si>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</si>
  <si>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</si>
  <si>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</si>
  <si>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</si>
  <si>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</si>
  <si>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</si>
  <si>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</si>
  <si>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</si>
  <si>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</si>
  <si>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</si>
  <si>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</si>
  <si>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</si>
  <si>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</si>
  <si>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</si>
  <si>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</si>
  <si>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</si>
  <si>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</si>
  <si>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</si>
  <si>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</si>
  <si>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</si>
  <si>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</si>
  <si>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</si>
  <si>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</si>
  <si>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</si>
  <si>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</si>
  <si>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</si>
  <si>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</si>
  <si>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</si>
  <si>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</si>
  <si>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</si>
  <si>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</si>
  <si>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</si>
  <si>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</si>
  <si>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</si>
  <si>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</si>
  <si>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</si>
  <si>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</si>
  <si>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</si>
  <si>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</si>
  <si>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</si>
  <si>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</si>
  <si>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</si>
  <si>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</si>
  <si>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</si>
  <si>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</si>
  <si>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</si>
  <si>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</si>
  <si>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</si>
  <si>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</si>
  <si>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</si>
  <si>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</si>
  <si>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</si>
  <si>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</si>
  <si>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</si>
  <si>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</si>
  <si>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</si>
  <si>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</si>
  <si>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</si>
  <si>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</si>
  <si>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</si>
  <si>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</si>
  <si>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</si>
  <si>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</si>
  <si>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</si>
  <si>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</si>
  <si>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</si>
  <si>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</si>
  <si>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</si>
  <si>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</si>
  <si>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</si>
  <si>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</si>
  <si>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</si>
  <si>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</si>
  <si>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</si>
  <si>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</si>
  <si>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</si>
  <si>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</si>
  <si>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</si>
  <si>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</si>
  <si>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</si>
  <si>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</si>
  <si>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</si>
  <si>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</si>
  <si>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</si>
  <si>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</si>
  <si>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</si>
  <si>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</si>
  <si>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</si>
  <si>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</si>
  <si>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</si>
  <si>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</si>
  <si>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</si>
  <si>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</si>
  <si>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</si>
  <si>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</si>
  <si>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</si>
  <si>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</si>
  <si>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</si>
  <si>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</si>
  <si>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</si>
  <si>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</si>
  <si>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</si>
  <si>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</si>
  <si>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</si>
  <si>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</si>
  <si>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</si>
  <si>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</si>
  <si>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</si>
  <si>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</si>
  <si>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</si>
  <si>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</si>
  <si>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</si>
  <si>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</si>
  <si>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</si>
  <si>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</si>
  <si>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</si>
  <si>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</si>
  <si>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</si>
  <si>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</si>
  <si>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</si>
  <si>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</si>
  <si>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</si>
  <si>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</si>
  <si>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</si>
  <si>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</si>
  <si>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</si>
  <si>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</si>
  <si>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</si>
  <si>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</si>
  <si>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</si>
  <si>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</si>
  <si>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</si>
  <si>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</si>
  <si>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</si>
  <si>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</si>
  <si>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</si>
  <si>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</si>
  <si>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</si>
  <si>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</si>
  <si>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</si>
  <si>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</si>
  <si>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</si>
  <si>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</si>
  <si>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</si>
  <si>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</si>
  <si>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</si>
  <si>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</si>
  <si>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</si>
  <si>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</si>
  <si>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</si>
  <si>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</si>
  <si>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</si>
  <si>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</si>
  <si>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</si>
  <si>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</si>
  <si>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</si>
  <si>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</si>
  <si>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</si>
  <si>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</si>
  <si>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</si>
  <si>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</si>
  <si>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</si>
  <si>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</si>
  <si>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</si>
  <si>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</si>
  <si>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</si>
  <si>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</si>
  <si>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</si>
  <si>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</si>
  <si>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</si>
  <si>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</si>
  <si>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</si>
  <si>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</si>
  <si>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</si>
  <si>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</si>
  <si>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</si>
  <si>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</si>
  <si>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</si>
  <si>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</si>
  <si>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</si>
  <si>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</si>
  <si>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</si>
  <si>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</si>
  <si>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</si>
  <si>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</si>
  <si>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</si>
  <si>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</si>
  <si>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</si>
  <si>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</si>
  <si>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</si>
  <si>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</si>
  <si>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</si>
  <si>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</si>
  <si>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</si>
  <si>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</si>
  <si>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</si>
  <si>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</si>
  <si>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</si>
  <si>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</si>
  <si>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</si>
  <si>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</si>
  <si>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</si>
  <si>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</si>
  <si>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</si>
  <si>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</si>
  <si>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</si>
  <si>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</si>
  <si>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</si>
  <si>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</si>
  <si>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</si>
  <si>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</si>
  <si>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</si>
  <si>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</si>
  <si>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</si>
  <si>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</si>
  <si>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</si>
  <si>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</si>
  <si>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</si>
  <si>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</si>
  <si>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</si>
  <si>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</si>
  <si>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</si>
  <si>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</si>
  <si>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</si>
  <si>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</si>
  <si>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</si>
  <si>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</si>
  <si>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</si>
  <si>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</si>
  <si>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</si>
  <si>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</si>
  <si>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</si>
  <si>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</si>
  <si>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</si>
  <si>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</si>
  <si>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</si>
  <si>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</si>
  <si>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</si>
  <si>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</si>
  <si>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</si>
  <si>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</si>
  <si>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</si>
  <si>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</si>
  <si>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</si>
  <si>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</si>
  <si>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</si>
  <si>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</si>
  <si>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</si>
  <si>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</si>
  <si>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</si>
  <si>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</si>
  <si>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</si>
  <si>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</si>
  <si>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</si>
  <si>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</si>
  <si>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</si>
  <si>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</si>
  <si>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</si>
  <si>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</si>
  <si>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</si>
  <si>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</si>
  <si>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</si>
  <si>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</si>
  <si>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</si>
  <si>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</si>
  <si>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</si>
  <si>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</si>
  <si>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</si>
  <si>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</si>
  <si>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</si>
  <si>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</si>
  <si>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</si>
  <si>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</si>
  <si>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</si>
  <si>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</si>
  <si>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</si>
  <si>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</si>
  <si>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</si>
  <si>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</si>
  <si>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</si>
  <si>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</si>
  <si>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</si>
  <si>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</si>
  <si>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</si>
  <si>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</si>
  <si>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</si>
  <si>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</si>
  <si>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</si>
  <si>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</si>
  <si>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</si>
  <si>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</si>
  <si>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</si>
  <si>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</si>
  <si>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</si>
  <si>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</si>
  <si>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</si>
  <si>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</si>
  <si>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</si>
  <si>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</si>
  <si>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</si>
  <si>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</si>
  <si>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</si>
  <si>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</si>
  <si>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</si>
  <si>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IBALGIN 400 (IBUPROFEN 400)</t>
  </si>
  <si>
    <t>TBL OBD 100X400MG</t>
  </si>
  <si>
    <t>IBALGIN 600 (IBUPROFEN 600)</t>
  </si>
  <si>
    <t>TBL OBD 30X600MG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</si>
  <si>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</si>
  <si>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</si>
  <si>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</si>
  <si>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</si>
  <si>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</si>
  <si>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</si>
  <si>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JODISOL ROZTOK</t>
  </si>
  <si>
    <t>DRM SOL 1X3.6GM</t>
  </si>
  <si>
    <t>DRM SOL 1X80GM</t>
  </si>
  <si>
    <t>KL ETHANOL.C.BENZINO 1 l</t>
  </si>
  <si>
    <t>KL ETHANOLUM BENZ.DENAT. 900 ml / 720g/</t>
  </si>
  <si>
    <t>UN 1170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</si>
  <si>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</si>
  <si>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</si>
  <si>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</si>
  <si>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</si>
  <si>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</si>
  <si>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</si>
  <si>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</si>
  <si>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</si>
  <si>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</si>
  <si>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</si>
  <si>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</si>
  <si>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</si>
  <si>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</si>
  <si>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</si>
  <si>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</si>
  <si>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</si>
  <si>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Procházka Martin</t>
  </si>
  <si>
    <t>Štellmachová Júlia</t>
  </si>
  <si>
    <t>Aciklovir</t>
  </si>
  <si>
    <t>13703</t>
  </si>
  <si>
    <t>ZOVIRAX</t>
  </si>
  <si>
    <t>200MG TBL NOB 25</t>
  </si>
  <si>
    <t>155936</t>
  </si>
  <si>
    <t>HERPESIN 400</t>
  </si>
  <si>
    <t>400MG TBL NOB 25</t>
  </si>
  <si>
    <t>Amlodipin</t>
  </si>
  <si>
    <t>125053</t>
  </si>
  <si>
    <t>APO-AMLO 10</t>
  </si>
  <si>
    <t>10MG TBL NOB 100</t>
  </si>
  <si>
    <t>125050</t>
  </si>
  <si>
    <t>10MG TBL NOB 90</t>
  </si>
  <si>
    <t>CETIRIZIN</t>
  </si>
  <si>
    <t>99600</t>
  </si>
  <si>
    <t>ZODAC</t>
  </si>
  <si>
    <t>10MG TBL FLM 90</t>
  </si>
  <si>
    <t>DIAZEPAM</t>
  </si>
  <si>
    <t>208695</t>
  </si>
  <si>
    <t>DIAZEPAM SLOVAKOFARMA</t>
  </si>
  <si>
    <t>10MG TBL NOB 20(1X20)</t>
  </si>
  <si>
    <t>Gestoden a ethinylestradiol</t>
  </si>
  <si>
    <t>132832</t>
  </si>
  <si>
    <t>MIRELLE</t>
  </si>
  <si>
    <t>0,06MG/0,015MG TBL FLM 3X28</t>
  </si>
  <si>
    <t>HOŘČÍK (RŮZNÉ SOLE V KOMBINACI)</t>
  </si>
  <si>
    <t>215978</t>
  </si>
  <si>
    <t>MAGNOSOLV</t>
  </si>
  <si>
    <t>365MG POR GRA SOL SCC 30</t>
  </si>
  <si>
    <t>IBUPROFEN</t>
  </si>
  <si>
    <t>32081</t>
  </si>
  <si>
    <t>IBALGIN 400</t>
  </si>
  <si>
    <t>400MG TBL FLM 30</t>
  </si>
  <si>
    <t>INDOMETACIN</t>
  </si>
  <si>
    <t>93724</t>
  </si>
  <si>
    <t>INDOMETACIN 100 BERLIN-CHEMIE</t>
  </si>
  <si>
    <t>100MG SUP 10</t>
  </si>
  <si>
    <t>Klomifen</t>
  </si>
  <si>
    <t>40455</t>
  </si>
  <si>
    <t>CLOSTILBEGYT</t>
  </si>
  <si>
    <t>50MG TBL NOB 10</t>
  </si>
  <si>
    <t>Prulifloxacin</t>
  </si>
  <si>
    <t>19157</t>
  </si>
  <si>
    <t>UNIDROX</t>
  </si>
  <si>
    <t>600MG TBL FLM 1</t>
  </si>
  <si>
    <t>Pseudoefedrin, kombinace</t>
  </si>
  <si>
    <t>216105</t>
  </si>
  <si>
    <t>CLARINASE REPETABS</t>
  </si>
  <si>
    <t>5MG/120MG TBL PRO 20 II</t>
  </si>
  <si>
    <t>TETRYZOLIN, KOMBINACE</t>
  </si>
  <si>
    <t>187418</t>
  </si>
  <si>
    <t>SPERSALLERG</t>
  </si>
  <si>
    <t xml:space="preserve">0,5MG/ML+0,4MG/ML OPH GTT SOL </t>
  </si>
  <si>
    <t>VALSARTAN</t>
  </si>
  <si>
    <t>125598</t>
  </si>
  <si>
    <t>VALSACOR</t>
  </si>
  <si>
    <t>160MG TBL FLM 84</t>
  </si>
  <si>
    <t>182110</t>
  </si>
  <si>
    <t>VALSARTAN KRKA</t>
  </si>
  <si>
    <t>ZOLPIDEM</t>
  </si>
  <si>
    <t>132642</t>
  </si>
  <si>
    <t>STILNOX</t>
  </si>
  <si>
    <t>10MG TBL FLM 20</t>
  </si>
  <si>
    <t>KYSELINA ACETYLSALICYLOVÁ</t>
  </si>
  <si>
    <t>71960</t>
  </si>
  <si>
    <t>ANOPYRIN</t>
  </si>
  <si>
    <t>100MG TBL NOB 5X10</t>
  </si>
  <si>
    <t>LEVOKABASTIN</t>
  </si>
  <si>
    <t>119923</t>
  </si>
  <si>
    <t>LIVOSTIN</t>
  </si>
  <si>
    <t>0,5MG/ML OPH GTT SUS 4ML</t>
  </si>
  <si>
    <t>119924</t>
  </si>
  <si>
    <t>0,5MG/ML NAS SPR SUS 1X10ML</t>
  </si>
  <si>
    <t>PERINDOPRIL, AMLODIPIN A INDAPAMID</t>
  </si>
  <si>
    <t>190975</t>
  </si>
  <si>
    <t>TRIPLIXAM</t>
  </si>
  <si>
    <t>10MG/2,5MG/10MG TBL FLM 90(3X3</t>
  </si>
  <si>
    <t>AMOXICILIN A ENZYMOVÝ INHIBITOR</t>
  </si>
  <si>
    <t>5951</t>
  </si>
  <si>
    <t>AMOKSIKLAV 1 G</t>
  </si>
  <si>
    <t>875MG/125MG TBL FLM 14</t>
  </si>
  <si>
    <t>AZITHROMYCIN</t>
  </si>
  <si>
    <t>45010</t>
  </si>
  <si>
    <t>AZITROMYCIN SANDOZ</t>
  </si>
  <si>
    <t>500MG TBL FLM 3</t>
  </si>
  <si>
    <t>Cefuroxim</t>
  </si>
  <si>
    <t>192354</t>
  </si>
  <si>
    <t>ZINNAT</t>
  </si>
  <si>
    <t>500MG TBL FLM 10</t>
  </si>
  <si>
    <t>DESLORATADIN</t>
  </si>
  <si>
    <t>183804</t>
  </si>
  <si>
    <t>DESLORATADIN APOTEX</t>
  </si>
  <si>
    <t>5MG TBL FLM 50 II</t>
  </si>
  <si>
    <t>66555</t>
  </si>
  <si>
    <t>11063</t>
  </si>
  <si>
    <t>IBALGIN 600</t>
  </si>
  <si>
    <t>600MG TBL FLM 30</t>
  </si>
  <si>
    <t>Jiná antibiotika pro lokální aplikaci</t>
  </si>
  <si>
    <t>201971</t>
  </si>
  <si>
    <t>PAMYCON NA PŘÍPRAVU KAPEK</t>
  </si>
  <si>
    <t>33000IU/2500IU DRM PLV SOL 10</t>
  </si>
  <si>
    <t>KLARITHROMYCIN</t>
  </si>
  <si>
    <t>53283</t>
  </si>
  <si>
    <t>FROMILID 500</t>
  </si>
  <si>
    <t>500MG TBL FLM 14</t>
  </si>
  <si>
    <t>216199</t>
  </si>
  <si>
    <t>KLACID 500</t>
  </si>
  <si>
    <t>Kortikosteroidy</t>
  </si>
  <si>
    <t>84700</t>
  </si>
  <si>
    <t>OTOBACID N</t>
  </si>
  <si>
    <t>0,2MG/G+5MG/G+479,8MG/G AUR GT</t>
  </si>
  <si>
    <t>OMEPRAZOL</t>
  </si>
  <si>
    <t>115318</t>
  </si>
  <si>
    <t>HELICID 20 ZENTIVA</t>
  </si>
  <si>
    <t>20MG CPS ETD 90</t>
  </si>
  <si>
    <t>215606</t>
  </si>
  <si>
    <t>PŘÍPRAVKY PRO LÉČBU BRADAVIC A KUŘÍCH OK</t>
  </si>
  <si>
    <t>60890</t>
  </si>
  <si>
    <t>VERRUMAL</t>
  </si>
  <si>
    <t>5MG/G+100MG/G DRM SOL 13ML</t>
  </si>
  <si>
    <t>Salbutamol</t>
  </si>
  <si>
    <t>31934</t>
  </si>
  <si>
    <t>VENTOLIN INHALER N</t>
  </si>
  <si>
    <t>100MCG/DÁV INH SUS PSS 200DÁV</t>
  </si>
  <si>
    <t>SILYMARIN</t>
  </si>
  <si>
    <t>19571</t>
  </si>
  <si>
    <t>LAGOSA</t>
  </si>
  <si>
    <t>TBL OBD 100</t>
  </si>
  <si>
    <t>BROMAZEPAM</t>
  </si>
  <si>
    <t>216679</t>
  </si>
  <si>
    <t>LEXAURIN 1,5</t>
  </si>
  <si>
    <t>1,5MG TBL NOB 28</t>
  </si>
  <si>
    <t>146894</t>
  </si>
  <si>
    <t>ZOLPIDEM MYLAN</t>
  </si>
  <si>
    <t>85525</t>
  </si>
  <si>
    <t>AMOKSIKLAV 625 MG</t>
  </si>
  <si>
    <t>500MG/125MG TBL FLM 21</t>
  </si>
  <si>
    <t>45011</t>
  </si>
  <si>
    <t>500MG TBL FLM 6</t>
  </si>
  <si>
    <t>168837</t>
  </si>
  <si>
    <t>DASSELTA</t>
  </si>
  <si>
    <t>5MG TBL FLM 50</t>
  </si>
  <si>
    <t>JINÁ IMUNOSTIMULANCIA</t>
  </si>
  <si>
    <t>87299</t>
  </si>
  <si>
    <t>IMUNOR</t>
  </si>
  <si>
    <t>10MG POR LYO 4</t>
  </si>
  <si>
    <t>KOMBINACE RŮZNÝCH ANTIBIOTIK</t>
  </si>
  <si>
    <t>1076</t>
  </si>
  <si>
    <t>OPHTHALMO-FRAMYKOIN</t>
  </si>
  <si>
    <t>OPH UNG 5G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</si>
  <si>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</si>
  <si>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</si>
  <si>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</si>
  <si>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</si>
  <si>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</si>
  <si>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R03AC02 - SALBUTAMOL</t>
  </si>
  <si>
    <t>J01CR02 - AMOXICILIN A ENZYMOVÝ INHIBITOR</t>
  </si>
  <si>
    <t>R06AE07 - CETIRIZIN</t>
  </si>
  <si>
    <t>R06AX27 - DESLORATADIN</t>
  </si>
  <si>
    <t>J01FA10 - AZITHROMYCIN</t>
  </si>
  <si>
    <t>N05CF02 - ZOLPIDEM</t>
  </si>
  <si>
    <t>N05CF02</t>
  </si>
  <si>
    <t>J01CR02</t>
  </si>
  <si>
    <t>J01FA10</t>
  </si>
  <si>
    <t>R06AX27</t>
  </si>
  <si>
    <t>R06AE07</t>
  </si>
  <si>
    <t>J01DC02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</si>
  <si>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</si>
  <si>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</si>
  <si>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</si>
  <si>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</si>
  <si>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</si>
  <si>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</si>
  <si>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</si>
  <si>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</si>
  <si>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</si>
  <si>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50115040</t>
  </si>
  <si>
    <t>laboratorní materiál (Z505)</t>
  </si>
  <si>
    <t>ZL895</t>
  </si>
  <si>
    <t>Kádinka nízká s uchem sklo 1000 ml KAVA632417011940</t>
  </si>
  <si>
    <t>ZC066</t>
  </si>
  <si>
    <t>Kádinka nízká s výlevkou sklo 100 ml (213-1045) KAVA632417010100</t>
  </si>
  <si>
    <t>ZC037</t>
  </si>
  <si>
    <t>Kádinka vysoká sklo 1000 ml (213-1068) KAVA632417012940</t>
  </si>
  <si>
    <t>50115050</t>
  </si>
  <si>
    <t>obvazový materiál (Z502)</t>
  </si>
  <si>
    <t>ZA411</t>
  </si>
  <si>
    <t>Gáza přířezy 30 cm x 30 cm 17 nití 07004</t>
  </si>
  <si>
    <t>ZA557</t>
  </si>
  <si>
    <t>Kompresa gáza 10 x 20 cm/5 ks sterilní 26013</t>
  </si>
  <si>
    <t>ZB404</t>
  </si>
  <si>
    <t>Náplast cosmos 8 cm x 1 m 5403353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</si>
  <si>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</si>
  <si>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</si>
  <si>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</si>
  <si>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</si>
  <si>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</si>
  <si>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</si>
  <si>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</si>
  <si>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</si>
  <si>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</si>
  <si>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</si>
  <si>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</si>
  <si>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</si>
  <si>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</si>
  <si>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</si>
  <si>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</si>
  <si>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</si>
  <si>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</si>
  <si>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</si>
  <si>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ZA727</t>
  </si>
  <si>
    <t>Kontejner 30 ml sterilní uchovávání pevných i kapalných vzorků (nesterilní obal) bal. á 500 ks FLME25175</t>
  </si>
  <si>
    <t>ZF159</t>
  </si>
  <si>
    <t>Nádoba na kontaminovaný odpad 1 l 15-0002</t>
  </si>
  <si>
    <t>ZE159</t>
  </si>
  <si>
    <t>Nádoba na kontaminovaný odpad 2 l 15-0003</t>
  </si>
  <si>
    <t>ZE850</t>
  </si>
  <si>
    <t>Nůžky oční zahnuté Iris 115 mm TK-AK 434-11</t>
  </si>
  <si>
    <t>ZB966</t>
  </si>
  <si>
    <t>Nůžky rovné chirurgické hrotnaté 150 mm B397113920005</t>
  </si>
  <si>
    <t>ZB963</t>
  </si>
  <si>
    <t>Pinzeta anatomická úzká 145 mm B397114920019</t>
  </si>
  <si>
    <t>ZB772</t>
  </si>
  <si>
    <t>Přechodka adaptér luer 450070</t>
  </si>
  <si>
    <t>ZA789</t>
  </si>
  <si>
    <t>Stříkačka injekční 2-dílná 2 ml L Inject Solo 4606027V</t>
  </si>
  <si>
    <t>ZA790</t>
  </si>
  <si>
    <t>Stříkačka injekční 2-dílná 5 ml L Inject Solo4606051V</t>
  </si>
  <si>
    <t>ZI182</t>
  </si>
  <si>
    <t>Zkumavka + aplikátor s chem.stabilizátorem UriSwab žlutá 802CE.A</t>
  </si>
  <si>
    <t>ZB755</t>
  </si>
  <si>
    <t>Zkumavka 1,0 ml K3 edta fialová 454034</t>
  </si>
  <si>
    <t>ZB758</t>
  </si>
  <si>
    <t>Zkumavka 9 ml K3 edta NR 455036</t>
  </si>
  <si>
    <t>ZB775</t>
  </si>
  <si>
    <t>Zkumavka koagulace 4 ml modrá 454329</t>
  </si>
  <si>
    <t>ZE949</t>
  </si>
  <si>
    <t>Zkumavka na moč 9,5 ml 455028</t>
  </si>
  <si>
    <t>ZB764</t>
  </si>
  <si>
    <t>Zkumavka zelená 4 ml 454051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</si>
  <si>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</si>
  <si>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</si>
  <si>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</si>
  <si>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</si>
  <si>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</si>
  <si>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</si>
  <si>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</si>
  <si>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</si>
  <si>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</si>
  <si>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</si>
  <si>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</si>
  <si>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</si>
  <si>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</si>
  <si>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</si>
  <si>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</si>
  <si>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</si>
  <si>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</si>
  <si>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</si>
  <si>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DF677</t>
  </si>
  <si>
    <t>310 Capillaries, 47cm</t>
  </si>
  <si>
    <t>DE260</t>
  </si>
  <si>
    <t>AmnioGrow CE IVD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</si>
  <si>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</si>
  <si>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</si>
  <si>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</si>
  <si>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</si>
  <si>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</si>
  <si>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</si>
  <si>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DG335</t>
  </si>
  <si>
    <t>BRCA MASTR Dx (40rxns)</t>
  </si>
  <si>
    <t>DG334</t>
  </si>
  <si>
    <t>BRCA MASTR Dx (8rxns)</t>
  </si>
  <si>
    <t>DH668</t>
  </si>
  <si>
    <t>Capillary array 4x36 cm</t>
  </si>
  <si>
    <t>DE667</t>
  </si>
  <si>
    <t>COLLAGENASE TYPE IA-S</t>
  </si>
  <si>
    <t>DE045</t>
  </si>
  <si>
    <t>Combi PPP Master Mix, 1000 reakcí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</si>
  <si>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</si>
  <si>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</si>
  <si>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</si>
  <si>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</si>
  <si>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</si>
  <si>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</si>
  <si>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DA005</t>
  </si>
  <si>
    <t>DNA remover, 4x500ml refill bottle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</si>
  <si>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</si>
  <si>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</si>
  <si>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</si>
  <si>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</si>
  <si>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</si>
  <si>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</si>
  <si>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</si>
  <si>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</si>
  <si>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</si>
  <si>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</si>
  <si>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</si>
  <si>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</si>
  <si>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DH871</t>
  </si>
  <si>
    <t>GelRed™ 10 000X in DMSO 0,5 ml</t>
  </si>
  <si>
    <t>DA996</t>
  </si>
  <si>
    <t>GeneScan 500 LIZ Size Standard</t>
  </si>
  <si>
    <t>DD637</t>
  </si>
  <si>
    <t>GENESCAN 500 TAMRA</t>
  </si>
  <si>
    <t>DA181</t>
  </si>
  <si>
    <t>Hank's balanced salt solution (HBSS), 500 ml</t>
  </si>
  <si>
    <t>801335</t>
  </si>
  <si>
    <t>-HCl 0,1 M 1000 ml, 500 ml</t>
  </si>
  <si>
    <t>DG935</t>
  </si>
  <si>
    <t>Hhal</t>
  </si>
  <si>
    <t>DA982</t>
  </si>
  <si>
    <t>Chromosome Synchro P</t>
  </si>
  <si>
    <t>DG896</t>
  </si>
  <si>
    <t>ION 316 chip kit v2, 4 chips</t>
  </si>
  <si>
    <t>DG635</t>
  </si>
  <si>
    <t>ION AMPLISEQ LIBRARY KIT 2.0</t>
  </si>
  <si>
    <t>DA717</t>
  </si>
  <si>
    <t>ION PGM Enrichment Beads</t>
  </si>
  <si>
    <t>DH617</t>
  </si>
  <si>
    <t>Ion ReproSeq™ PGS 314 Kit, without chips</t>
  </si>
  <si>
    <t>DD659</t>
  </si>
  <si>
    <t>kyselina octová p.a.</t>
  </si>
  <si>
    <t>DG143</t>
  </si>
  <si>
    <t>kyselina SÍROVÁ P.A.</t>
  </si>
  <si>
    <t>DG229</t>
  </si>
  <si>
    <t>METHANOL P.A.</t>
  </si>
  <si>
    <t>DG336</t>
  </si>
  <si>
    <t>MID 1-48 for Illumina MiSeq (240 barcodes)</t>
  </si>
  <si>
    <t>DG337</t>
  </si>
  <si>
    <t>MiSeq Reagent nano Kit v2 (500cycles)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</si>
  <si>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</si>
  <si>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</si>
  <si>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</si>
  <si>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</si>
  <si>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</si>
  <si>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</si>
  <si>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</si>
  <si>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</si>
  <si>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</si>
  <si>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</si>
  <si>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DC767</t>
  </si>
  <si>
    <t>POP4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</si>
  <si>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</si>
  <si>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</si>
  <si>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</si>
  <si>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</si>
  <si>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</si>
  <si>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</si>
  <si>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</si>
  <si>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</si>
  <si>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</si>
  <si>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</si>
  <si>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</si>
  <si>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</si>
  <si>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</si>
  <si>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</si>
  <si>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</si>
  <si>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</si>
  <si>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</si>
  <si>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</si>
  <si>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</si>
  <si>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</si>
  <si>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</si>
  <si>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</si>
  <si>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</si>
  <si>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</si>
  <si>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</si>
  <si>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</si>
  <si>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</si>
  <si>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</si>
  <si>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DG585</t>
  </si>
  <si>
    <t>SALSA MLPA P002  BRCA 1 probemix 100R</t>
  </si>
  <si>
    <t>DG295</t>
  </si>
  <si>
    <t>SALSA MLPA P036 Hu Telomere-3 probemix 50rxn</t>
  </si>
  <si>
    <t>DH424</t>
  </si>
  <si>
    <t>SALSA MLPA P046-C1 TSC2 -25 r</t>
  </si>
  <si>
    <t>DH770</t>
  </si>
  <si>
    <t>SALSA MLPA P051- Parkinson mix 25 tests</t>
  </si>
  <si>
    <t>DG815</t>
  </si>
  <si>
    <t>SALSA MLPA P070 Hu Telomere-5 probemix 50rxn</t>
  </si>
  <si>
    <t>DE922</t>
  </si>
  <si>
    <t>SALSA MLPA P077 BRCA2 probemix – 100 rxn, ver.A3</t>
  </si>
  <si>
    <t>DH757</t>
  </si>
  <si>
    <t>SALSA MLPA P096 Mental retardation-2 probemix – 25 rxn</t>
  </si>
  <si>
    <t>DA624</t>
  </si>
  <si>
    <t>SALSA MLPA P106 MRX probemix 25rxn</t>
  </si>
  <si>
    <t>DA292</t>
  </si>
  <si>
    <t>SALSA MLPA P245 Microdel.Syndr.-1 probemix 25rxn</t>
  </si>
  <si>
    <t>DA623</t>
  </si>
  <si>
    <t>SALSA MLPA P245 Microdel.Syndr.-1 probemix 50rxn</t>
  </si>
  <si>
    <t>DG399</t>
  </si>
  <si>
    <t>SALSA MLPA P250 DiGeorge probemix-25R</t>
  </si>
  <si>
    <t>DG607</t>
  </si>
  <si>
    <t>SALSA MLPA P297 Microdel.Syndr.-2 probemix 50rxn</t>
  </si>
  <si>
    <t>DH431</t>
  </si>
  <si>
    <t>SALSA MLPA P385 DOCK 8 probemix, 25rxn</t>
  </si>
  <si>
    <t>DG930</t>
  </si>
  <si>
    <t>SALSA MS-MLPA probemix ME032-UPD7/UPD14 25rxn</t>
  </si>
  <si>
    <t>DG184</t>
  </si>
  <si>
    <t>SIRAN SODNY BEZV.,P.A.</t>
  </si>
  <si>
    <t>920005</t>
  </si>
  <si>
    <t xml:space="preserve">-SORENS.PUFR PH 6,8 500ML (GEN) </t>
  </si>
  <si>
    <t>803815</t>
  </si>
  <si>
    <t>-SSC pufr 20x, pH=7 250 ml</t>
  </si>
  <si>
    <t>DD413</t>
  </si>
  <si>
    <t>Telomere Probe 12p Green, 5testů</t>
  </si>
  <si>
    <t>DD526</t>
  </si>
  <si>
    <t>Telomere Probe 12q Red, 5 testů</t>
  </si>
  <si>
    <t>920006</t>
  </si>
  <si>
    <t xml:space="preserve">-TRYPS/EDTA V HBSS/M 250ml (GEN) </t>
  </si>
  <si>
    <t>DA927</t>
  </si>
  <si>
    <t>Wolf-Hirschhorn 5testů</t>
  </si>
  <si>
    <t>DG534</t>
  </si>
  <si>
    <t>Xa Yc dual label  10 tests</t>
  </si>
  <si>
    <t>ZP144</t>
  </si>
  <si>
    <t>Adaptér 0,2/0,4 PCR  ml průměr 11 mm délka 42 mm pro centrifugu Z326K bal. á 6 ks 704.004</t>
  </si>
  <si>
    <t>ZP143</t>
  </si>
  <si>
    <t>Adaptér 1,5/2,0 ml průměr 11 mm délka 42 mm pro centrifugu Z326K bal. á 6 ks 701.015</t>
  </si>
  <si>
    <t>ZC528</t>
  </si>
  <si>
    <t>Filtr tips   200ul (1024) 990332</t>
  </si>
  <si>
    <t>ZB070</t>
  </si>
  <si>
    <t>Filtr tips 1000ul (1024) 990352</t>
  </si>
  <si>
    <t>ZB125</t>
  </si>
  <si>
    <t>Láhev kultivační 25 cm2 á 360 ks 90026</t>
  </si>
  <si>
    <t>ZL046</t>
  </si>
  <si>
    <t>Microtubes Clear 1.7 ml  bal. á 500 ks BCN1700-BP(7100)</t>
  </si>
  <si>
    <t>ZH993</t>
  </si>
  <si>
    <t>Mikrozkumavka eppendorf DNA LoBind Tubes 1,5 ml bal. á 250 ks 0030108051</t>
  </si>
  <si>
    <t>ZA900</t>
  </si>
  <si>
    <t>Mikrozkumavka PCR 0,2 ml s vypouklým víčkem (5320) BPCST02-DC-01B</t>
  </si>
  <si>
    <t>ZE897</t>
  </si>
  <si>
    <t>Mikrozkumavka PCR 8 strip bez víček bal. á 125 ks 3426.8S</t>
  </si>
  <si>
    <t>ZE908</t>
  </si>
  <si>
    <t>Mikrozkumavka PCR individual Tube Domed Cap 0,2 ml bal. á 1000 ks 4Ti-0790</t>
  </si>
  <si>
    <t>ZC831</t>
  </si>
  <si>
    <t>Sklo podložní mat. okraj bal. á 50 ks AA00000112E (2501)</t>
  </si>
  <si>
    <t>ZP145</t>
  </si>
  <si>
    <t>Stojan kombinovaný zelený (Well rack green) 80 x 1,5 ml 2 ml bal. á 5 ks MO107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</si>
  <si>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</si>
  <si>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</si>
  <si>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</si>
  <si>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</si>
  <si>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</si>
  <si>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</si>
  <si>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ZB000</t>
  </si>
  <si>
    <t>Špička s filtrem 1000 ul bal. á 480 ks (96.10298.9.01- končí) 96.11194.9.01</t>
  </si>
  <si>
    <t>ZB788</t>
  </si>
  <si>
    <t>Špička s filtrem 20 ul bal. á 96 ks 96.11190.9.01 (staré.k.č. 96.10296.9.01)</t>
  </si>
  <si>
    <t>ZA793</t>
  </si>
  <si>
    <t>Špička s filtrem 200 ul bal. á 96 ks (96.9263.9.01) 96.11193.9.01</t>
  </si>
  <si>
    <t>ZI560</t>
  </si>
  <si>
    <t>Špička žlutá dlouhá manžeta gilson 1 - 200 ul FLME28063</t>
  </si>
  <si>
    <t>ZF248</t>
  </si>
  <si>
    <t>Thin wall clear PCR strip tubes 0,2 ml and flat strip caps 12 tubes / 80 ks (5390) 0788+ 0750/TA/12</t>
  </si>
  <si>
    <t>ZA767</t>
  </si>
  <si>
    <t>Víčka k mikrozkumavkám PCR 8 strip bal. á 125 ks 3427.8</t>
  </si>
  <si>
    <t>ZC681</t>
  </si>
  <si>
    <t>Zkumavka 0,2 ml PCR ve 12 stripech 10 x 12 stripů AB-1113</t>
  </si>
  <si>
    <t>ZI434</t>
  </si>
  <si>
    <t>Zkumavka sample tubes 2 ml CB bal. á 1000 ks 990382</t>
  </si>
  <si>
    <t>ZF370</t>
  </si>
  <si>
    <t>Filtr syringe 0,22 um, pr. 33 mm á 200 ks 99722</t>
  </si>
  <si>
    <t>ZB339</t>
  </si>
  <si>
    <t>Kapilára 310 GA 47 cm x 50 um bal. á 5 ks 402839</t>
  </si>
  <si>
    <t>ZJ763</t>
  </si>
  <si>
    <t>Kapilára avant aray 36 cm 4333464</t>
  </si>
  <si>
    <t>ZO930</t>
  </si>
  <si>
    <t>Kontejner 100 ml PP 72/62 mm s přiloženým uzávěrem bílé víčko sterilní na tekutý materiál 75.562.105</t>
  </si>
  <si>
    <t>ZO949</t>
  </si>
  <si>
    <t>Mikrozkumavka eppendorf DNA LoBind Tubes 0,2 ml bal. á 250 ks 0030108078</t>
  </si>
  <si>
    <t>ZF192</t>
  </si>
  <si>
    <t>Nádoba na kontaminovaný odpad 4 l 15-0004</t>
  </si>
  <si>
    <t>ZB931</t>
  </si>
  <si>
    <t>Parafilm M 38 m/10 cm (291-1213) BRND701605</t>
  </si>
  <si>
    <t>ZA245</t>
  </si>
  <si>
    <t>Pipeta pasteurova 1 ml sterilní jednotlivě balená bal. á 1700 ks 1501/SG/CS</t>
  </si>
  <si>
    <t>ZA813</t>
  </si>
  <si>
    <t>Rotor adapters (10 x 24) elution tubes (1,5 ml) 990394</t>
  </si>
  <si>
    <t>ZH680</t>
  </si>
  <si>
    <t>Stojan kombi čtyři v jednom žlutý R009471.Y</t>
  </si>
  <si>
    <t>ZG061</t>
  </si>
  <si>
    <t>Syringe P/N 1 ml 4304471</t>
  </si>
  <si>
    <t>ZJ094</t>
  </si>
  <si>
    <t>Špička modré 100-1000ul PP univerzální á 1000 ks 331850200012</t>
  </si>
  <si>
    <t>ZJ278</t>
  </si>
  <si>
    <t>Zkumavka PP 10 ml sterilní bal. á 200 ks FLME21150</t>
  </si>
  <si>
    <t>ZA817</t>
  </si>
  <si>
    <t>Zkumavka PS 10 ml sterilní modrá zátka bal. á 20 ks 400914 - pouze pro Soudní</t>
  </si>
  <si>
    <t>ZI720</t>
  </si>
  <si>
    <t>Zkumavka PS 15 ml sterilní á 1200 ks 400915 S</t>
  </si>
  <si>
    <t>ZK475</t>
  </si>
  <si>
    <t>Rukavice operační latexové s pudrem ansell, vasco surgical powderet vel. 7 6035526 (303504EU)</t>
  </si>
  <si>
    <t>Spotřeba zdravotnického materiálu - orientační přehled</t>
  </si>
  <si>
    <t>ON Data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</si>
  <si>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</si>
  <si>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</si>
  <si>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</si>
  <si>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</si>
  <si>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</si>
  <si>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</si>
  <si>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</si>
  <si>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</si>
  <si>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</si>
  <si>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Dhaifalah Ishraq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</si>
  <si>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</si>
  <si>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</si>
  <si>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</si>
  <si>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</si>
  <si>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</si>
  <si>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</si>
  <si>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</si>
  <si>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09513</t>
  </si>
  <si>
    <t>TELEFONICKÁ KONZULTACE OŠETŘUJÍCÍHO LÉKAŘE PACIENT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</si>
  <si>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</si>
  <si>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</si>
  <si>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</si>
  <si>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</si>
  <si>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</si>
  <si>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</si>
  <si>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</si>
  <si>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</si>
  <si>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</si>
  <si>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</si>
  <si>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</si>
  <si>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</si>
  <si>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</si>
  <si>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</si>
  <si>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</si>
  <si>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</si>
  <si>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</si>
  <si>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</si>
  <si>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</si>
  <si>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</si>
  <si>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</si>
  <si>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</si>
  <si>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</si>
  <si>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</si>
  <si>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</si>
  <si>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</si>
  <si>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</si>
  <si>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</si>
  <si>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</si>
  <si>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</si>
  <si>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</si>
  <si>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</si>
  <si>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</si>
  <si>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</si>
  <si>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</si>
  <si>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</si>
  <si>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</si>
  <si>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</si>
  <si>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</si>
  <si>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</si>
  <si>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</si>
  <si>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</si>
  <si>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</si>
  <si>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</si>
  <si>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</si>
  <si>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</si>
  <si>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</si>
  <si>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</si>
  <si>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</si>
  <si>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</si>
  <si>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</si>
  <si>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</si>
  <si>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</si>
  <si>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</si>
  <si>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</si>
  <si>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(VZP) BRCA 1, 2 - KOMPLET</t>
  </si>
  <si>
    <t>94296</t>
  </si>
  <si>
    <t>94977</t>
  </si>
  <si>
    <t>(VZP) VYŠETŘENÍ CYSTICKÉ FIBRÓZY (CTFR 35/50)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</si>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</sst>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33" fillId="0" borderId="84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9" fontId="33" fillId="0" borderId="91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3" xfId="0" applyNumberFormat="1" applyFont="1" applyBorder="1"/>
    <xf numFmtId="173" fontId="33" fillId="0" borderId="114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5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173" fontId="40" fillId="0" borderId="20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 indent="4"/>
    </xf>
    <xf numFmtId="0" fontId="33" fillId="10" borderId="116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0" fontId="32" fillId="2" borderId="131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2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3" xfId="0" applyNumberFormat="1" applyFont="1" applyFill="1" applyBorder="1"/>
    <xf numFmtId="9" fontId="33" fillId="0" borderId="104" xfId="0" applyNumberFormat="1" applyFont="1" applyFill="1" applyBorder="1"/>
    <xf numFmtId="9" fontId="33" fillId="0" borderId="134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133" xfId="0" applyNumberFormat="1" applyFont="1" applyFill="1" applyBorder="1"/>
    <xf numFmtId="3" fontId="33" fillId="0" borderId="104" xfId="0" applyNumberFormat="1" applyFont="1" applyFill="1" applyBorder="1"/>
    <xf numFmtId="3" fontId="33" fillId="0" borderId="134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0" xfId="0" applyFont="1" applyFill="1" applyBorder="1" applyAlignment="1">
      <alignment horizontal="right"/>
    </xf>
    <xf numFmtId="0" fontId="33" fillId="0" borderId="90" xfId="0" applyFont="1" applyFill="1" applyBorder="1" applyAlignment="1">
      <alignment horizontal="left"/>
    </xf>
    <xf numFmtId="165" fontId="33" fillId="0" borderId="90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5" fontId="33" fillId="0" borderId="83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89" xfId="0" applyFont="1" applyFill="1" applyBorder="1"/>
    <xf numFmtId="0" fontId="40" fillId="0" borderId="112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90" xfId="0" applyNumberFormat="1" applyBorder="1"/>
    <xf numFmtId="9" fontId="0" fillId="0" borderId="90" xfId="0" applyNumberFormat="1" applyBorder="1"/>
    <xf numFmtId="9" fontId="0" fillId="0" borderId="91" xfId="0" applyNumberFormat="1" applyBorder="1"/>
    <xf numFmtId="169" fontId="0" fillId="0" borderId="83" xfId="0" applyNumberFormat="1" applyBorder="1"/>
    <xf numFmtId="9" fontId="0" fillId="0" borderId="83" xfId="0" applyNumberFormat="1" applyBorder="1"/>
    <xf numFmtId="9" fontId="0" fillId="0" borderId="84" xfId="0" applyNumberFormat="1" applyBorder="1"/>
    <xf numFmtId="0" fontId="60" fillId="0" borderId="89" xfId="0" applyFont="1" applyBorder="1" applyAlignment="1">
      <alignment horizontal="left" indent="1"/>
    </xf>
    <xf numFmtId="0" fontId="60" fillId="0" borderId="82" xfId="0" applyFont="1" applyBorder="1" applyAlignment="1">
      <alignment horizontal="left" indent="1"/>
    </xf>
    <xf numFmtId="0" fontId="60" fillId="4" borderId="89" xfId="0" applyFont="1" applyFill="1" applyBorder="1" applyAlignment="1">
      <alignment horizontal="left"/>
    </xf>
    <xf numFmtId="169" fontId="60" fillId="4" borderId="90" xfId="0" applyNumberFormat="1" applyFont="1" applyFill="1" applyBorder="1"/>
    <xf numFmtId="9" fontId="60" fillId="4" borderId="90" xfId="0" applyNumberFormat="1" applyFont="1" applyFill="1" applyBorder="1"/>
    <xf numFmtId="9" fontId="60" fillId="4" borderId="91" xfId="0" applyNumberFormat="1" applyFont="1" applyFill="1" applyBorder="1"/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0" xfId="0" applyNumberFormat="1" applyFont="1" applyFill="1" applyBorder="1"/>
    <xf numFmtId="169" fontId="33" fillId="0" borderId="91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0" fontId="40" fillId="0" borderId="8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3.0026789414815127</c:v>
                </c:pt>
                <c:pt idx="1">
                  <c:v>3.4229958810127985</c:v>
                </c:pt>
                <c:pt idx="2">
                  <c:v>3.5710370471099329</c:v>
                </c:pt>
                <c:pt idx="3">
                  <c:v>3.5238265947343272</c:v>
                </c:pt>
                <c:pt idx="4">
                  <c:v>3.4394515499882914</c:v>
                </c:pt>
                <c:pt idx="5">
                  <c:v>3.1476604457445641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8528"/>
        <c:axId val="4046412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4.6851299660439105</c:v>
                </c:pt>
                <c:pt idx="1">
                  <c:v>4.6851299660439105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35808"/>
        <c:axId val="404635264"/>
      </c:scatterChart>
      <c:catAx>
        <c:axId val="40463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41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38528"/>
        <c:crosses val="autoZero"/>
        <c:crossBetween val="between"/>
      </c:valAx>
      <c:valAx>
        <c:axId val="404635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35264"/>
        <c:crosses val="max"/>
        <c:crossBetween val="midCat"/>
      </c:valAx>
      <c:valAx>
        <c:axId val="404635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04635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56" t="s">
        <v>108</v>
      </c>
      <c r="B1" s="356"/>
    </row>
    <row r="2" spans="1:3" ht="14.4" customHeight="1" thickBot="1" x14ac:dyDescent="0.35">
      <c r="A2" s="235" t="s">
        <v>258</v>
      </c>
      <c r="B2" s="46"/>
    </row>
    <row r="3" spans="1:3" ht="14.4" customHeight="1" thickBot="1" x14ac:dyDescent="0.35">
      <c r="A3" s="352" t="s">
        <v>140</v>
      </c>
      <c r="B3" s="353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260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54" t="s">
        <v>109</v>
      </c>
      <c r="B10" s="353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305" t="s">
        <v>205</v>
      </c>
      <c r="C13" s="47" t="s">
        <v>215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649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3" t="s">
        <v>650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665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989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55" t="s">
        <v>110</v>
      </c>
      <c r="B23" s="353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995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1002</v>
      </c>
      <c r="C25" s="47" t="s">
        <v>218</v>
      </c>
    </row>
    <row r="26" spans="1:3" ht="14.4" customHeight="1" x14ac:dyDescent="0.3">
      <c r="A26" s="146" t="str">
        <f t="shared" si="4"/>
        <v>ZV Vykáz.-A Detail</v>
      </c>
      <c r="B26" s="90" t="s">
        <v>1069</v>
      </c>
      <c r="C26" s="47" t="s">
        <v>124</v>
      </c>
    </row>
    <row r="27" spans="1:3" ht="14.4" customHeight="1" x14ac:dyDescent="0.3">
      <c r="A27" s="320" t="str">
        <f>HYPERLINK("#'"&amp;C27&amp;"'!A1",C27)</f>
        <v>ZV Vykáz.-A Det.Lék.</v>
      </c>
      <c r="B27" s="90" t="s">
        <v>1070</v>
      </c>
      <c r="C27" s="47" t="s">
        <v>247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1094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95" t="s">
        <v>138</v>
      </c>
      <c r="B1" s="395"/>
      <c r="C1" s="395"/>
      <c r="D1" s="395"/>
      <c r="E1" s="395"/>
      <c r="F1" s="395"/>
      <c r="G1" s="395"/>
      <c r="H1" s="395"/>
      <c r="I1" s="357"/>
      <c r="J1" s="357"/>
      <c r="K1" s="357"/>
      <c r="L1" s="357"/>
    </row>
    <row r="2" spans="1:14" ht="14.4" customHeight="1" thickBot="1" x14ac:dyDescent="0.35">
      <c r="A2" s="235" t="s">
        <v>258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412" t="s">
        <v>15</v>
      </c>
      <c r="D3" s="411"/>
      <c r="E3" s="411" t="s">
        <v>16</v>
      </c>
      <c r="F3" s="411"/>
      <c r="G3" s="411"/>
      <c r="H3" s="411"/>
      <c r="I3" s="411" t="s">
        <v>145</v>
      </c>
      <c r="J3" s="411"/>
      <c r="K3" s="411"/>
      <c r="L3" s="41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8">
        <v>28</v>
      </c>
      <c r="B5" s="479" t="s">
        <v>484</v>
      </c>
      <c r="C5" s="482">
        <v>8349.6900000000023</v>
      </c>
      <c r="D5" s="482">
        <v>36</v>
      </c>
      <c r="E5" s="482">
        <v>8349.6900000000023</v>
      </c>
      <c r="F5" s="534">
        <v>1</v>
      </c>
      <c r="G5" s="482">
        <v>35</v>
      </c>
      <c r="H5" s="534">
        <v>0.97222222222222221</v>
      </c>
      <c r="I5" s="482">
        <v>0</v>
      </c>
      <c r="J5" s="534">
        <v>0</v>
      </c>
      <c r="K5" s="482">
        <v>1</v>
      </c>
      <c r="L5" s="534">
        <v>2.7777777777777776E-2</v>
      </c>
      <c r="M5" s="482" t="s">
        <v>69</v>
      </c>
      <c r="N5" s="150"/>
    </row>
    <row r="6" spans="1:14" ht="14.4" customHeight="1" x14ac:dyDescent="0.3">
      <c r="A6" s="478">
        <v>28</v>
      </c>
      <c r="B6" s="479" t="s">
        <v>485</v>
      </c>
      <c r="C6" s="482">
        <v>8349.6900000000023</v>
      </c>
      <c r="D6" s="482">
        <v>36</v>
      </c>
      <c r="E6" s="482">
        <v>8349.6900000000023</v>
      </c>
      <c r="F6" s="534">
        <v>1</v>
      </c>
      <c r="G6" s="482">
        <v>35</v>
      </c>
      <c r="H6" s="534">
        <v>0.97222222222222221</v>
      </c>
      <c r="I6" s="482">
        <v>0</v>
      </c>
      <c r="J6" s="534">
        <v>0</v>
      </c>
      <c r="K6" s="482">
        <v>1</v>
      </c>
      <c r="L6" s="534">
        <v>2.7777777777777776E-2</v>
      </c>
      <c r="M6" s="482" t="s">
        <v>1</v>
      </c>
      <c r="N6" s="150"/>
    </row>
    <row r="7" spans="1:14" ht="14.4" customHeight="1" x14ac:dyDescent="0.3">
      <c r="A7" s="478" t="s">
        <v>445</v>
      </c>
      <c r="B7" s="479" t="s">
        <v>3</v>
      </c>
      <c r="C7" s="482">
        <v>8349.6900000000023</v>
      </c>
      <c r="D7" s="482">
        <v>36</v>
      </c>
      <c r="E7" s="482">
        <v>8349.6900000000023</v>
      </c>
      <c r="F7" s="534">
        <v>1</v>
      </c>
      <c r="G7" s="482">
        <v>35</v>
      </c>
      <c r="H7" s="534">
        <v>0.97222222222222221</v>
      </c>
      <c r="I7" s="482">
        <v>0</v>
      </c>
      <c r="J7" s="534">
        <v>0</v>
      </c>
      <c r="K7" s="482">
        <v>1</v>
      </c>
      <c r="L7" s="534">
        <v>2.7777777777777776E-2</v>
      </c>
      <c r="M7" s="482" t="s">
        <v>452</v>
      </c>
      <c r="N7" s="150"/>
    </row>
    <row r="9" spans="1:14" ht="14.4" customHeight="1" x14ac:dyDescent="0.3">
      <c r="A9" s="478">
        <v>28</v>
      </c>
      <c r="B9" s="479" t="s">
        <v>484</v>
      </c>
      <c r="C9" s="482" t="s">
        <v>447</v>
      </c>
      <c r="D9" s="482" t="s">
        <v>447</v>
      </c>
      <c r="E9" s="482" t="s">
        <v>447</v>
      </c>
      <c r="F9" s="534" t="s">
        <v>447</v>
      </c>
      <c r="G9" s="482" t="s">
        <v>447</v>
      </c>
      <c r="H9" s="534" t="s">
        <v>447</v>
      </c>
      <c r="I9" s="482" t="s">
        <v>447</v>
      </c>
      <c r="J9" s="534" t="s">
        <v>447</v>
      </c>
      <c r="K9" s="482" t="s">
        <v>447</v>
      </c>
      <c r="L9" s="534" t="s">
        <v>447</v>
      </c>
      <c r="M9" s="482" t="s">
        <v>69</v>
      </c>
      <c r="N9" s="150"/>
    </row>
    <row r="10" spans="1:14" ht="14.4" customHeight="1" x14ac:dyDescent="0.3">
      <c r="A10" s="478" t="s">
        <v>486</v>
      </c>
      <c r="B10" s="479" t="s">
        <v>485</v>
      </c>
      <c r="C10" s="482">
        <v>8349.6900000000023</v>
      </c>
      <c r="D10" s="482">
        <v>36</v>
      </c>
      <c r="E10" s="482">
        <v>8349.6900000000023</v>
      </c>
      <c r="F10" s="534">
        <v>1</v>
      </c>
      <c r="G10" s="482">
        <v>35</v>
      </c>
      <c r="H10" s="534">
        <v>0.97222222222222221</v>
      </c>
      <c r="I10" s="482">
        <v>0</v>
      </c>
      <c r="J10" s="534">
        <v>0</v>
      </c>
      <c r="K10" s="482">
        <v>1</v>
      </c>
      <c r="L10" s="534">
        <v>2.7777777777777776E-2</v>
      </c>
      <c r="M10" s="482" t="s">
        <v>1</v>
      </c>
      <c r="N10" s="150"/>
    </row>
    <row r="11" spans="1:14" ht="14.4" customHeight="1" x14ac:dyDescent="0.3">
      <c r="A11" s="478" t="s">
        <v>486</v>
      </c>
      <c r="B11" s="479" t="s">
        <v>487</v>
      </c>
      <c r="C11" s="482">
        <v>8349.6900000000023</v>
      </c>
      <c r="D11" s="482">
        <v>36</v>
      </c>
      <c r="E11" s="482">
        <v>8349.6900000000023</v>
      </c>
      <c r="F11" s="534">
        <v>1</v>
      </c>
      <c r="G11" s="482">
        <v>35</v>
      </c>
      <c r="H11" s="534">
        <v>0.97222222222222221</v>
      </c>
      <c r="I11" s="482">
        <v>0</v>
      </c>
      <c r="J11" s="534">
        <v>0</v>
      </c>
      <c r="K11" s="482">
        <v>1</v>
      </c>
      <c r="L11" s="534">
        <v>2.7777777777777776E-2</v>
      </c>
      <c r="M11" s="482" t="s">
        <v>456</v>
      </c>
      <c r="N11" s="150"/>
    </row>
    <row r="12" spans="1:14" ht="14.4" customHeight="1" x14ac:dyDescent="0.3">
      <c r="A12" s="478" t="s">
        <v>447</v>
      </c>
      <c r="B12" s="479" t="s">
        <v>447</v>
      </c>
      <c r="C12" s="482" t="s">
        <v>447</v>
      </c>
      <c r="D12" s="482" t="s">
        <v>447</v>
      </c>
      <c r="E12" s="482" t="s">
        <v>447</v>
      </c>
      <c r="F12" s="534" t="s">
        <v>447</v>
      </c>
      <c r="G12" s="482" t="s">
        <v>447</v>
      </c>
      <c r="H12" s="534" t="s">
        <v>447</v>
      </c>
      <c r="I12" s="482" t="s">
        <v>447</v>
      </c>
      <c r="J12" s="534" t="s">
        <v>447</v>
      </c>
      <c r="K12" s="482" t="s">
        <v>447</v>
      </c>
      <c r="L12" s="534" t="s">
        <v>447</v>
      </c>
      <c r="M12" s="482" t="s">
        <v>457</v>
      </c>
      <c r="N12" s="150"/>
    </row>
    <row r="13" spans="1:14" ht="14.4" customHeight="1" x14ac:dyDescent="0.3">
      <c r="A13" s="478" t="s">
        <v>445</v>
      </c>
      <c r="B13" s="479" t="s">
        <v>488</v>
      </c>
      <c r="C13" s="482">
        <v>8349.6900000000023</v>
      </c>
      <c r="D13" s="482">
        <v>36</v>
      </c>
      <c r="E13" s="482">
        <v>8349.6900000000023</v>
      </c>
      <c r="F13" s="534">
        <v>1</v>
      </c>
      <c r="G13" s="482">
        <v>35</v>
      </c>
      <c r="H13" s="534">
        <v>0.97222222222222221</v>
      </c>
      <c r="I13" s="482">
        <v>0</v>
      </c>
      <c r="J13" s="534">
        <v>0</v>
      </c>
      <c r="K13" s="482">
        <v>1</v>
      </c>
      <c r="L13" s="534">
        <v>2.7777777777777776E-2</v>
      </c>
      <c r="M13" s="482" t="s">
        <v>452</v>
      </c>
      <c r="N13" s="150"/>
    </row>
    <row r="14" spans="1:14" ht="14.4" customHeight="1" x14ac:dyDescent="0.3">
      <c r="A14" s="535" t="s">
        <v>489</v>
      </c>
    </row>
    <row r="15" spans="1:14" ht="14.4" customHeight="1" x14ac:dyDescent="0.3">
      <c r="A15" s="536" t="s">
        <v>490</v>
      </c>
    </row>
    <row r="16" spans="1:14" ht="14.4" customHeight="1" x14ac:dyDescent="0.3">
      <c r="A16" s="535" t="s">
        <v>491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95" t="s">
        <v>146</v>
      </c>
      <c r="B1" s="395"/>
      <c r="C1" s="395"/>
      <c r="D1" s="395"/>
      <c r="E1" s="395"/>
      <c r="F1" s="395"/>
      <c r="G1" s="395"/>
      <c r="H1" s="395"/>
      <c r="I1" s="395"/>
      <c r="J1" s="357"/>
      <c r="K1" s="357"/>
      <c r="L1" s="357"/>
      <c r="M1" s="357"/>
    </row>
    <row r="2" spans="1:13" ht="14.4" customHeight="1" thickBot="1" x14ac:dyDescent="0.35">
      <c r="A2" s="235" t="s">
        <v>258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412" t="s">
        <v>15</v>
      </c>
      <c r="C3" s="414"/>
      <c r="D3" s="411"/>
      <c r="E3" s="142"/>
      <c r="F3" s="411" t="s">
        <v>16</v>
      </c>
      <c r="G3" s="411"/>
      <c r="H3" s="411"/>
      <c r="I3" s="411"/>
      <c r="J3" s="411" t="s">
        <v>145</v>
      </c>
      <c r="K3" s="411"/>
      <c r="L3" s="411"/>
      <c r="M3" s="413"/>
    </row>
    <row r="4" spans="1:13" ht="14.4" customHeight="1" thickBot="1" x14ac:dyDescent="0.35">
      <c r="A4" s="510" t="s">
        <v>135</v>
      </c>
      <c r="B4" s="511" t="s">
        <v>19</v>
      </c>
      <c r="C4" s="540"/>
      <c r="D4" s="511" t="s">
        <v>20</v>
      </c>
      <c r="E4" s="540"/>
      <c r="F4" s="511" t="s">
        <v>19</v>
      </c>
      <c r="G4" s="514" t="s">
        <v>2</v>
      </c>
      <c r="H4" s="511" t="s">
        <v>20</v>
      </c>
      <c r="I4" s="514" t="s">
        <v>2</v>
      </c>
      <c r="J4" s="511" t="s">
        <v>19</v>
      </c>
      <c r="K4" s="514" t="s">
        <v>2</v>
      </c>
      <c r="L4" s="511" t="s">
        <v>20</v>
      </c>
      <c r="M4" s="515" t="s">
        <v>2</v>
      </c>
    </row>
    <row r="5" spans="1:13" ht="14.4" customHeight="1" x14ac:dyDescent="0.3">
      <c r="A5" s="537" t="s">
        <v>492</v>
      </c>
      <c r="B5" s="528">
        <v>0</v>
      </c>
      <c r="C5" s="490"/>
      <c r="D5" s="541">
        <v>1</v>
      </c>
      <c r="E5" s="544" t="s">
        <v>492</v>
      </c>
      <c r="F5" s="528">
        <v>0</v>
      </c>
      <c r="G5" s="516"/>
      <c r="H5" s="494">
        <v>1</v>
      </c>
      <c r="I5" s="517">
        <v>1</v>
      </c>
      <c r="J5" s="547"/>
      <c r="K5" s="516"/>
      <c r="L5" s="494"/>
      <c r="M5" s="517">
        <v>0</v>
      </c>
    </row>
    <row r="6" spans="1:13" ht="14.4" customHeight="1" x14ac:dyDescent="0.3">
      <c r="A6" s="538" t="s">
        <v>493</v>
      </c>
      <c r="B6" s="529">
        <v>1947.25</v>
      </c>
      <c r="C6" s="497">
        <v>1</v>
      </c>
      <c r="D6" s="542">
        <v>7</v>
      </c>
      <c r="E6" s="545" t="s">
        <v>493</v>
      </c>
      <c r="F6" s="529">
        <v>1947.25</v>
      </c>
      <c r="G6" s="518">
        <v>1</v>
      </c>
      <c r="H6" s="501">
        <v>7</v>
      </c>
      <c r="I6" s="519">
        <v>1</v>
      </c>
      <c r="J6" s="548"/>
      <c r="K6" s="518">
        <v>0</v>
      </c>
      <c r="L6" s="501"/>
      <c r="M6" s="519">
        <v>0</v>
      </c>
    </row>
    <row r="7" spans="1:13" ht="14.4" customHeight="1" x14ac:dyDescent="0.3">
      <c r="A7" s="538" t="s">
        <v>494</v>
      </c>
      <c r="B7" s="529">
        <v>2420.0499999999997</v>
      </c>
      <c r="C7" s="497">
        <v>1</v>
      </c>
      <c r="D7" s="542">
        <v>12</v>
      </c>
      <c r="E7" s="545" t="s">
        <v>494</v>
      </c>
      <c r="F7" s="529">
        <v>2420.0499999999997</v>
      </c>
      <c r="G7" s="518">
        <v>1</v>
      </c>
      <c r="H7" s="501">
        <v>11</v>
      </c>
      <c r="I7" s="519">
        <v>0.91666666666666663</v>
      </c>
      <c r="J7" s="548">
        <v>0</v>
      </c>
      <c r="K7" s="518">
        <v>0</v>
      </c>
      <c r="L7" s="501">
        <v>1</v>
      </c>
      <c r="M7" s="519">
        <v>8.3333333333333329E-2</v>
      </c>
    </row>
    <row r="8" spans="1:13" ht="14.4" customHeight="1" x14ac:dyDescent="0.3">
      <c r="A8" s="538" t="s">
        <v>495</v>
      </c>
      <c r="B8" s="529">
        <v>842.31</v>
      </c>
      <c r="C8" s="497">
        <v>1</v>
      </c>
      <c r="D8" s="542">
        <v>3</v>
      </c>
      <c r="E8" s="545" t="s">
        <v>495</v>
      </c>
      <c r="F8" s="529">
        <v>842.31</v>
      </c>
      <c r="G8" s="518">
        <v>1</v>
      </c>
      <c r="H8" s="501">
        <v>3</v>
      </c>
      <c r="I8" s="519">
        <v>1</v>
      </c>
      <c r="J8" s="548"/>
      <c r="K8" s="518">
        <v>0</v>
      </c>
      <c r="L8" s="501"/>
      <c r="M8" s="519">
        <v>0</v>
      </c>
    </row>
    <row r="9" spans="1:13" ht="14.4" customHeight="1" thickBot="1" x14ac:dyDescent="0.35">
      <c r="A9" s="539" t="s">
        <v>496</v>
      </c>
      <c r="B9" s="530">
        <v>3140.0800000000004</v>
      </c>
      <c r="C9" s="504">
        <v>1</v>
      </c>
      <c r="D9" s="543">
        <v>13</v>
      </c>
      <c r="E9" s="546" t="s">
        <v>496</v>
      </c>
      <c r="F9" s="530">
        <v>3140.0800000000004</v>
      </c>
      <c r="G9" s="520">
        <v>1</v>
      </c>
      <c r="H9" s="508">
        <v>13</v>
      </c>
      <c r="I9" s="521">
        <v>1</v>
      </c>
      <c r="J9" s="549"/>
      <c r="K9" s="520">
        <v>0</v>
      </c>
      <c r="L9" s="508"/>
      <c r="M9" s="52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86" t="s">
        <v>649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1" ht="14.4" customHeight="1" thickBot="1" x14ac:dyDescent="0.35">
      <c r="A2" s="235" t="s">
        <v>258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18"/>
      <c r="B3" s="419"/>
      <c r="C3" s="419"/>
      <c r="D3" s="419"/>
      <c r="E3" s="419"/>
      <c r="F3" s="419"/>
      <c r="G3" s="419"/>
      <c r="H3" s="419"/>
      <c r="I3" s="419"/>
      <c r="J3" s="419"/>
      <c r="K3" s="420" t="s">
        <v>128</v>
      </c>
      <c r="L3" s="421"/>
      <c r="M3" s="66">
        <f>SUBTOTAL(9,M7:M1048576)</f>
        <v>8349.69</v>
      </c>
      <c r="N3" s="66">
        <f>SUBTOTAL(9,N7:N1048576)</f>
        <v>74</v>
      </c>
      <c r="O3" s="66">
        <f>SUBTOTAL(9,O7:O1048576)</f>
        <v>36</v>
      </c>
      <c r="P3" s="66">
        <f>SUBTOTAL(9,P7:P1048576)</f>
        <v>8349.69</v>
      </c>
      <c r="Q3" s="67">
        <f>IF(M3=0,0,P3/M3)</f>
        <v>1</v>
      </c>
      <c r="R3" s="66">
        <f>SUBTOTAL(9,R7:R1048576)</f>
        <v>73</v>
      </c>
      <c r="S3" s="67">
        <f>IF(N3=0,0,R3/N3)</f>
        <v>0.98648648648648651</v>
      </c>
      <c r="T3" s="66">
        <f>SUBTOTAL(9,T7:T1048576)</f>
        <v>35</v>
      </c>
      <c r="U3" s="68">
        <f>IF(O3=0,0,T3/O3)</f>
        <v>0.97222222222222221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22" t="s">
        <v>15</v>
      </c>
      <c r="N4" s="423"/>
      <c r="O4" s="423"/>
      <c r="P4" s="424" t="s">
        <v>21</v>
      </c>
      <c r="Q4" s="423"/>
      <c r="R4" s="423"/>
      <c r="S4" s="423"/>
      <c r="T4" s="423"/>
      <c r="U4" s="425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15" t="s">
        <v>22</v>
      </c>
      <c r="Q5" s="416"/>
      <c r="R5" s="415" t="s">
        <v>13</v>
      </c>
      <c r="S5" s="416"/>
      <c r="T5" s="415" t="s">
        <v>20</v>
      </c>
      <c r="U5" s="417"/>
    </row>
    <row r="6" spans="1:21" s="208" customFormat="1" ht="14.4" customHeight="1" thickBot="1" x14ac:dyDescent="0.35">
      <c r="A6" s="550" t="s">
        <v>23</v>
      </c>
      <c r="B6" s="551" t="s">
        <v>5</v>
      </c>
      <c r="C6" s="550" t="s">
        <v>24</v>
      </c>
      <c r="D6" s="551" t="s">
        <v>6</v>
      </c>
      <c r="E6" s="551" t="s">
        <v>148</v>
      </c>
      <c r="F6" s="551" t="s">
        <v>25</v>
      </c>
      <c r="G6" s="551" t="s">
        <v>26</v>
      </c>
      <c r="H6" s="551" t="s">
        <v>8</v>
      </c>
      <c r="I6" s="551" t="s">
        <v>10</v>
      </c>
      <c r="J6" s="551" t="s">
        <v>11</v>
      </c>
      <c r="K6" s="551" t="s">
        <v>12</v>
      </c>
      <c r="L6" s="551" t="s">
        <v>27</v>
      </c>
      <c r="M6" s="552" t="s">
        <v>14</v>
      </c>
      <c r="N6" s="553" t="s">
        <v>28</v>
      </c>
      <c r="O6" s="553" t="s">
        <v>28</v>
      </c>
      <c r="P6" s="553" t="s">
        <v>14</v>
      </c>
      <c r="Q6" s="553" t="s">
        <v>2</v>
      </c>
      <c r="R6" s="553" t="s">
        <v>28</v>
      </c>
      <c r="S6" s="553" t="s">
        <v>2</v>
      </c>
      <c r="T6" s="553" t="s">
        <v>28</v>
      </c>
      <c r="U6" s="554" t="s">
        <v>2</v>
      </c>
    </row>
    <row r="7" spans="1:21" ht="14.4" customHeight="1" x14ac:dyDescent="0.3">
      <c r="A7" s="555">
        <v>28</v>
      </c>
      <c r="B7" s="556" t="s">
        <v>484</v>
      </c>
      <c r="C7" s="556" t="s">
        <v>486</v>
      </c>
      <c r="D7" s="557" t="s">
        <v>647</v>
      </c>
      <c r="E7" s="558" t="s">
        <v>494</v>
      </c>
      <c r="F7" s="556" t="s">
        <v>485</v>
      </c>
      <c r="G7" s="556" t="s">
        <v>497</v>
      </c>
      <c r="H7" s="556" t="s">
        <v>447</v>
      </c>
      <c r="I7" s="556" t="s">
        <v>498</v>
      </c>
      <c r="J7" s="556" t="s">
        <v>499</v>
      </c>
      <c r="K7" s="556" t="s">
        <v>500</v>
      </c>
      <c r="L7" s="559">
        <v>263.26</v>
      </c>
      <c r="M7" s="559">
        <v>263.26</v>
      </c>
      <c r="N7" s="556">
        <v>1</v>
      </c>
      <c r="O7" s="560">
        <v>0.5</v>
      </c>
      <c r="P7" s="559">
        <v>263.26</v>
      </c>
      <c r="Q7" s="561">
        <v>1</v>
      </c>
      <c r="R7" s="556">
        <v>1</v>
      </c>
      <c r="S7" s="561">
        <v>1</v>
      </c>
      <c r="T7" s="560">
        <v>0.5</v>
      </c>
      <c r="U7" s="122">
        <v>1</v>
      </c>
    </row>
    <row r="8" spans="1:21" ht="14.4" customHeight="1" x14ac:dyDescent="0.3">
      <c r="A8" s="496">
        <v>28</v>
      </c>
      <c r="B8" s="497" t="s">
        <v>484</v>
      </c>
      <c r="C8" s="497" t="s">
        <v>486</v>
      </c>
      <c r="D8" s="562" t="s">
        <v>647</v>
      </c>
      <c r="E8" s="563" t="s">
        <v>494</v>
      </c>
      <c r="F8" s="497" t="s">
        <v>485</v>
      </c>
      <c r="G8" s="497" t="s">
        <v>497</v>
      </c>
      <c r="H8" s="497" t="s">
        <v>447</v>
      </c>
      <c r="I8" s="497" t="s">
        <v>501</v>
      </c>
      <c r="J8" s="497" t="s">
        <v>502</v>
      </c>
      <c r="K8" s="497" t="s">
        <v>503</v>
      </c>
      <c r="L8" s="498">
        <v>462.73</v>
      </c>
      <c r="M8" s="498">
        <v>462.73</v>
      </c>
      <c r="N8" s="497">
        <v>1</v>
      </c>
      <c r="O8" s="564">
        <v>1</v>
      </c>
      <c r="P8" s="498">
        <v>462.73</v>
      </c>
      <c r="Q8" s="518">
        <v>1</v>
      </c>
      <c r="R8" s="497">
        <v>1</v>
      </c>
      <c r="S8" s="518">
        <v>1</v>
      </c>
      <c r="T8" s="564">
        <v>1</v>
      </c>
      <c r="U8" s="519">
        <v>1</v>
      </c>
    </row>
    <row r="9" spans="1:21" ht="14.4" customHeight="1" x14ac:dyDescent="0.3">
      <c r="A9" s="496">
        <v>28</v>
      </c>
      <c r="B9" s="497" t="s">
        <v>484</v>
      </c>
      <c r="C9" s="497" t="s">
        <v>486</v>
      </c>
      <c r="D9" s="562" t="s">
        <v>647</v>
      </c>
      <c r="E9" s="563" t="s">
        <v>494</v>
      </c>
      <c r="F9" s="497" t="s">
        <v>485</v>
      </c>
      <c r="G9" s="497" t="s">
        <v>504</v>
      </c>
      <c r="H9" s="497" t="s">
        <v>447</v>
      </c>
      <c r="I9" s="497" t="s">
        <v>505</v>
      </c>
      <c r="J9" s="497" t="s">
        <v>506</v>
      </c>
      <c r="K9" s="497" t="s">
        <v>507</v>
      </c>
      <c r="L9" s="498">
        <v>245.74</v>
      </c>
      <c r="M9" s="498">
        <v>245.74</v>
      </c>
      <c r="N9" s="497">
        <v>1</v>
      </c>
      <c r="O9" s="564">
        <v>0.5</v>
      </c>
      <c r="P9" s="498">
        <v>245.74</v>
      </c>
      <c r="Q9" s="518">
        <v>1</v>
      </c>
      <c r="R9" s="497">
        <v>1</v>
      </c>
      <c r="S9" s="518">
        <v>1</v>
      </c>
      <c r="T9" s="564">
        <v>0.5</v>
      </c>
      <c r="U9" s="519">
        <v>1</v>
      </c>
    </row>
    <row r="10" spans="1:21" ht="14.4" customHeight="1" x14ac:dyDescent="0.3">
      <c r="A10" s="496">
        <v>28</v>
      </c>
      <c r="B10" s="497" t="s">
        <v>484</v>
      </c>
      <c r="C10" s="497" t="s">
        <v>486</v>
      </c>
      <c r="D10" s="562" t="s">
        <v>647</v>
      </c>
      <c r="E10" s="563" t="s">
        <v>494</v>
      </c>
      <c r="F10" s="497" t="s">
        <v>485</v>
      </c>
      <c r="G10" s="497" t="s">
        <v>504</v>
      </c>
      <c r="H10" s="497" t="s">
        <v>447</v>
      </c>
      <c r="I10" s="497" t="s">
        <v>508</v>
      </c>
      <c r="J10" s="497" t="s">
        <v>506</v>
      </c>
      <c r="K10" s="497" t="s">
        <v>509</v>
      </c>
      <c r="L10" s="498">
        <v>0</v>
      </c>
      <c r="M10" s="498">
        <v>0</v>
      </c>
      <c r="N10" s="497">
        <v>1</v>
      </c>
      <c r="O10" s="564">
        <v>0.5</v>
      </c>
      <c r="P10" s="498">
        <v>0</v>
      </c>
      <c r="Q10" s="518"/>
      <c r="R10" s="497">
        <v>1</v>
      </c>
      <c r="S10" s="518">
        <v>1</v>
      </c>
      <c r="T10" s="564">
        <v>0.5</v>
      </c>
      <c r="U10" s="519">
        <v>1</v>
      </c>
    </row>
    <row r="11" spans="1:21" ht="14.4" customHeight="1" x14ac:dyDescent="0.3">
      <c r="A11" s="496">
        <v>28</v>
      </c>
      <c r="B11" s="497" t="s">
        <v>484</v>
      </c>
      <c r="C11" s="497" t="s">
        <v>486</v>
      </c>
      <c r="D11" s="562" t="s">
        <v>647</v>
      </c>
      <c r="E11" s="563" t="s">
        <v>494</v>
      </c>
      <c r="F11" s="497" t="s">
        <v>485</v>
      </c>
      <c r="G11" s="497" t="s">
        <v>510</v>
      </c>
      <c r="H11" s="497" t="s">
        <v>648</v>
      </c>
      <c r="I11" s="497" t="s">
        <v>511</v>
      </c>
      <c r="J11" s="497" t="s">
        <v>512</v>
      </c>
      <c r="K11" s="497" t="s">
        <v>513</v>
      </c>
      <c r="L11" s="498">
        <v>207.45</v>
      </c>
      <c r="M11" s="498">
        <v>207.45</v>
      </c>
      <c r="N11" s="497">
        <v>1</v>
      </c>
      <c r="O11" s="564">
        <v>0.5</v>
      </c>
      <c r="P11" s="498">
        <v>207.45</v>
      </c>
      <c r="Q11" s="518">
        <v>1</v>
      </c>
      <c r="R11" s="497">
        <v>1</v>
      </c>
      <c r="S11" s="518">
        <v>1</v>
      </c>
      <c r="T11" s="564">
        <v>0.5</v>
      </c>
      <c r="U11" s="519">
        <v>1</v>
      </c>
    </row>
    <row r="12" spans="1:21" ht="14.4" customHeight="1" x14ac:dyDescent="0.3">
      <c r="A12" s="496">
        <v>28</v>
      </c>
      <c r="B12" s="497" t="s">
        <v>484</v>
      </c>
      <c r="C12" s="497" t="s">
        <v>486</v>
      </c>
      <c r="D12" s="562" t="s">
        <v>647</v>
      </c>
      <c r="E12" s="563" t="s">
        <v>494</v>
      </c>
      <c r="F12" s="497" t="s">
        <v>485</v>
      </c>
      <c r="G12" s="497" t="s">
        <v>514</v>
      </c>
      <c r="H12" s="497" t="s">
        <v>447</v>
      </c>
      <c r="I12" s="497" t="s">
        <v>515</v>
      </c>
      <c r="J12" s="497" t="s">
        <v>516</v>
      </c>
      <c r="K12" s="497" t="s">
        <v>517</v>
      </c>
      <c r="L12" s="498">
        <v>37.61</v>
      </c>
      <c r="M12" s="498">
        <v>225.66</v>
      </c>
      <c r="N12" s="497">
        <v>6</v>
      </c>
      <c r="O12" s="564">
        <v>1</v>
      </c>
      <c r="P12" s="498">
        <v>225.66</v>
      </c>
      <c r="Q12" s="518">
        <v>1</v>
      </c>
      <c r="R12" s="497">
        <v>6</v>
      </c>
      <c r="S12" s="518">
        <v>1</v>
      </c>
      <c r="T12" s="564">
        <v>1</v>
      </c>
      <c r="U12" s="519">
        <v>1</v>
      </c>
    </row>
    <row r="13" spans="1:21" ht="14.4" customHeight="1" x14ac:dyDescent="0.3">
      <c r="A13" s="496">
        <v>28</v>
      </c>
      <c r="B13" s="497" t="s">
        <v>484</v>
      </c>
      <c r="C13" s="497" t="s">
        <v>486</v>
      </c>
      <c r="D13" s="562" t="s">
        <v>647</v>
      </c>
      <c r="E13" s="563" t="s">
        <v>494</v>
      </c>
      <c r="F13" s="497" t="s">
        <v>485</v>
      </c>
      <c r="G13" s="497" t="s">
        <v>518</v>
      </c>
      <c r="H13" s="497" t="s">
        <v>447</v>
      </c>
      <c r="I13" s="497" t="s">
        <v>519</v>
      </c>
      <c r="J13" s="497" t="s">
        <v>520</v>
      </c>
      <c r="K13" s="497" t="s">
        <v>521</v>
      </c>
      <c r="L13" s="498">
        <v>0</v>
      </c>
      <c r="M13" s="498">
        <v>0</v>
      </c>
      <c r="N13" s="497">
        <v>1</v>
      </c>
      <c r="O13" s="564">
        <v>1</v>
      </c>
      <c r="P13" s="498">
        <v>0</v>
      </c>
      <c r="Q13" s="518"/>
      <c r="R13" s="497">
        <v>1</v>
      </c>
      <c r="S13" s="518">
        <v>1</v>
      </c>
      <c r="T13" s="564">
        <v>1</v>
      </c>
      <c r="U13" s="519">
        <v>1</v>
      </c>
    </row>
    <row r="14" spans="1:21" ht="14.4" customHeight="1" x14ac:dyDescent="0.3">
      <c r="A14" s="496">
        <v>28</v>
      </c>
      <c r="B14" s="497" t="s">
        <v>484</v>
      </c>
      <c r="C14" s="497" t="s">
        <v>486</v>
      </c>
      <c r="D14" s="562" t="s">
        <v>647</v>
      </c>
      <c r="E14" s="563" t="s">
        <v>494</v>
      </c>
      <c r="F14" s="497" t="s">
        <v>485</v>
      </c>
      <c r="G14" s="497" t="s">
        <v>522</v>
      </c>
      <c r="H14" s="497" t="s">
        <v>447</v>
      </c>
      <c r="I14" s="497" t="s">
        <v>523</v>
      </c>
      <c r="J14" s="497" t="s">
        <v>524</v>
      </c>
      <c r="K14" s="497" t="s">
        <v>525</v>
      </c>
      <c r="L14" s="498">
        <v>107.27</v>
      </c>
      <c r="M14" s="498">
        <v>214.54</v>
      </c>
      <c r="N14" s="497">
        <v>2</v>
      </c>
      <c r="O14" s="564">
        <v>0.5</v>
      </c>
      <c r="P14" s="498">
        <v>214.54</v>
      </c>
      <c r="Q14" s="518">
        <v>1</v>
      </c>
      <c r="R14" s="497">
        <v>2</v>
      </c>
      <c r="S14" s="518">
        <v>1</v>
      </c>
      <c r="T14" s="564">
        <v>0.5</v>
      </c>
      <c r="U14" s="519">
        <v>1</v>
      </c>
    </row>
    <row r="15" spans="1:21" ht="14.4" customHeight="1" x14ac:dyDescent="0.3">
      <c r="A15" s="496">
        <v>28</v>
      </c>
      <c r="B15" s="497" t="s">
        <v>484</v>
      </c>
      <c r="C15" s="497" t="s">
        <v>486</v>
      </c>
      <c r="D15" s="562" t="s">
        <v>647</v>
      </c>
      <c r="E15" s="563" t="s">
        <v>494</v>
      </c>
      <c r="F15" s="497" t="s">
        <v>485</v>
      </c>
      <c r="G15" s="497" t="s">
        <v>526</v>
      </c>
      <c r="H15" s="497" t="s">
        <v>447</v>
      </c>
      <c r="I15" s="497" t="s">
        <v>527</v>
      </c>
      <c r="J15" s="497" t="s">
        <v>528</v>
      </c>
      <c r="K15" s="497" t="s">
        <v>529</v>
      </c>
      <c r="L15" s="498">
        <v>0</v>
      </c>
      <c r="M15" s="498">
        <v>0</v>
      </c>
      <c r="N15" s="497">
        <v>1</v>
      </c>
      <c r="O15" s="564">
        <v>0.5</v>
      </c>
      <c r="P15" s="498">
        <v>0</v>
      </c>
      <c r="Q15" s="518"/>
      <c r="R15" s="497">
        <v>1</v>
      </c>
      <c r="S15" s="518">
        <v>1</v>
      </c>
      <c r="T15" s="564">
        <v>0.5</v>
      </c>
      <c r="U15" s="519">
        <v>1</v>
      </c>
    </row>
    <row r="16" spans="1:21" ht="14.4" customHeight="1" x14ac:dyDescent="0.3">
      <c r="A16" s="496">
        <v>28</v>
      </c>
      <c r="B16" s="497" t="s">
        <v>484</v>
      </c>
      <c r="C16" s="497" t="s">
        <v>486</v>
      </c>
      <c r="D16" s="562" t="s">
        <v>647</v>
      </c>
      <c r="E16" s="563" t="s">
        <v>494</v>
      </c>
      <c r="F16" s="497" t="s">
        <v>485</v>
      </c>
      <c r="G16" s="497" t="s">
        <v>530</v>
      </c>
      <c r="H16" s="497" t="s">
        <v>447</v>
      </c>
      <c r="I16" s="497" t="s">
        <v>531</v>
      </c>
      <c r="J16" s="497" t="s">
        <v>532</v>
      </c>
      <c r="K16" s="497" t="s">
        <v>533</v>
      </c>
      <c r="L16" s="498">
        <v>60.9</v>
      </c>
      <c r="M16" s="498">
        <v>60.9</v>
      </c>
      <c r="N16" s="497">
        <v>1</v>
      </c>
      <c r="O16" s="564">
        <v>1</v>
      </c>
      <c r="P16" s="498">
        <v>60.9</v>
      </c>
      <c r="Q16" s="518">
        <v>1</v>
      </c>
      <c r="R16" s="497">
        <v>1</v>
      </c>
      <c r="S16" s="518">
        <v>1</v>
      </c>
      <c r="T16" s="564">
        <v>1</v>
      </c>
      <c r="U16" s="519">
        <v>1</v>
      </c>
    </row>
    <row r="17" spans="1:21" ht="14.4" customHeight="1" x14ac:dyDescent="0.3">
      <c r="A17" s="496">
        <v>28</v>
      </c>
      <c r="B17" s="497" t="s">
        <v>484</v>
      </c>
      <c r="C17" s="497" t="s">
        <v>486</v>
      </c>
      <c r="D17" s="562" t="s">
        <v>647</v>
      </c>
      <c r="E17" s="563" t="s">
        <v>494</v>
      </c>
      <c r="F17" s="497" t="s">
        <v>485</v>
      </c>
      <c r="G17" s="497" t="s">
        <v>534</v>
      </c>
      <c r="H17" s="497" t="s">
        <v>447</v>
      </c>
      <c r="I17" s="497" t="s">
        <v>535</v>
      </c>
      <c r="J17" s="497" t="s">
        <v>536</v>
      </c>
      <c r="K17" s="497" t="s">
        <v>537</v>
      </c>
      <c r="L17" s="498">
        <v>101.39</v>
      </c>
      <c r="M17" s="498">
        <v>101.39</v>
      </c>
      <c r="N17" s="497">
        <v>1</v>
      </c>
      <c r="O17" s="564">
        <v>0.5</v>
      </c>
      <c r="P17" s="498">
        <v>101.39</v>
      </c>
      <c r="Q17" s="518">
        <v>1</v>
      </c>
      <c r="R17" s="497">
        <v>1</v>
      </c>
      <c r="S17" s="518">
        <v>1</v>
      </c>
      <c r="T17" s="564">
        <v>0.5</v>
      </c>
      <c r="U17" s="519">
        <v>1</v>
      </c>
    </row>
    <row r="18" spans="1:21" ht="14.4" customHeight="1" x14ac:dyDescent="0.3">
      <c r="A18" s="496">
        <v>28</v>
      </c>
      <c r="B18" s="497" t="s">
        <v>484</v>
      </c>
      <c r="C18" s="497" t="s">
        <v>486</v>
      </c>
      <c r="D18" s="562" t="s">
        <v>647</v>
      </c>
      <c r="E18" s="563" t="s">
        <v>494</v>
      </c>
      <c r="F18" s="497" t="s">
        <v>485</v>
      </c>
      <c r="G18" s="497" t="s">
        <v>538</v>
      </c>
      <c r="H18" s="497" t="s">
        <v>447</v>
      </c>
      <c r="I18" s="497" t="s">
        <v>539</v>
      </c>
      <c r="J18" s="497" t="s">
        <v>540</v>
      </c>
      <c r="K18" s="497" t="s">
        <v>541</v>
      </c>
      <c r="L18" s="498">
        <v>0</v>
      </c>
      <c r="M18" s="498">
        <v>0</v>
      </c>
      <c r="N18" s="497">
        <v>1</v>
      </c>
      <c r="O18" s="564">
        <v>1</v>
      </c>
      <c r="P18" s="498"/>
      <c r="Q18" s="518"/>
      <c r="R18" s="497"/>
      <c r="S18" s="518">
        <v>0</v>
      </c>
      <c r="T18" s="564"/>
      <c r="U18" s="519">
        <v>0</v>
      </c>
    </row>
    <row r="19" spans="1:21" ht="14.4" customHeight="1" x14ac:dyDescent="0.3">
      <c r="A19" s="496">
        <v>28</v>
      </c>
      <c r="B19" s="497" t="s">
        <v>484</v>
      </c>
      <c r="C19" s="497" t="s">
        <v>486</v>
      </c>
      <c r="D19" s="562" t="s">
        <v>647</v>
      </c>
      <c r="E19" s="563" t="s">
        <v>494</v>
      </c>
      <c r="F19" s="497" t="s">
        <v>485</v>
      </c>
      <c r="G19" s="497" t="s">
        <v>542</v>
      </c>
      <c r="H19" s="497" t="s">
        <v>447</v>
      </c>
      <c r="I19" s="497" t="s">
        <v>543</v>
      </c>
      <c r="J19" s="497" t="s">
        <v>544</v>
      </c>
      <c r="K19" s="497" t="s">
        <v>545</v>
      </c>
      <c r="L19" s="498">
        <v>0</v>
      </c>
      <c r="M19" s="498">
        <v>0</v>
      </c>
      <c r="N19" s="497">
        <v>1</v>
      </c>
      <c r="O19" s="564">
        <v>0.5</v>
      </c>
      <c r="P19" s="498">
        <v>0</v>
      </c>
      <c r="Q19" s="518"/>
      <c r="R19" s="497">
        <v>1</v>
      </c>
      <c r="S19" s="518">
        <v>1</v>
      </c>
      <c r="T19" s="564">
        <v>0.5</v>
      </c>
      <c r="U19" s="519">
        <v>1</v>
      </c>
    </row>
    <row r="20" spans="1:21" ht="14.4" customHeight="1" x14ac:dyDescent="0.3">
      <c r="A20" s="496">
        <v>28</v>
      </c>
      <c r="B20" s="497" t="s">
        <v>484</v>
      </c>
      <c r="C20" s="497" t="s">
        <v>486</v>
      </c>
      <c r="D20" s="562" t="s">
        <v>647</v>
      </c>
      <c r="E20" s="563" t="s">
        <v>494</v>
      </c>
      <c r="F20" s="497" t="s">
        <v>485</v>
      </c>
      <c r="G20" s="497" t="s">
        <v>546</v>
      </c>
      <c r="H20" s="497" t="s">
        <v>447</v>
      </c>
      <c r="I20" s="497" t="s">
        <v>547</v>
      </c>
      <c r="J20" s="497" t="s">
        <v>548</v>
      </c>
      <c r="K20" s="497" t="s">
        <v>549</v>
      </c>
      <c r="L20" s="498">
        <v>68.819999999999993</v>
      </c>
      <c r="M20" s="498">
        <v>68.819999999999993</v>
      </c>
      <c r="N20" s="497">
        <v>1</v>
      </c>
      <c r="O20" s="564">
        <v>0.5</v>
      </c>
      <c r="P20" s="498">
        <v>68.819999999999993</v>
      </c>
      <c r="Q20" s="518">
        <v>1</v>
      </c>
      <c r="R20" s="497">
        <v>1</v>
      </c>
      <c r="S20" s="518">
        <v>1</v>
      </c>
      <c r="T20" s="564">
        <v>0.5</v>
      </c>
      <c r="U20" s="519">
        <v>1</v>
      </c>
    </row>
    <row r="21" spans="1:21" ht="14.4" customHeight="1" x14ac:dyDescent="0.3">
      <c r="A21" s="496">
        <v>28</v>
      </c>
      <c r="B21" s="497" t="s">
        <v>484</v>
      </c>
      <c r="C21" s="497" t="s">
        <v>486</v>
      </c>
      <c r="D21" s="562" t="s">
        <v>647</v>
      </c>
      <c r="E21" s="563" t="s">
        <v>494</v>
      </c>
      <c r="F21" s="497" t="s">
        <v>485</v>
      </c>
      <c r="G21" s="497" t="s">
        <v>550</v>
      </c>
      <c r="H21" s="497" t="s">
        <v>648</v>
      </c>
      <c r="I21" s="497" t="s">
        <v>551</v>
      </c>
      <c r="J21" s="497" t="s">
        <v>552</v>
      </c>
      <c r="K21" s="497" t="s">
        <v>553</v>
      </c>
      <c r="L21" s="498">
        <v>307.88</v>
      </c>
      <c r="M21" s="498">
        <v>307.88</v>
      </c>
      <c r="N21" s="497">
        <v>1</v>
      </c>
      <c r="O21" s="564">
        <v>0.5</v>
      </c>
      <c r="P21" s="498">
        <v>307.88</v>
      </c>
      <c r="Q21" s="518">
        <v>1</v>
      </c>
      <c r="R21" s="497">
        <v>1</v>
      </c>
      <c r="S21" s="518">
        <v>1</v>
      </c>
      <c r="T21" s="564">
        <v>0.5</v>
      </c>
      <c r="U21" s="519">
        <v>1</v>
      </c>
    </row>
    <row r="22" spans="1:21" ht="14.4" customHeight="1" x14ac:dyDescent="0.3">
      <c r="A22" s="496">
        <v>28</v>
      </c>
      <c r="B22" s="497" t="s">
        <v>484</v>
      </c>
      <c r="C22" s="497" t="s">
        <v>486</v>
      </c>
      <c r="D22" s="562" t="s">
        <v>647</v>
      </c>
      <c r="E22" s="563" t="s">
        <v>494</v>
      </c>
      <c r="F22" s="497" t="s">
        <v>485</v>
      </c>
      <c r="G22" s="497" t="s">
        <v>550</v>
      </c>
      <c r="H22" s="497" t="s">
        <v>648</v>
      </c>
      <c r="I22" s="497" t="s">
        <v>551</v>
      </c>
      <c r="J22" s="497" t="s">
        <v>552</v>
      </c>
      <c r="K22" s="497" t="s">
        <v>553</v>
      </c>
      <c r="L22" s="498">
        <v>261.68</v>
      </c>
      <c r="M22" s="498">
        <v>261.68</v>
      </c>
      <c r="N22" s="497">
        <v>1</v>
      </c>
      <c r="O22" s="564">
        <v>0.5</v>
      </c>
      <c r="P22" s="498">
        <v>261.68</v>
      </c>
      <c r="Q22" s="518">
        <v>1</v>
      </c>
      <c r="R22" s="497">
        <v>1</v>
      </c>
      <c r="S22" s="518">
        <v>1</v>
      </c>
      <c r="T22" s="564">
        <v>0.5</v>
      </c>
      <c r="U22" s="519">
        <v>1</v>
      </c>
    </row>
    <row r="23" spans="1:21" ht="14.4" customHeight="1" x14ac:dyDescent="0.3">
      <c r="A23" s="496">
        <v>28</v>
      </c>
      <c r="B23" s="497" t="s">
        <v>484</v>
      </c>
      <c r="C23" s="497" t="s">
        <v>486</v>
      </c>
      <c r="D23" s="562" t="s">
        <v>647</v>
      </c>
      <c r="E23" s="563" t="s">
        <v>494</v>
      </c>
      <c r="F23" s="497" t="s">
        <v>485</v>
      </c>
      <c r="G23" s="497" t="s">
        <v>550</v>
      </c>
      <c r="H23" s="497" t="s">
        <v>447</v>
      </c>
      <c r="I23" s="497" t="s">
        <v>554</v>
      </c>
      <c r="J23" s="497" t="s">
        <v>555</v>
      </c>
      <c r="K23" s="497" t="s">
        <v>553</v>
      </c>
      <c r="L23" s="498">
        <v>0</v>
      </c>
      <c r="M23" s="498">
        <v>0</v>
      </c>
      <c r="N23" s="497">
        <v>1</v>
      </c>
      <c r="O23" s="564">
        <v>0.5</v>
      </c>
      <c r="P23" s="498">
        <v>0</v>
      </c>
      <c r="Q23" s="518"/>
      <c r="R23" s="497">
        <v>1</v>
      </c>
      <c r="S23" s="518">
        <v>1</v>
      </c>
      <c r="T23" s="564">
        <v>0.5</v>
      </c>
      <c r="U23" s="519">
        <v>1</v>
      </c>
    </row>
    <row r="24" spans="1:21" ht="14.4" customHeight="1" x14ac:dyDescent="0.3">
      <c r="A24" s="496">
        <v>28</v>
      </c>
      <c r="B24" s="497" t="s">
        <v>484</v>
      </c>
      <c r="C24" s="497" t="s">
        <v>486</v>
      </c>
      <c r="D24" s="562" t="s">
        <v>647</v>
      </c>
      <c r="E24" s="563" t="s">
        <v>494</v>
      </c>
      <c r="F24" s="497" t="s">
        <v>485</v>
      </c>
      <c r="G24" s="497" t="s">
        <v>556</v>
      </c>
      <c r="H24" s="497" t="s">
        <v>447</v>
      </c>
      <c r="I24" s="497" t="s">
        <v>557</v>
      </c>
      <c r="J24" s="497" t="s">
        <v>558</v>
      </c>
      <c r="K24" s="497" t="s">
        <v>559</v>
      </c>
      <c r="L24" s="498">
        <v>0</v>
      </c>
      <c r="M24" s="498">
        <v>0</v>
      </c>
      <c r="N24" s="497">
        <v>1</v>
      </c>
      <c r="O24" s="564">
        <v>1</v>
      </c>
      <c r="P24" s="498">
        <v>0</v>
      </c>
      <c r="Q24" s="518"/>
      <c r="R24" s="497">
        <v>1</v>
      </c>
      <c r="S24" s="518">
        <v>1</v>
      </c>
      <c r="T24" s="564">
        <v>1</v>
      </c>
      <c r="U24" s="519">
        <v>1</v>
      </c>
    </row>
    <row r="25" spans="1:21" ht="14.4" customHeight="1" x14ac:dyDescent="0.3">
      <c r="A25" s="496">
        <v>28</v>
      </c>
      <c r="B25" s="497" t="s">
        <v>484</v>
      </c>
      <c r="C25" s="497" t="s">
        <v>486</v>
      </c>
      <c r="D25" s="562" t="s">
        <v>647</v>
      </c>
      <c r="E25" s="563" t="s">
        <v>495</v>
      </c>
      <c r="F25" s="497" t="s">
        <v>485</v>
      </c>
      <c r="G25" s="497" t="s">
        <v>560</v>
      </c>
      <c r="H25" s="497" t="s">
        <v>447</v>
      </c>
      <c r="I25" s="497" t="s">
        <v>561</v>
      </c>
      <c r="J25" s="497" t="s">
        <v>562</v>
      </c>
      <c r="K25" s="497" t="s">
        <v>563</v>
      </c>
      <c r="L25" s="498">
        <v>0</v>
      </c>
      <c r="M25" s="498">
        <v>0</v>
      </c>
      <c r="N25" s="497">
        <v>1</v>
      </c>
      <c r="O25" s="564">
        <v>0.5</v>
      </c>
      <c r="P25" s="498">
        <v>0</v>
      </c>
      <c r="Q25" s="518"/>
      <c r="R25" s="497">
        <v>1</v>
      </c>
      <c r="S25" s="518">
        <v>1</v>
      </c>
      <c r="T25" s="564">
        <v>0.5</v>
      </c>
      <c r="U25" s="519">
        <v>1</v>
      </c>
    </row>
    <row r="26" spans="1:21" ht="14.4" customHeight="1" x14ac:dyDescent="0.3">
      <c r="A26" s="496">
        <v>28</v>
      </c>
      <c r="B26" s="497" t="s">
        <v>484</v>
      </c>
      <c r="C26" s="497" t="s">
        <v>486</v>
      </c>
      <c r="D26" s="562" t="s">
        <v>647</v>
      </c>
      <c r="E26" s="563" t="s">
        <v>495</v>
      </c>
      <c r="F26" s="497" t="s">
        <v>485</v>
      </c>
      <c r="G26" s="497" t="s">
        <v>564</v>
      </c>
      <c r="H26" s="497" t="s">
        <v>447</v>
      </c>
      <c r="I26" s="497" t="s">
        <v>565</v>
      </c>
      <c r="J26" s="497" t="s">
        <v>566</v>
      </c>
      <c r="K26" s="497" t="s">
        <v>567</v>
      </c>
      <c r="L26" s="498">
        <v>0</v>
      </c>
      <c r="M26" s="498">
        <v>0</v>
      </c>
      <c r="N26" s="497">
        <v>1</v>
      </c>
      <c r="O26" s="564">
        <v>0.5</v>
      </c>
      <c r="P26" s="498">
        <v>0</v>
      </c>
      <c r="Q26" s="518"/>
      <c r="R26" s="497">
        <v>1</v>
      </c>
      <c r="S26" s="518">
        <v>1</v>
      </c>
      <c r="T26" s="564">
        <v>0.5</v>
      </c>
      <c r="U26" s="519">
        <v>1</v>
      </c>
    </row>
    <row r="27" spans="1:21" ht="14.4" customHeight="1" x14ac:dyDescent="0.3">
      <c r="A27" s="496">
        <v>28</v>
      </c>
      <c r="B27" s="497" t="s">
        <v>484</v>
      </c>
      <c r="C27" s="497" t="s">
        <v>486</v>
      </c>
      <c r="D27" s="562" t="s">
        <v>647</v>
      </c>
      <c r="E27" s="563" t="s">
        <v>495</v>
      </c>
      <c r="F27" s="497" t="s">
        <v>485</v>
      </c>
      <c r="G27" s="497" t="s">
        <v>564</v>
      </c>
      <c r="H27" s="497" t="s">
        <v>447</v>
      </c>
      <c r="I27" s="497" t="s">
        <v>568</v>
      </c>
      <c r="J27" s="497" t="s">
        <v>566</v>
      </c>
      <c r="K27" s="497" t="s">
        <v>569</v>
      </c>
      <c r="L27" s="498">
        <v>0</v>
      </c>
      <c r="M27" s="498">
        <v>0</v>
      </c>
      <c r="N27" s="497">
        <v>3</v>
      </c>
      <c r="O27" s="564">
        <v>1</v>
      </c>
      <c r="P27" s="498">
        <v>0</v>
      </c>
      <c r="Q27" s="518"/>
      <c r="R27" s="497">
        <v>3</v>
      </c>
      <c r="S27" s="518">
        <v>1</v>
      </c>
      <c r="T27" s="564">
        <v>1</v>
      </c>
      <c r="U27" s="519">
        <v>1</v>
      </c>
    </row>
    <row r="28" spans="1:21" ht="14.4" customHeight="1" x14ac:dyDescent="0.3">
      <c r="A28" s="496">
        <v>28</v>
      </c>
      <c r="B28" s="497" t="s">
        <v>484</v>
      </c>
      <c r="C28" s="497" t="s">
        <v>486</v>
      </c>
      <c r="D28" s="562" t="s">
        <v>647</v>
      </c>
      <c r="E28" s="563" t="s">
        <v>495</v>
      </c>
      <c r="F28" s="497" t="s">
        <v>485</v>
      </c>
      <c r="G28" s="497" t="s">
        <v>570</v>
      </c>
      <c r="H28" s="497" t="s">
        <v>648</v>
      </c>
      <c r="I28" s="497" t="s">
        <v>571</v>
      </c>
      <c r="J28" s="497" t="s">
        <v>572</v>
      </c>
      <c r="K28" s="497" t="s">
        <v>573</v>
      </c>
      <c r="L28" s="498">
        <v>842.31</v>
      </c>
      <c r="M28" s="498">
        <v>842.31</v>
      </c>
      <c r="N28" s="497">
        <v>1</v>
      </c>
      <c r="O28" s="564">
        <v>1</v>
      </c>
      <c r="P28" s="498">
        <v>842.31</v>
      </c>
      <c r="Q28" s="518">
        <v>1</v>
      </c>
      <c r="R28" s="497">
        <v>1</v>
      </c>
      <c r="S28" s="518">
        <v>1</v>
      </c>
      <c r="T28" s="564">
        <v>1</v>
      </c>
      <c r="U28" s="519">
        <v>1</v>
      </c>
    </row>
    <row r="29" spans="1:21" ht="14.4" customHeight="1" x14ac:dyDescent="0.3">
      <c r="A29" s="496">
        <v>28</v>
      </c>
      <c r="B29" s="497" t="s">
        <v>484</v>
      </c>
      <c r="C29" s="497" t="s">
        <v>486</v>
      </c>
      <c r="D29" s="562" t="s">
        <v>647</v>
      </c>
      <c r="E29" s="563" t="s">
        <v>496</v>
      </c>
      <c r="F29" s="497" t="s">
        <v>485</v>
      </c>
      <c r="G29" s="497" t="s">
        <v>574</v>
      </c>
      <c r="H29" s="497" t="s">
        <v>648</v>
      </c>
      <c r="I29" s="497" t="s">
        <v>575</v>
      </c>
      <c r="J29" s="497" t="s">
        <v>576</v>
      </c>
      <c r="K29" s="497" t="s">
        <v>577</v>
      </c>
      <c r="L29" s="498">
        <v>154.36000000000001</v>
      </c>
      <c r="M29" s="498">
        <v>308.72000000000003</v>
      </c>
      <c r="N29" s="497">
        <v>2</v>
      </c>
      <c r="O29" s="564">
        <v>1</v>
      </c>
      <c r="P29" s="498">
        <v>308.72000000000003</v>
      </c>
      <c r="Q29" s="518">
        <v>1</v>
      </c>
      <c r="R29" s="497">
        <v>2</v>
      </c>
      <c r="S29" s="518">
        <v>1</v>
      </c>
      <c r="T29" s="564">
        <v>1</v>
      </c>
      <c r="U29" s="519">
        <v>1</v>
      </c>
    </row>
    <row r="30" spans="1:21" ht="14.4" customHeight="1" x14ac:dyDescent="0.3">
      <c r="A30" s="496">
        <v>28</v>
      </c>
      <c r="B30" s="497" t="s">
        <v>484</v>
      </c>
      <c r="C30" s="497" t="s">
        <v>486</v>
      </c>
      <c r="D30" s="562" t="s">
        <v>647</v>
      </c>
      <c r="E30" s="563" t="s">
        <v>496</v>
      </c>
      <c r="F30" s="497" t="s">
        <v>485</v>
      </c>
      <c r="G30" s="497" t="s">
        <v>578</v>
      </c>
      <c r="H30" s="497" t="s">
        <v>648</v>
      </c>
      <c r="I30" s="497" t="s">
        <v>579</v>
      </c>
      <c r="J30" s="497" t="s">
        <v>580</v>
      </c>
      <c r="K30" s="497" t="s">
        <v>581</v>
      </c>
      <c r="L30" s="498">
        <v>70.540000000000006</v>
      </c>
      <c r="M30" s="498">
        <v>423.24</v>
      </c>
      <c r="N30" s="497">
        <v>6</v>
      </c>
      <c r="O30" s="564">
        <v>1.5</v>
      </c>
      <c r="P30" s="498">
        <v>423.24</v>
      </c>
      <c r="Q30" s="518">
        <v>1</v>
      </c>
      <c r="R30" s="497">
        <v>6</v>
      </c>
      <c r="S30" s="518">
        <v>1</v>
      </c>
      <c r="T30" s="564">
        <v>1.5</v>
      </c>
      <c r="U30" s="519">
        <v>1</v>
      </c>
    </row>
    <row r="31" spans="1:21" ht="14.4" customHeight="1" x14ac:dyDescent="0.3">
      <c r="A31" s="496">
        <v>28</v>
      </c>
      <c r="B31" s="497" t="s">
        <v>484</v>
      </c>
      <c r="C31" s="497" t="s">
        <v>486</v>
      </c>
      <c r="D31" s="562" t="s">
        <v>647</v>
      </c>
      <c r="E31" s="563" t="s">
        <v>496</v>
      </c>
      <c r="F31" s="497" t="s">
        <v>485</v>
      </c>
      <c r="G31" s="497" t="s">
        <v>582</v>
      </c>
      <c r="H31" s="497" t="s">
        <v>447</v>
      </c>
      <c r="I31" s="497" t="s">
        <v>583</v>
      </c>
      <c r="J31" s="497" t="s">
        <v>584</v>
      </c>
      <c r="K31" s="497" t="s">
        <v>585</v>
      </c>
      <c r="L31" s="498">
        <v>170.52</v>
      </c>
      <c r="M31" s="498">
        <v>341.04</v>
      </c>
      <c r="N31" s="497">
        <v>2</v>
      </c>
      <c r="O31" s="564">
        <v>0.5</v>
      </c>
      <c r="P31" s="498">
        <v>341.04</v>
      </c>
      <c r="Q31" s="518">
        <v>1</v>
      </c>
      <c r="R31" s="497">
        <v>2</v>
      </c>
      <c r="S31" s="518">
        <v>1</v>
      </c>
      <c r="T31" s="564">
        <v>0.5</v>
      </c>
      <c r="U31" s="519">
        <v>1</v>
      </c>
    </row>
    <row r="32" spans="1:21" ht="14.4" customHeight="1" x14ac:dyDescent="0.3">
      <c r="A32" s="496">
        <v>28</v>
      </c>
      <c r="B32" s="497" t="s">
        <v>484</v>
      </c>
      <c r="C32" s="497" t="s">
        <v>486</v>
      </c>
      <c r="D32" s="562" t="s">
        <v>647</v>
      </c>
      <c r="E32" s="563" t="s">
        <v>496</v>
      </c>
      <c r="F32" s="497" t="s">
        <v>485</v>
      </c>
      <c r="G32" s="497" t="s">
        <v>586</v>
      </c>
      <c r="H32" s="497" t="s">
        <v>447</v>
      </c>
      <c r="I32" s="497" t="s">
        <v>587</v>
      </c>
      <c r="J32" s="497" t="s">
        <v>588</v>
      </c>
      <c r="K32" s="497" t="s">
        <v>589</v>
      </c>
      <c r="L32" s="498">
        <v>115.26</v>
      </c>
      <c r="M32" s="498">
        <v>115.26</v>
      </c>
      <c r="N32" s="497">
        <v>1</v>
      </c>
      <c r="O32" s="564">
        <v>0.5</v>
      </c>
      <c r="P32" s="498">
        <v>115.26</v>
      </c>
      <c r="Q32" s="518">
        <v>1</v>
      </c>
      <c r="R32" s="497">
        <v>1</v>
      </c>
      <c r="S32" s="518">
        <v>1</v>
      </c>
      <c r="T32" s="564">
        <v>0.5</v>
      </c>
      <c r="U32" s="519">
        <v>1</v>
      </c>
    </row>
    <row r="33" spans="1:21" ht="14.4" customHeight="1" x14ac:dyDescent="0.3">
      <c r="A33" s="496">
        <v>28</v>
      </c>
      <c r="B33" s="497" t="s">
        <v>484</v>
      </c>
      <c r="C33" s="497" t="s">
        <v>486</v>
      </c>
      <c r="D33" s="562" t="s">
        <v>647</v>
      </c>
      <c r="E33" s="563" t="s">
        <v>496</v>
      </c>
      <c r="F33" s="497" t="s">
        <v>485</v>
      </c>
      <c r="G33" s="497" t="s">
        <v>522</v>
      </c>
      <c r="H33" s="497" t="s">
        <v>447</v>
      </c>
      <c r="I33" s="497" t="s">
        <v>590</v>
      </c>
      <c r="J33" s="497" t="s">
        <v>524</v>
      </c>
      <c r="K33" s="497" t="s">
        <v>525</v>
      </c>
      <c r="L33" s="498">
        <v>107.27</v>
      </c>
      <c r="M33" s="498">
        <v>321.81</v>
      </c>
      <c r="N33" s="497">
        <v>3</v>
      </c>
      <c r="O33" s="564">
        <v>0.5</v>
      </c>
      <c r="P33" s="498">
        <v>321.81</v>
      </c>
      <c r="Q33" s="518">
        <v>1</v>
      </c>
      <c r="R33" s="497">
        <v>3</v>
      </c>
      <c r="S33" s="518">
        <v>1</v>
      </c>
      <c r="T33" s="564">
        <v>0.5</v>
      </c>
      <c r="U33" s="519">
        <v>1</v>
      </c>
    </row>
    <row r="34" spans="1:21" ht="14.4" customHeight="1" x14ac:dyDescent="0.3">
      <c r="A34" s="496">
        <v>28</v>
      </c>
      <c r="B34" s="497" t="s">
        <v>484</v>
      </c>
      <c r="C34" s="497" t="s">
        <v>486</v>
      </c>
      <c r="D34" s="562" t="s">
        <v>647</v>
      </c>
      <c r="E34" s="563" t="s">
        <v>496</v>
      </c>
      <c r="F34" s="497" t="s">
        <v>485</v>
      </c>
      <c r="G34" s="497" t="s">
        <v>522</v>
      </c>
      <c r="H34" s="497" t="s">
        <v>447</v>
      </c>
      <c r="I34" s="497" t="s">
        <v>523</v>
      </c>
      <c r="J34" s="497" t="s">
        <v>524</v>
      </c>
      <c r="K34" s="497" t="s">
        <v>525</v>
      </c>
      <c r="L34" s="498">
        <v>107.27</v>
      </c>
      <c r="M34" s="498">
        <v>643.62</v>
      </c>
      <c r="N34" s="497">
        <v>6</v>
      </c>
      <c r="O34" s="564">
        <v>1</v>
      </c>
      <c r="P34" s="498">
        <v>643.62</v>
      </c>
      <c r="Q34" s="518">
        <v>1</v>
      </c>
      <c r="R34" s="497">
        <v>6</v>
      </c>
      <c r="S34" s="518">
        <v>1</v>
      </c>
      <c r="T34" s="564">
        <v>1</v>
      </c>
      <c r="U34" s="519">
        <v>1</v>
      </c>
    </row>
    <row r="35" spans="1:21" ht="14.4" customHeight="1" x14ac:dyDescent="0.3">
      <c r="A35" s="496">
        <v>28</v>
      </c>
      <c r="B35" s="497" t="s">
        <v>484</v>
      </c>
      <c r="C35" s="497" t="s">
        <v>486</v>
      </c>
      <c r="D35" s="562" t="s">
        <v>647</v>
      </c>
      <c r="E35" s="563" t="s">
        <v>496</v>
      </c>
      <c r="F35" s="497" t="s">
        <v>485</v>
      </c>
      <c r="G35" s="497" t="s">
        <v>526</v>
      </c>
      <c r="H35" s="497" t="s">
        <v>447</v>
      </c>
      <c r="I35" s="497" t="s">
        <v>591</v>
      </c>
      <c r="J35" s="497" t="s">
        <v>592</v>
      </c>
      <c r="K35" s="497" t="s">
        <v>593</v>
      </c>
      <c r="L35" s="498">
        <v>48.42</v>
      </c>
      <c r="M35" s="498">
        <v>193.68</v>
      </c>
      <c r="N35" s="497">
        <v>4</v>
      </c>
      <c r="O35" s="564">
        <v>2</v>
      </c>
      <c r="P35" s="498">
        <v>193.68</v>
      </c>
      <c r="Q35" s="518">
        <v>1</v>
      </c>
      <c r="R35" s="497">
        <v>4</v>
      </c>
      <c r="S35" s="518">
        <v>1</v>
      </c>
      <c r="T35" s="564">
        <v>2</v>
      </c>
      <c r="U35" s="519">
        <v>1</v>
      </c>
    </row>
    <row r="36" spans="1:21" ht="14.4" customHeight="1" x14ac:dyDescent="0.3">
      <c r="A36" s="496">
        <v>28</v>
      </c>
      <c r="B36" s="497" t="s">
        <v>484</v>
      </c>
      <c r="C36" s="497" t="s">
        <v>486</v>
      </c>
      <c r="D36" s="562" t="s">
        <v>647</v>
      </c>
      <c r="E36" s="563" t="s">
        <v>496</v>
      </c>
      <c r="F36" s="497" t="s">
        <v>485</v>
      </c>
      <c r="G36" s="497" t="s">
        <v>594</v>
      </c>
      <c r="H36" s="497" t="s">
        <v>447</v>
      </c>
      <c r="I36" s="497" t="s">
        <v>595</v>
      </c>
      <c r="J36" s="497" t="s">
        <v>596</v>
      </c>
      <c r="K36" s="497" t="s">
        <v>597</v>
      </c>
      <c r="L36" s="498">
        <v>0</v>
      </c>
      <c r="M36" s="498">
        <v>0</v>
      </c>
      <c r="N36" s="497">
        <v>1</v>
      </c>
      <c r="O36" s="564">
        <v>0.5</v>
      </c>
      <c r="P36" s="498">
        <v>0</v>
      </c>
      <c r="Q36" s="518"/>
      <c r="R36" s="497">
        <v>1</v>
      </c>
      <c r="S36" s="518">
        <v>1</v>
      </c>
      <c r="T36" s="564">
        <v>0.5</v>
      </c>
      <c r="U36" s="519">
        <v>1</v>
      </c>
    </row>
    <row r="37" spans="1:21" ht="14.4" customHeight="1" x14ac:dyDescent="0.3">
      <c r="A37" s="496">
        <v>28</v>
      </c>
      <c r="B37" s="497" t="s">
        <v>484</v>
      </c>
      <c r="C37" s="497" t="s">
        <v>486</v>
      </c>
      <c r="D37" s="562" t="s">
        <v>647</v>
      </c>
      <c r="E37" s="563" t="s">
        <v>496</v>
      </c>
      <c r="F37" s="497" t="s">
        <v>485</v>
      </c>
      <c r="G37" s="497" t="s">
        <v>598</v>
      </c>
      <c r="H37" s="497" t="s">
        <v>447</v>
      </c>
      <c r="I37" s="497" t="s">
        <v>599</v>
      </c>
      <c r="J37" s="497" t="s">
        <v>600</v>
      </c>
      <c r="K37" s="497" t="s">
        <v>601</v>
      </c>
      <c r="L37" s="498">
        <v>98.75</v>
      </c>
      <c r="M37" s="498">
        <v>98.75</v>
      </c>
      <c r="N37" s="497">
        <v>1</v>
      </c>
      <c r="O37" s="564">
        <v>0.5</v>
      </c>
      <c r="P37" s="498">
        <v>98.75</v>
      </c>
      <c r="Q37" s="518">
        <v>1</v>
      </c>
      <c r="R37" s="497">
        <v>1</v>
      </c>
      <c r="S37" s="518">
        <v>1</v>
      </c>
      <c r="T37" s="564">
        <v>0.5</v>
      </c>
      <c r="U37" s="519">
        <v>1</v>
      </c>
    </row>
    <row r="38" spans="1:21" ht="14.4" customHeight="1" x14ac:dyDescent="0.3">
      <c r="A38" s="496">
        <v>28</v>
      </c>
      <c r="B38" s="497" t="s">
        <v>484</v>
      </c>
      <c r="C38" s="497" t="s">
        <v>486</v>
      </c>
      <c r="D38" s="562" t="s">
        <v>647</v>
      </c>
      <c r="E38" s="563" t="s">
        <v>496</v>
      </c>
      <c r="F38" s="497" t="s">
        <v>485</v>
      </c>
      <c r="G38" s="497" t="s">
        <v>598</v>
      </c>
      <c r="H38" s="497" t="s">
        <v>447</v>
      </c>
      <c r="I38" s="497" t="s">
        <v>602</v>
      </c>
      <c r="J38" s="497" t="s">
        <v>603</v>
      </c>
      <c r="K38" s="497" t="s">
        <v>601</v>
      </c>
      <c r="L38" s="498">
        <v>98.75</v>
      </c>
      <c r="M38" s="498">
        <v>98.75</v>
      </c>
      <c r="N38" s="497">
        <v>1</v>
      </c>
      <c r="O38" s="564">
        <v>1</v>
      </c>
      <c r="P38" s="498">
        <v>98.75</v>
      </c>
      <c r="Q38" s="518">
        <v>1</v>
      </c>
      <c r="R38" s="497">
        <v>1</v>
      </c>
      <c r="S38" s="518">
        <v>1</v>
      </c>
      <c r="T38" s="564">
        <v>1</v>
      </c>
      <c r="U38" s="519">
        <v>1</v>
      </c>
    </row>
    <row r="39" spans="1:21" ht="14.4" customHeight="1" x14ac:dyDescent="0.3">
      <c r="A39" s="496">
        <v>28</v>
      </c>
      <c r="B39" s="497" t="s">
        <v>484</v>
      </c>
      <c r="C39" s="497" t="s">
        <v>486</v>
      </c>
      <c r="D39" s="562" t="s">
        <v>647</v>
      </c>
      <c r="E39" s="563" t="s">
        <v>496</v>
      </c>
      <c r="F39" s="497" t="s">
        <v>485</v>
      </c>
      <c r="G39" s="497" t="s">
        <v>604</v>
      </c>
      <c r="H39" s="497" t="s">
        <v>447</v>
      </c>
      <c r="I39" s="497" t="s">
        <v>605</v>
      </c>
      <c r="J39" s="497" t="s">
        <v>606</v>
      </c>
      <c r="K39" s="497" t="s">
        <v>607</v>
      </c>
      <c r="L39" s="498">
        <v>126.59</v>
      </c>
      <c r="M39" s="498">
        <v>126.59</v>
      </c>
      <c r="N39" s="497">
        <v>1</v>
      </c>
      <c r="O39" s="564">
        <v>0.5</v>
      </c>
      <c r="P39" s="498">
        <v>126.59</v>
      </c>
      <c r="Q39" s="518">
        <v>1</v>
      </c>
      <c r="R39" s="497">
        <v>1</v>
      </c>
      <c r="S39" s="518">
        <v>1</v>
      </c>
      <c r="T39" s="564">
        <v>0.5</v>
      </c>
      <c r="U39" s="519">
        <v>1</v>
      </c>
    </row>
    <row r="40" spans="1:21" ht="14.4" customHeight="1" x14ac:dyDescent="0.3">
      <c r="A40" s="496">
        <v>28</v>
      </c>
      <c r="B40" s="497" t="s">
        <v>484</v>
      </c>
      <c r="C40" s="497" t="s">
        <v>486</v>
      </c>
      <c r="D40" s="562" t="s">
        <v>647</v>
      </c>
      <c r="E40" s="563" t="s">
        <v>496</v>
      </c>
      <c r="F40" s="497" t="s">
        <v>485</v>
      </c>
      <c r="G40" s="497" t="s">
        <v>608</v>
      </c>
      <c r="H40" s="497" t="s">
        <v>447</v>
      </c>
      <c r="I40" s="497" t="s">
        <v>609</v>
      </c>
      <c r="J40" s="497" t="s">
        <v>610</v>
      </c>
      <c r="K40" s="497" t="s">
        <v>611</v>
      </c>
      <c r="L40" s="498">
        <v>301.2</v>
      </c>
      <c r="M40" s="498">
        <v>301.2</v>
      </c>
      <c r="N40" s="497">
        <v>1</v>
      </c>
      <c r="O40" s="564">
        <v>0.5</v>
      </c>
      <c r="P40" s="498">
        <v>301.2</v>
      </c>
      <c r="Q40" s="518">
        <v>1</v>
      </c>
      <c r="R40" s="497">
        <v>1</v>
      </c>
      <c r="S40" s="518">
        <v>1</v>
      </c>
      <c r="T40" s="564">
        <v>0.5</v>
      </c>
      <c r="U40" s="519">
        <v>1</v>
      </c>
    </row>
    <row r="41" spans="1:21" ht="14.4" customHeight="1" x14ac:dyDescent="0.3">
      <c r="A41" s="496">
        <v>28</v>
      </c>
      <c r="B41" s="497" t="s">
        <v>484</v>
      </c>
      <c r="C41" s="497" t="s">
        <v>486</v>
      </c>
      <c r="D41" s="562" t="s">
        <v>647</v>
      </c>
      <c r="E41" s="563" t="s">
        <v>496</v>
      </c>
      <c r="F41" s="497" t="s">
        <v>485</v>
      </c>
      <c r="G41" s="497" t="s">
        <v>608</v>
      </c>
      <c r="H41" s="497" t="s">
        <v>447</v>
      </c>
      <c r="I41" s="497" t="s">
        <v>612</v>
      </c>
      <c r="J41" s="497" t="s">
        <v>610</v>
      </c>
      <c r="K41" s="497" t="s">
        <v>611</v>
      </c>
      <c r="L41" s="498">
        <v>103.67</v>
      </c>
      <c r="M41" s="498">
        <v>103.67</v>
      </c>
      <c r="N41" s="497">
        <v>1</v>
      </c>
      <c r="O41" s="564">
        <v>0.5</v>
      </c>
      <c r="P41" s="498">
        <v>103.67</v>
      </c>
      <c r="Q41" s="518">
        <v>1</v>
      </c>
      <c r="R41" s="497">
        <v>1</v>
      </c>
      <c r="S41" s="518">
        <v>1</v>
      </c>
      <c r="T41" s="564">
        <v>0.5</v>
      </c>
      <c r="U41" s="519">
        <v>1</v>
      </c>
    </row>
    <row r="42" spans="1:21" ht="14.4" customHeight="1" x14ac:dyDescent="0.3">
      <c r="A42" s="496">
        <v>28</v>
      </c>
      <c r="B42" s="497" t="s">
        <v>484</v>
      </c>
      <c r="C42" s="497" t="s">
        <v>486</v>
      </c>
      <c r="D42" s="562" t="s">
        <v>647</v>
      </c>
      <c r="E42" s="563" t="s">
        <v>496</v>
      </c>
      <c r="F42" s="497" t="s">
        <v>485</v>
      </c>
      <c r="G42" s="497" t="s">
        <v>613</v>
      </c>
      <c r="H42" s="497" t="s">
        <v>447</v>
      </c>
      <c r="I42" s="497" t="s">
        <v>614</v>
      </c>
      <c r="J42" s="497" t="s">
        <v>615</v>
      </c>
      <c r="K42" s="497" t="s">
        <v>616</v>
      </c>
      <c r="L42" s="498">
        <v>0</v>
      </c>
      <c r="M42" s="498">
        <v>0</v>
      </c>
      <c r="N42" s="497">
        <v>1</v>
      </c>
      <c r="O42" s="564">
        <v>0.5</v>
      </c>
      <c r="P42" s="498">
        <v>0</v>
      </c>
      <c r="Q42" s="518"/>
      <c r="R42" s="497">
        <v>1</v>
      </c>
      <c r="S42" s="518">
        <v>1</v>
      </c>
      <c r="T42" s="564">
        <v>0.5</v>
      </c>
      <c r="U42" s="519">
        <v>1</v>
      </c>
    </row>
    <row r="43" spans="1:21" ht="14.4" customHeight="1" x14ac:dyDescent="0.3">
      <c r="A43" s="496">
        <v>28</v>
      </c>
      <c r="B43" s="497" t="s">
        <v>484</v>
      </c>
      <c r="C43" s="497" t="s">
        <v>486</v>
      </c>
      <c r="D43" s="562" t="s">
        <v>647</v>
      </c>
      <c r="E43" s="563" t="s">
        <v>496</v>
      </c>
      <c r="F43" s="497" t="s">
        <v>485</v>
      </c>
      <c r="G43" s="497" t="s">
        <v>617</v>
      </c>
      <c r="H43" s="497" t="s">
        <v>648</v>
      </c>
      <c r="I43" s="497" t="s">
        <v>618</v>
      </c>
      <c r="J43" s="497" t="s">
        <v>619</v>
      </c>
      <c r="K43" s="497" t="s">
        <v>620</v>
      </c>
      <c r="L43" s="498">
        <v>63.75</v>
      </c>
      <c r="M43" s="498">
        <v>63.75</v>
      </c>
      <c r="N43" s="497">
        <v>1</v>
      </c>
      <c r="O43" s="564">
        <v>0.5</v>
      </c>
      <c r="P43" s="498">
        <v>63.75</v>
      </c>
      <c r="Q43" s="518">
        <v>1</v>
      </c>
      <c r="R43" s="497">
        <v>1</v>
      </c>
      <c r="S43" s="518">
        <v>1</v>
      </c>
      <c r="T43" s="564">
        <v>0.5</v>
      </c>
      <c r="U43" s="519">
        <v>1</v>
      </c>
    </row>
    <row r="44" spans="1:21" ht="14.4" customHeight="1" x14ac:dyDescent="0.3">
      <c r="A44" s="496">
        <v>28</v>
      </c>
      <c r="B44" s="497" t="s">
        <v>484</v>
      </c>
      <c r="C44" s="497" t="s">
        <v>486</v>
      </c>
      <c r="D44" s="562" t="s">
        <v>647</v>
      </c>
      <c r="E44" s="563" t="s">
        <v>496</v>
      </c>
      <c r="F44" s="497" t="s">
        <v>485</v>
      </c>
      <c r="G44" s="497" t="s">
        <v>621</v>
      </c>
      <c r="H44" s="497" t="s">
        <v>447</v>
      </c>
      <c r="I44" s="497" t="s">
        <v>622</v>
      </c>
      <c r="J44" s="497" t="s">
        <v>623</v>
      </c>
      <c r="K44" s="497" t="s">
        <v>624</v>
      </c>
      <c r="L44" s="498">
        <v>0</v>
      </c>
      <c r="M44" s="498">
        <v>0</v>
      </c>
      <c r="N44" s="497">
        <v>2</v>
      </c>
      <c r="O44" s="564">
        <v>1.5</v>
      </c>
      <c r="P44" s="498">
        <v>0</v>
      </c>
      <c r="Q44" s="518"/>
      <c r="R44" s="497">
        <v>2</v>
      </c>
      <c r="S44" s="518">
        <v>1</v>
      </c>
      <c r="T44" s="564">
        <v>1.5</v>
      </c>
      <c r="U44" s="519">
        <v>1</v>
      </c>
    </row>
    <row r="45" spans="1:21" ht="14.4" customHeight="1" x14ac:dyDescent="0.3">
      <c r="A45" s="496">
        <v>28</v>
      </c>
      <c r="B45" s="497" t="s">
        <v>484</v>
      </c>
      <c r="C45" s="497" t="s">
        <v>486</v>
      </c>
      <c r="D45" s="562" t="s">
        <v>647</v>
      </c>
      <c r="E45" s="563" t="s">
        <v>492</v>
      </c>
      <c r="F45" s="497" t="s">
        <v>485</v>
      </c>
      <c r="G45" s="497" t="s">
        <v>625</v>
      </c>
      <c r="H45" s="497" t="s">
        <v>447</v>
      </c>
      <c r="I45" s="497" t="s">
        <v>626</v>
      </c>
      <c r="J45" s="497" t="s">
        <v>627</v>
      </c>
      <c r="K45" s="497" t="s">
        <v>628</v>
      </c>
      <c r="L45" s="498">
        <v>0</v>
      </c>
      <c r="M45" s="498">
        <v>0</v>
      </c>
      <c r="N45" s="497">
        <v>1</v>
      </c>
      <c r="O45" s="564">
        <v>0.5</v>
      </c>
      <c r="P45" s="498">
        <v>0</v>
      </c>
      <c r="Q45" s="518"/>
      <c r="R45" s="497">
        <v>1</v>
      </c>
      <c r="S45" s="518">
        <v>1</v>
      </c>
      <c r="T45" s="564">
        <v>0.5</v>
      </c>
      <c r="U45" s="519">
        <v>1</v>
      </c>
    </row>
    <row r="46" spans="1:21" ht="14.4" customHeight="1" x14ac:dyDescent="0.3">
      <c r="A46" s="496">
        <v>28</v>
      </c>
      <c r="B46" s="497" t="s">
        <v>484</v>
      </c>
      <c r="C46" s="497" t="s">
        <v>486</v>
      </c>
      <c r="D46" s="562" t="s">
        <v>647</v>
      </c>
      <c r="E46" s="563" t="s">
        <v>492</v>
      </c>
      <c r="F46" s="497" t="s">
        <v>485</v>
      </c>
      <c r="G46" s="497" t="s">
        <v>556</v>
      </c>
      <c r="H46" s="497" t="s">
        <v>648</v>
      </c>
      <c r="I46" s="497" t="s">
        <v>629</v>
      </c>
      <c r="J46" s="497" t="s">
        <v>630</v>
      </c>
      <c r="K46" s="497" t="s">
        <v>559</v>
      </c>
      <c r="L46" s="498">
        <v>0</v>
      </c>
      <c r="M46" s="498">
        <v>0</v>
      </c>
      <c r="N46" s="497">
        <v>1</v>
      </c>
      <c r="O46" s="564">
        <v>0.5</v>
      </c>
      <c r="P46" s="498">
        <v>0</v>
      </c>
      <c r="Q46" s="518"/>
      <c r="R46" s="497">
        <v>1</v>
      </c>
      <c r="S46" s="518">
        <v>1</v>
      </c>
      <c r="T46" s="564">
        <v>0.5</v>
      </c>
      <c r="U46" s="519">
        <v>1</v>
      </c>
    </row>
    <row r="47" spans="1:21" ht="14.4" customHeight="1" x14ac:dyDescent="0.3">
      <c r="A47" s="496">
        <v>28</v>
      </c>
      <c r="B47" s="497" t="s">
        <v>484</v>
      </c>
      <c r="C47" s="497" t="s">
        <v>486</v>
      </c>
      <c r="D47" s="562" t="s">
        <v>647</v>
      </c>
      <c r="E47" s="563" t="s">
        <v>493</v>
      </c>
      <c r="F47" s="497" t="s">
        <v>485</v>
      </c>
      <c r="G47" s="497" t="s">
        <v>574</v>
      </c>
      <c r="H47" s="497" t="s">
        <v>648</v>
      </c>
      <c r="I47" s="497" t="s">
        <v>631</v>
      </c>
      <c r="J47" s="497" t="s">
        <v>632</v>
      </c>
      <c r="K47" s="497" t="s">
        <v>633</v>
      </c>
      <c r="L47" s="498">
        <v>149.52000000000001</v>
      </c>
      <c r="M47" s="498">
        <v>149.52000000000001</v>
      </c>
      <c r="N47" s="497">
        <v>1</v>
      </c>
      <c r="O47" s="564">
        <v>1</v>
      </c>
      <c r="P47" s="498">
        <v>149.52000000000001</v>
      </c>
      <c r="Q47" s="518">
        <v>1</v>
      </c>
      <c r="R47" s="497">
        <v>1</v>
      </c>
      <c r="S47" s="518">
        <v>1</v>
      </c>
      <c r="T47" s="564">
        <v>1</v>
      </c>
      <c r="U47" s="519">
        <v>1</v>
      </c>
    </row>
    <row r="48" spans="1:21" ht="14.4" customHeight="1" x14ac:dyDescent="0.3">
      <c r="A48" s="496">
        <v>28</v>
      </c>
      <c r="B48" s="497" t="s">
        <v>484</v>
      </c>
      <c r="C48" s="497" t="s">
        <v>486</v>
      </c>
      <c r="D48" s="562" t="s">
        <v>647</v>
      </c>
      <c r="E48" s="563" t="s">
        <v>493</v>
      </c>
      <c r="F48" s="497" t="s">
        <v>485</v>
      </c>
      <c r="G48" s="497" t="s">
        <v>578</v>
      </c>
      <c r="H48" s="497" t="s">
        <v>648</v>
      </c>
      <c r="I48" s="497" t="s">
        <v>634</v>
      </c>
      <c r="J48" s="497" t="s">
        <v>580</v>
      </c>
      <c r="K48" s="497" t="s">
        <v>635</v>
      </c>
      <c r="L48" s="498">
        <v>141.09</v>
      </c>
      <c r="M48" s="498">
        <v>141.09</v>
      </c>
      <c r="N48" s="497">
        <v>1</v>
      </c>
      <c r="O48" s="564">
        <v>1</v>
      </c>
      <c r="P48" s="498">
        <v>141.09</v>
      </c>
      <c r="Q48" s="518">
        <v>1</v>
      </c>
      <c r="R48" s="497">
        <v>1</v>
      </c>
      <c r="S48" s="518">
        <v>1</v>
      </c>
      <c r="T48" s="564">
        <v>1</v>
      </c>
      <c r="U48" s="519">
        <v>1</v>
      </c>
    </row>
    <row r="49" spans="1:21" ht="14.4" customHeight="1" x14ac:dyDescent="0.3">
      <c r="A49" s="496">
        <v>28</v>
      </c>
      <c r="B49" s="497" t="s">
        <v>484</v>
      </c>
      <c r="C49" s="497" t="s">
        <v>486</v>
      </c>
      <c r="D49" s="562" t="s">
        <v>647</v>
      </c>
      <c r="E49" s="563" t="s">
        <v>493</v>
      </c>
      <c r="F49" s="497" t="s">
        <v>485</v>
      </c>
      <c r="G49" s="497" t="s">
        <v>586</v>
      </c>
      <c r="H49" s="497" t="s">
        <v>648</v>
      </c>
      <c r="I49" s="497" t="s">
        <v>636</v>
      </c>
      <c r="J49" s="497" t="s">
        <v>637</v>
      </c>
      <c r="K49" s="497" t="s">
        <v>638</v>
      </c>
      <c r="L49" s="498">
        <v>115.26</v>
      </c>
      <c r="M49" s="498">
        <v>230.52</v>
      </c>
      <c r="N49" s="497">
        <v>2</v>
      </c>
      <c r="O49" s="564">
        <v>2</v>
      </c>
      <c r="P49" s="498">
        <v>230.52</v>
      </c>
      <c r="Q49" s="518">
        <v>1</v>
      </c>
      <c r="R49" s="497">
        <v>2</v>
      </c>
      <c r="S49" s="518">
        <v>1</v>
      </c>
      <c r="T49" s="564">
        <v>2</v>
      </c>
      <c r="U49" s="519">
        <v>1</v>
      </c>
    </row>
    <row r="50" spans="1:21" ht="14.4" customHeight="1" x14ac:dyDescent="0.3">
      <c r="A50" s="496">
        <v>28</v>
      </c>
      <c r="B50" s="497" t="s">
        <v>484</v>
      </c>
      <c r="C50" s="497" t="s">
        <v>486</v>
      </c>
      <c r="D50" s="562" t="s">
        <v>647</v>
      </c>
      <c r="E50" s="563" t="s">
        <v>493</v>
      </c>
      <c r="F50" s="497" t="s">
        <v>485</v>
      </c>
      <c r="G50" s="497" t="s">
        <v>639</v>
      </c>
      <c r="H50" s="497" t="s">
        <v>447</v>
      </c>
      <c r="I50" s="497" t="s">
        <v>640</v>
      </c>
      <c r="J50" s="497" t="s">
        <v>641</v>
      </c>
      <c r="K50" s="497" t="s">
        <v>642</v>
      </c>
      <c r="L50" s="498">
        <v>1226.51</v>
      </c>
      <c r="M50" s="498">
        <v>1226.51</v>
      </c>
      <c r="N50" s="497">
        <v>1</v>
      </c>
      <c r="O50" s="564">
        <v>1</v>
      </c>
      <c r="P50" s="498">
        <v>1226.51</v>
      </c>
      <c r="Q50" s="518">
        <v>1</v>
      </c>
      <c r="R50" s="497">
        <v>1</v>
      </c>
      <c r="S50" s="518">
        <v>1</v>
      </c>
      <c r="T50" s="564">
        <v>1</v>
      </c>
      <c r="U50" s="519">
        <v>1</v>
      </c>
    </row>
    <row r="51" spans="1:21" ht="14.4" customHeight="1" x14ac:dyDescent="0.3">
      <c r="A51" s="496">
        <v>28</v>
      </c>
      <c r="B51" s="497" t="s">
        <v>484</v>
      </c>
      <c r="C51" s="497" t="s">
        <v>486</v>
      </c>
      <c r="D51" s="562" t="s">
        <v>647</v>
      </c>
      <c r="E51" s="563" t="s">
        <v>493</v>
      </c>
      <c r="F51" s="497" t="s">
        <v>485</v>
      </c>
      <c r="G51" s="497" t="s">
        <v>643</v>
      </c>
      <c r="H51" s="497" t="s">
        <v>447</v>
      </c>
      <c r="I51" s="497" t="s">
        <v>644</v>
      </c>
      <c r="J51" s="497" t="s">
        <v>645</v>
      </c>
      <c r="K51" s="497" t="s">
        <v>646</v>
      </c>
      <c r="L51" s="498">
        <v>61.97</v>
      </c>
      <c r="M51" s="498">
        <v>61.97</v>
      </c>
      <c r="N51" s="497">
        <v>1</v>
      </c>
      <c r="O51" s="564">
        <v>1</v>
      </c>
      <c r="P51" s="498">
        <v>61.97</v>
      </c>
      <c r="Q51" s="518">
        <v>1</v>
      </c>
      <c r="R51" s="497">
        <v>1</v>
      </c>
      <c r="S51" s="518">
        <v>1</v>
      </c>
      <c r="T51" s="564">
        <v>1</v>
      </c>
      <c r="U51" s="519">
        <v>1</v>
      </c>
    </row>
    <row r="52" spans="1:21" ht="14.4" customHeight="1" thickBot="1" x14ac:dyDescent="0.35">
      <c r="A52" s="503">
        <v>28</v>
      </c>
      <c r="B52" s="504" t="s">
        <v>484</v>
      </c>
      <c r="C52" s="504" t="s">
        <v>486</v>
      </c>
      <c r="D52" s="565" t="s">
        <v>647</v>
      </c>
      <c r="E52" s="566" t="s">
        <v>493</v>
      </c>
      <c r="F52" s="504" t="s">
        <v>485</v>
      </c>
      <c r="G52" s="504" t="s">
        <v>546</v>
      </c>
      <c r="H52" s="504" t="s">
        <v>447</v>
      </c>
      <c r="I52" s="504" t="s">
        <v>547</v>
      </c>
      <c r="J52" s="504" t="s">
        <v>548</v>
      </c>
      <c r="K52" s="504" t="s">
        <v>549</v>
      </c>
      <c r="L52" s="505">
        <v>68.819999999999993</v>
      </c>
      <c r="M52" s="505">
        <v>137.63999999999999</v>
      </c>
      <c r="N52" s="504">
        <v>2</v>
      </c>
      <c r="O52" s="567">
        <v>1</v>
      </c>
      <c r="P52" s="505">
        <v>137.63999999999999</v>
      </c>
      <c r="Q52" s="520">
        <v>1</v>
      </c>
      <c r="R52" s="504">
        <v>2</v>
      </c>
      <c r="S52" s="520">
        <v>1</v>
      </c>
      <c r="T52" s="567">
        <v>1</v>
      </c>
      <c r="U52" s="52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94" t="s">
        <v>650</v>
      </c>
      <c r="B1" s="395"/>
      <c r="C1" s="395"/>
      <c r="D1" s="395"/>
      <c r="E1" s="395"/>
      <c r="F1" s="395"/>
    </row>
    <row r="2" spans="1:6" ht="14.4" customHeight="1" thickBot="1" x14ac:dyDescent="0.35">
      <c r="A2" s="235" t="s">
        <v>258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96" t="s">
        <v>130</v>
      </c>
      <c r="C3" s="397"/>
      <c r="D3" s="398" t="s">
        <v>129</v>
      </c>
      <c r="E3" s="397"/>
      <c r="F3" s="80" t="s">
        <v>3</v>
      </c>
    </row>
    <row r="4" spans="1:6" ht="14.4" customHeight="1" thickBot="1" x14ac:dyDescent="0.35">
      <c r="A4" s="568" t="s">
        <v>161</v>
      </c>
      <c r="B4" s="569" t="s">
        <v>14</v>
      </c>
      <c r="C4" s="570" t="s">
        <v>2</v>
      </c>
      <c r="D4" s="569" t="s">
        <v>14</v>
      </c>
      <c r="E4" s="570" t="s">
        <v>2</v>
      </c>
      <c r="F4" s="571" t="s">
        <v>14</v>
      </c>
    </row>
    <row r="5" spans="1:6" ht="14.4" customHeight="1" x14ac:dyDescent="0.3">
      <c r="A5" s="580" t="s">
        <v>496</v>
      </c>
      <c r="B5" s="116">
        <v>341.04</v>
      </c>
      <c r="C5" s="561">
        <v>0.3000131955135254</v>
      </c>
      <c r="D5" s="116">
        <v>795.71</v>
      </c>
      <c r="E5" s="561">
        <v>0.69998680448647466</v>
      </c>
      <c r="F5" s="572">
        <v>1136.75</v>
      </c>
    </row>
    <row r="6" spans="1:6" ht="14.4" customHeight="1" x14ac:dyDescent="0.3">
      <c r="A6" s="581" t="s">
        <v>494</v>
      </c>
      <c r="B6" s="501">
        <v>0</v>
      </c>
      <c r="C6" s="518">
        <v>0</v>
      </c>
      <c r="D6" s="501">
        <v>207.45</v>
      </c>
      <c r="E6" s="518">
        <v>1</v>
      </c>
      <c r="F6" s="502">
        <v>207.45</v>
      </c>
    </row>
    <row r="7" spans="1:6" ht="14.4" customHeight="1" x14ac:dyDescent="0.3">
      <c r="A7" s="581" t="s">
        <v>493</v>
      </c>
      <c r="B7" s="501"/>
      <c r="C7" s="518">
        <v>0</v>
      </c>
      <c r="D7" s="501">
        <v>521.13</v>
      </c>
      <c r="E7" s="518">
        <v>1</v>
      </c>
      <c r="F7" s="502">
        <v>521.13</v>
      </c>
    </row>
    <row r="8" spans="1:6" ht="14.4" customHeight="1" thickBot="1" x14ac:dyDescent="0.35">
      <c r="A8" s="582" t="s">
        <v>492</v>
      </c>
      <c r="B8" s="573"/>
      <c r="C8" s="574"/>
      <c r="D8" s="573">
        <v>0</v>
      </c>
      <c r="E8" s="574"/>
      <c r="F8" s="575">
        <v>0</v>
      </c>
    </row>
    <row r="9" spans="1:6" ht="14.4" customHeight="1" thickBot="1" x14ac:dyDescent="0.35">
      <c r="A9" s="576" t="s">
        <v>3</v>
      </c>
      <c r="B9" s="577">
        <v>341.04</v>
      </c>
      <c r="C9" s="578">
        <v>0.18283091999807005</v>
      </c>
      <c r="D9" s="577">
        <v>1524.29</v>
      </c>
      <c r="E9" s="578">
        <v>0.81716908000193</v>
      </c>
      <c r="F9" s="579">
        <v>1865.33</v>
      </c>
    </row>
    <row r="10" spans="1:6" ht="14.4" customHeight="1" thickBot="1" x14ac:dyDescent="0.35"/>
    <row r="11" spans="1:6" ht="14.4" customHeight="1" x14ac:dyDescent="0.3">
      <c r="A11" s="580" t="s">
        <v>651</v>
      </c>
      <c r="B11" s="116">
        <v>341.04</v>
      </c>
      <c r="C11" s="561">
        <v>1</v>
      </c>
      <c r="D11" s="116"/>
      <c r="E11" s="561">
        <v>0</v>
      </c>
      <c r="F11" s="572">
        <v>341.04</v>
      </c>
    </row>
    <row r="12" spans="1:6" ht="14.4" customHeight="1" x14ac:dyDescent="0.3">
      <c r="A12" s="581" t="s">
        <v>652</v>
      </c>
      <c r="B12" s="501"/>
      <c r="C12" s="518">
        <v>0</v>
      </c>
      <c r="D12" s="501">
        <v>63.75</v>
      </c>
      <c r="E12" s="518">
        <v>1</v>
      </c>
      <c r="F12" s="502">
        <v>63.75</v>
      </c>
    </row>
    <row r="13" spans="1:6" ht="14.4" customHeight="1" x14ac:dyDescent="0.3">
      <c r="A13" s="581" t="s">
        <v>653</v>
      </c>
      <c r="B13" s="501"/>
      <c r="C13" s="518">
        <v>0</v>
      </c>
      <c r="D13" s="501">
        <v>458.24</v>
      </c>
      <c r="E13" s="518">
        <v>1</v>
      </c>
      <c r="F13" s="502">
        <v>458.24</v>
      </c>
    </row>
    <row r="14" spans="1:6" ht="14.4" customHeight="1" x14ac:dyDescent="0.3">
      <c r="A14" s="581" t="s">
        <v>654</v>
      </c>
      <c r="B14" s="501"/>
      <c r="C14" s="518">
        <v>0</v>
      </c>
      <c r="D14" s="501">
        <v>207.45</v>
      </c>
      <c r="E14" s="518">
        <v>1</v>
      </c>
      <c r="F14" s="502">
        <v>207.45</v>
      </c>
    </row>
    <row r="15" spans="1:6" ht="14.4" customHeight="1" x14ac:dyDescent="0.3">
      <c r="A15" s="581" t="s">
        <v>655</v>
      </c>
      <c r="B15" s="501"/>
      <c r="C15" s="518">
        <v>0</v>
      </c>
      <c r="D15" s="501">
        <v>230.52</v>
      </c>
      <c r="E15" s="518">
        <v>1</v>
      </c>
      <c r="F15" s="502">
        <v>230.52</v>
      </c>
    </row>
    <row r="16" spans="1:6" ht="14.4" customHeight="1" x14ac:dyDescent="0.3">
      <c r="A16" s="581" t="s">
        <v>656</v>
      </c>
      <c r="B16" s="501"/>
      <c r="C16" s="518">
        <v>0</v>
      </c>
      <c r="D16" s="501">
        <v>564.33000000000004</v>
      </c>
      <c r="E16" s="518">
        <v>1</v>
      </c>
      <c r="F16" s="502">
        <v>564.33000000000004</v>
      </c>
    </row>
    <row r="17" spans="1:6" ht="14.4" customHeight="1" thickBot="1" x14ac:dyDescent="0.35">
      <c r="A17" s="582" t="s">
        <v>657</v>
      </c>
      <c r="B17" s="573">
        <v>0</v>
      </c>
      <c r="C17" s="574"/>
      <c r="D17" s="573">
        <v>0</v>
      </c>
      <c r="E17" s="574"/>
      <c r="F17" s="575">
        <v>0</v>
      </c>
    </row>
    <row r="18" spans="1:6" ht="14.4" customHeight="1" thickBot="1" x14ac:dyDescent="0.35">
      <c r="A18" s="576" t="s">
        <v>3</v>
      </c>
      <c r="B18" s="577">
        <v>341.04</v>
      </c>
      <c r="C18" s="578">
        <v>0.18283091999807005</v>
      </c>
      <c r="D18" s="577">
        <v>1524.2900000000002</v>
      </c>
      <c r="E18" s="578">
        <v>0.81716908000193</v>
      </c>
      <c r="F18" s="579">
        <v>1865.3300000000002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{1C4A46A1-7C80-4C26-9145-90F53AEBE4B7}</x14:id>
        </ext>
      </extLst>
    </cfRule>
  </conditionalFormatting>
  <conditionalFormatting sqref="F11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{78CCE6C9-3192-455E-8544-704D5BA263FA}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4A46A1-7C80-4C26-9145-90F53AEBE4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78CCE6C9-3192-455E-8544-704D5BA263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95" t="s">
        <v>665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56"/>
      <c r="M1" s="356"/>
    </row>
    <row r="2" spans="1:13" ht="14.4" customHeight="1" thickBot="1" x14ac:dyDescent="0.35">
      <c r="A2" s="235" t="s">
        <v>258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3</v>
      </c>
      <c r="G3" s="43">
        <f>SUBTOTAL(9,G6:G1048576)</f>
        <v>341.04</v>
      </c>
      <c r="H3" s="44">
        <f>IF(M3=0,0,G3/M3)</f>
        <v>0.18283091999807005</v>
      </c>
      <c r="I3" s="43">
        <f>SUBTOTAL(9,I6:I1048576)</f>
        <v>15</v>
      </c>
      <c r="J3" s="43">
        <f>SUBTOTAL(9,J6:J1048576)</f>
        <v>1524.29</v>
      </c>
      <c r="K3" s="44">
        <f>IF(M3=0,0,J3/M3)</f>
        <v>0.81716908000193</v>
      </c>
      <c r="L3" s="43">
        <f>SUBTOTAL(9,L6:L1048576)</f>
        <v>18</v>
      </c>
      <c r="M3" s="45">
        <f>SUBTOTAL(9,M6:M1048576)</f>
        <v>1865.33</v>
      </c>
    </row>
    <row r="4" spans="1:13" ht="14.4" customHeight="1" thickBot="1" x14ac:dyDescent="0.35">
      <c r="A4" s="41"/>
      <c r="B4" s="41"/>
      <c r="C4" s="41"/>
      <c r="D4" s="41"/>
      <c r="E4" s="42"/>
      <c r="F4" s="399" t="s">
        <v>130</v>
      </c>
      <c r="G4" s="400"/>
      <c r="H4" s="401"/>
      <c r="I4" s="402" t="s">
        <v>129</v>
      </c>
      <c r="J4" s="400"/>
      <c r="K4" s="401"/>
      <c r="L4" s="403" t="s">
        <v>3</v>
      </c>
      <c r="M4" s="404"/>
    </row>
    <row r="5" spans="1:13" ht="14.4" customHeight="1" thickBot="1" x14ac:dyDescent="0.35">
      <c r="A5" s="568" t="s">
        <v>135</v>
      </c>
      <c r="B5" s="584" t="s">
        <v>131</v>
      </c>
      <c r="C5" s="584" t="s">
        <v>71</v>
      </c>
      <c r="D5" s="584" t="s">
        <v>132</v>
      </c>
      <c r="E5" s="584" t="s">
        <v>133</v>
      </c>
      <c r="F5" s="585" t="s">
        <v>28</v>
      </c>
      <c r="G5" s="585" t="s">
        <v>14</v>
      </c>
      <c r="H5" s="570" t="s">
        <v>134</v>
      </c>
      <c r="I5" s="569" t="s">
        <v>28</v>
      </c>
      <c r="J5" s="585" t="s">
        <v>14</v>
      </c>
      <c r="K5" s="570" t="s">
        <v>134</v>
      </c>
      <c r="L5" s="569" t="s">
        <v>28</v>
      </c>
      <c r="M5" s="586" t="s">
        <v>14</v>
      </c>
    </row>
    <row r="6" spans="1:13" ht="14.4" customHeight="1" x14ac:dyDescent="0.3">
      <c r="A6" s="555" t="s">
        <v>492</v>
      </c>
      <c r="B6" s="556" t="s">
        <v>658</v>
      </c>
      <c r="C6" s="556" t="s">
        <v>629</v>
      </c>
      <c r="D6" s="556" t="s">
        <v>630</v>
      </c>
      <c r="E6" s="556" t="s">
        <v>559</v>
      </c>
      <c r="F6" s="116"/>
      <c r="G6" s="116"/>
      <c r="H6" s="561"/>
      <c r="I6" s="116">
        <v>1</v>
      </c>
      <c r="J6" s="116">
        <v>0</v>
      </c>
      <c r="K6" s="561"/>
      <c r="L6" s="116">
        <v>1</v>
      </c>
      <c r="M6" s="572">
        <v>0</v>
      </c>
    </row>
    <row r="7" spans="1:13" ht="14.4" customHeight="1" x14ac:dyDescent="0.3">
      <c r="A7" s="496" t="s">
        <v>493</v>
      </c>
      <c r="B7" s="497" t="s">
        <v>659</v>
      </c>
      <c r="C7" s="497" t="s">
        <v>631</v>
      </c>
      <c r="D7" s="497" t="s">
        <v>632</v>
      </c>
      <c r="E7" s="497" t="s">
        <v>633</v>
      </c>
      <c r="F7" s="501"/>
      <c r="G7" s="501"/>
      <c r="H7" s="518">
        <v>0</v>
      </c>
      <c r="I7" s="501">
        <v>1</v>
      </c>
      <c r="J7" s="501">
        <v>149.52000000000001</v>
      </c>
      <c r="K7" s="518">
        <v>1</v>
      </c>
      <c r="L7" s="501">
        <v>1</v>
      </c>
      <c r="M7" s="502">
        <v>149.52000000000001</v>
      </c>
    </row>
    <row r="8" spans="1:13" ht="14.4" customHeight="1" x14ac:dyDescent="0.3">
      <c r="A8" s="496" t="s">
        <v>493</v>
      </c>
      <c r="B8" s="497" t="s">
        <v>660</v>
      </c>
      <c r="C8" s="497" t="s">
        <v>634</v>
      </c>
      <c r="D8" s="497" t="s">
        <v>580</v>
      </c>
      <c r="E8" s="497" t="s">
        <v>635</v>
      </c>
      <c r="F8" s="501"/>
      <c r="G8" s="501"/>
      <c r="H8" s="518">
        <v>0</v>
      </c>
      <c r="I8" s="501">
        <v>1</v>
      </c>
      <c r="J8" s="501">
        <v>141.09</v>
      </c>
      <c r="K8" s="518">
        <v>1</v>
      </c>
      <c r="L8" s="501">
        <v>1</v>
      </c>
      <c r="M8" s="502">
        <v>141.09</v>
      </c>
    </row>
    <row r="9" spans="1:13" ht="14.4" customHeight="1" x14ac:dyDescent="0.3">
      <c r="A9" s="496" t="s">
        <v>493</v>
      </c>
      <c r="B9" s="497" t="s">
        <v>661</v>
      </c>
      <c r="C9" s="497" t="s">
        <v>636</v>
      </c>
      <c r="D9" s="497" t="s">
        <v>637</v>
      </c>
      <c r="E9" s="497" t="s">
        <v>638</v>
      </c>
      <c r="F9" s="501"/>
      <c r="G9" s="501"/>
      <c r="H9" s="518">
        <v>0</v>
      </c>
      <c r="I9" s="501">
        <v>2</v>
      </c>
      <c r="J9" s="501">
        <v>230.52</v>
      </c>
      <c r="K9" s="518">
        <v>1</v>
      </c>
      <c r="L9" s="501">
        <v>2</v>
      </c>
      <c r="M9" s="502">
        <v>230.52</v>
      </c>
    </row>
    <row r="10" spans="1:13" ht="14.4" customHeight="1" x14ac:dyDescent="0.3">
      <c r="A10" s="496" t="s">
        <v>494</v>
      </c>
      <c r="B10" s="497" t="s">
        <v>658</v>
      </c>
      <c r="C10" s="497" t="s">
        <v>557</v>
      </c>
      <c r="D10" s="497" t="s">
        <v>558</v>
      </c>
      <c r="E10" s="497" t="s">
        <v>559</v>
      </c>
      <c r="F10" s="501">
        <v>1</v>
      </c>
      <c r="G10" s="501">
        <v>0</v>
      </c>
      <c r="H10" s="518"/>
      <c r="I10" s="501"/>
      <c r="J10" s="501"/>
      <c r="K10" s="518"/>
      <c r="L10" s="501">
        <v>1</v>
      </c>
      <c r="M10" s="502">
        <v>0</v>
      </c>
    </row>
    <row r="11" spans="1:13" ht="14.4" customHeight="1" x14ac:dyDescent="0.3">
      <c r="A11" s="496" t="s">
        <v>494</v>
      </c>
      <c r="B11" s="497" t="s">
        <v>662</v>
      </c>
      <c r="C11" s="497" t="s">
        <v>511</v>
      </c>
      <c r="D11" s="497" t="s">
        <v>512</v>
      </c>
      <c r="E11" s="497" t="s">
        <v>513</v>
      </c>
      <c r="F11" s="501"/>
      <c r="G11" s="501"/>
      <c r="H11" s="518">
        <v>0</v>
      </c>
      <c r="I11" s="501">
        <v>1</v>
      </c>
      <c r="J11" s="501">
        <v>207.45</v>
      </c>
      <c r="K11" s="518">
        <v>1</v>
      </c>
      <c r="L11" s="501">
        <v>1</v>
      </c>
      <c r="M11" s="502">
        <v>207.45</v>
      </c>
    </row>
    <row r="12" spans="1:13" ht="14.4" customHeight="1" x14ac:dyDescent="0.3">
      <c r="A12" s="496" t="s">
        <v>496</v>
      </c>
      <c r="B12" s="497" t="s">
        <v>659</v>
      </c>
      <c r="C12" s="497" t="s">
        <v>575</v>
      </c>
      <c r="D12" s="497" t="s">
        <v>576</v>
      </c>
      <c r="E12" s="497" t="s">
        <v>577</v>
      </c>
      <c r="F12" s="501"/>
      <c r="G12" s="501"/>
      <c r="H12" s="518">
        <v>0</v>
      </c>
      <c r="I12" s="501">
        <v>2</v>
      </c>
      <c r="J12" s="501">
        <v>308.72000000000003</v>
      </c>
      <c r="K12" s="518">
        <v>1</v>
      </c>
      <c r="L12" s="501">
        <v>2</v>
      </c>
      <c r="M12" s="502">
        <v>308.72000000000003</v>
      </c>
    </row>
    <row r="13" spans="1:13" ht="14.4" customHeight="1" x14ac:dyDescent="0.3">
      <c r="A13" s="496" t="s">
        <v>496</v>
      </c>
      <c r="B13" s="497" t="s">
        <v>663</v>
      </c>
      <c r="C13" s="497" t="s">
        <v>583</v>
      </c>
      <c r="D13" s="497" t="s">
        <v>584</v>
      </c>
      <c r="E13" s="497" t="s">
        <v>585</v>
      </c>
      <c r="F13" s="501">
        <v>2</v>
      </c>
      <c r="G13" s="501">
        <v>341.04</v>
      </c>
      <c r="H13" s="518">
        <v>1</v>
      </c>
      <c r="I13" s="501"/>
      <c r="J13" s="501"/>
      <c r="K13" s="518">
        <v>0</v>
      </c>
      <c r="L13" s="501">
        <v>2</v>
      </c>
      <c r="M13" s="502">
        <v>341.04</v>
      </c>
    </row>
    <row r="14" spans="1:13" ht="14.4" customHeight="1" x14ac:dyDescent="0.3">
      <c r="A14" s="496" t="s">
        <v>496</v>
      </c>
      <c r="B14" s="497" t="s">
        <v>660</v>
      </c>
      <c r="C14" s="497" t="s">
        <v>579</v>
      </c>
      <c r="D14" s="497" t="s">
        <v>580</v>
      </c>
      <c r="E14" s="497" t="s">
        <v>581</v>
      </c>
      <c r="F14" s="501"/>
      <c r="G14" s="501"/>
      <c r="H14" s="518">
        <v>0</v>
      </c>
      <c r="I14" s="501">
        <v>6</v>
      </c>
      <c r="J14" s="501">
        <v>423.24</v>
      </c>
      <c r="K14" s="518">
        <v>1</v>
      </c>
      <c r="L14" s="501">
        <v>6</v>
      </c>
      <c r="M14" s="502">
        <v>423.24</v>
      </c>
    </row>
    <row r="15" spans="1:13" ht="14.4" customHeight="1" thickBot="1" x14ac:dyDescent="0.35">
      <c r="A15" s="503" t="s">
        <v>496</v>
      </c>
      <c r="B15" s="504" t="s">
        <v>664</v>
      </c>
      <c r="C15" s="504" t="s">
        <v>618</v>
      </c>
      <c r="D15" s="504" t="s">
        <v>619</v>
      </c>
      <c r="E15" s="504" t="s">
        <v>620</v>
      </c>
      <c r="F15" s="508"/>
      <c r="G15" s="508"/>
      <c r="H15" s="520">
        <v>0</v>
      </c>
      <c r="I15" s="508">
        <v>1</v>
      </c>
      <c r="J15" s="508">
        <v>63.75</v>
      </c>
      <c r="K15" s="520">
        <v>1</v>
      </c>
      <c r="L15" s="508">
        <v>1</v>
      </c>
      <c r="M15" s="509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6" t="s">
        <v>139</v>
      </c>
      <c r="B1" s="387"/>
      <c r="C1" s="387"/>
      <c r="D1" s="387"/>
      <c r="E1" s="387"/>
      <c r="F1" s="387"/>
      <c r="G1" s="357"/>
      <c r="H1" s="388"/>
      <c r="I1" s="388"/>
    </row>
    <row r="2" spans="1:10" ht="14.4" customHeight="1" thickBot="1" x14ac:dyDescent="0.35">
      <c r="A2" s="235" t="s">
        <v>258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5"/>
      <c r="C3" s="289">
        <v>2015</v>
      </c>
      <c r="D3" s="290">
        <v>2016</v>
      </c>
      <c r="E3" s="7"/>
      <c r="F3" s="365">
        <v>2017</v>
      </c>
      <c r="G3" s="383"/>
      <c r="H3" s="383"/>
      <c r="I3" s="366"/>
    </row>
    <row r="4" spans="1:10" ht="14.4" customHeight="1" thickBot="1" x14ac:dyDescent="0.35">
      <c r="A4" s="294" t="s">
        <v>0</v>
      </c>
      <c r="B4" s="295" t="s">
        <v>204</v>
      </c>
      <c r="C4" s="384" t="s">
        <v>73</v>
      </c>
      <c r="D4" s="385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8" t="s">
        <v>445</v>
      </c>
      <c r="B5" s="479" t="s">
        <v>446</v>
      </c>
      <c r="C5" s="480" t="s">
        <v>447</v>
      </c>
      <c r="D5" s="480" t="s">
        <v>447</v>
      </c>
      <c r="E5" s="480"/>
      <c r="F5" s="480" t="s">
        <v>447</v>
      </c>
      <c r="G5" s="480" t="s">
        <v>447</v>
      </c>
      <c r="H5" s="480" t="s">
        <v>447</v>
      </c>
      <c r="I5" s="481" t="s">
        <v>447</v>
      </c>
      <c r="J5" s="482" t="s">
        <v>69</v>
      </c>
    </row>
    <row r="6" spans="1:10" ht="14.4" customHeight="1" x14ac:dyDescent="0.3">
      <c r="A6" s="478" t="s">
        <v>445</v>
      </c>
      <c r="B6" s="479" t="s">
        <v>666</v>
      </c>
      <c r="C6" s="480">
        <v>827.08562999999981</v>
      </c>
      <c r="D6" s="480">
        <v>1749.8815799999995</v>
      </c>
      <c r="E6" s="480"/>
      <c r="F6" s="480">
        <v>1842.7615600000001</v>
      </c>
      <c r="G6" s="480">
        <v>2099.933</v>
      </c>
      <c r="H6" s="480">
        <v>-257.17143999999985</v>
      </c>
      <c r="I6" s="481">
        <v>0.87753350225935789</v>
      </c>
      <c r="J6" s="482" t="s">
        <v>1</v>
      </c>
    </row>
    <row r="7" spans="1:10" ht="14.4" customHeight="1" x14ac:dyDescent="0.3">
      <c r="A7" s="478" t="s">
        <v>445</v>
      </c>
      <c r="B7" s="479" t="s">
        <v>667</v>
      </c>
      <c r="C7" s="480">
        <v>163.4776</v>
      </c>
      <c r="D7" s="480">
        <v>78.859499999999997</v>
      </c>
      <c r="E7" s="480"/>
      <c r="F7" s="480">
        <v>190.74561999999992</v>
      </c>
      <c r="G7" s="480">
        <v>174.81177325439452</v>
      </c>
      <c r="H7" s="480">
        <v>15.933846745605393</v>
      </c>
      <c r="I7" s="481">
        <v>1.0911485905609899</v>
      </c>
      <c r="J7" s="482" t="s">
        <v>1</v>
      </c>
    </row>
    <row r="8" spans="1:10" ht="14.4" customHeight="1" x14ac:dyDescent="0.3">
      <c r="A8" s="478" t="s">
        <v>445</v>
      </c>
      <c r="B8" s="479" t="s">
        <v>668</v>
      </c>
      <c r="C8" s="480">
        <v>4.2912599999999994</v>
      </c>
      <c r="D8" s="480">
        <v>3.9062299999999999</v>
      </c>
      <c r="E8" s="480"/>
      <c r="F8" s="480">
        <v>5.7598000000000003</v>
      </c>
      <c r="G8" s="480">
        <v>10</v>
      </c>
      <c r="H8" s="480">
        <v>-4.2401999999999997</v>
      </c>
      <c r="I8" s="481">
        <v>0.57598000000000005</v>
      </c>
      <c r="J8" s="482" t="s">
        <v>1</v>
      </c>
    </row>
    <row r="9" spans="1:10" ht="14.4" customHeight="1" x14ac:dyDescent="0.3">
      <c r="A9" s="478" t="s">
        <v>445</v>
      </c>
      <c r="B9" s="479" t="s">
        <v>669</v>
      </c>
      <c r="C9" s="480">
        <v>56.316340000000004</v>
      </c>
      <c r="D9" s="480">
        <v>51.596260000000001</v>
      </c>
      <c r="E9" s="480"/>
      <c r="F9" s="480">
        <v>98.224249999999998</v>
      </c>
      <c r="G9" s="480">
        <v>84.999996093749999</v>
      </c>
      <c r="H9" s="480">
        <v>13.224253906249999</v>
      </c>
      <c r="I9" s="481">
        <v>1.1555794648703799</v>
      </c>
      <c r="J9" s="482" t="s">
        <v>1</v>
      </c>
    </row>
    <row r="10" spans="1:10" ht="14.4" customHeight="1" x14ac:dyDescent="0.3">
      <c r="A10" s="478" t="s">
        <v>445</v>
      </c>
      <c r="B10" s="479" t="s">
        <v>670</v>
      </c>
      <c r="C10" s="480">
        <v>0</v>
      </c>
      <c r="D10" s="480">
        <v>0</v>
      </c>
      <c r="E10" s="480"/>
      <c r="F10" s="480">
        <v>0</v>
      </c>
      <c r="G10" s="480">
        <v>8.0444656372070308E-2</v>
      </c>
      <c r="H10" s="480">
        <v>-8.0444656372070308E-2</v>
      </c>
      <c r="I10" s="481">
        <v>0</v>
      </c>
      <c r="J10" s="482" t="s">
        <v>1</v>
      </c>
    </row>
    <row r="11" spans="1:10" ht="14.4" customHeight="1" x14ac:dyDescent="0.3">
      <c r="A11" s="478" t="s">
        <v>445</v>
      </c>
      <c r="B11" s="479" t="s">
        <v>671</v>
      </c>
      <c r="C11" s="480">
        <v>1.8260000000000001</v>
      </c>
      <c r="D11" s="480">
        <v>1.1760000000000002</v>
      </c>
      <c r="E11" s="480"/>
      <c r="F11" s="480">
        <v>1.6180000000000001</v>
      </c>
      <c r="G11" s="480">
        <v>2.999999938964844</v>
      </c>
      <c r="H11" s="480">
        <v>-1.3819999389648439</v>
      </c>
      <c r="I11" s="481">
        <v>0.53933334430609836</v>
      </c>
      <c r="J11" s="482" t="s">
        <v>1</v>
      </c>
    </row>
    <row r="12" spans="1:10" ht="14.4" customHeight="1" x14ac:dyDescent="0.3">
      <c r="A12" s="478" t="s">
        <v>445</v>
      </c>
      <c r="B12" s="479" t="s">
        <v>672</v>
      </c>
      <c r="C12" s="480">
        <v>6.7474000000000007</v>
      </c>
      <c r="D12" s="480">
        <v>6.0600000000000005</v>
      </c>
      <c r="E12" s="480"/>
      <c r="F12" s="480">
        <v>7.8920000000000003</v>
      </c>
      <c r="G12" s="480">
        <v>7.9999995117187499</v>
      </c>
      <c r="H12" s="480">
        <v>-0.10799951171874955</v>
      </c>
      <c r="I12" s="481">
        <v>0.98650006021118541</v>
      </c>
      <c r="J12" s="482" t="s">
        <v>1</v>
      </c>
    </row>
    <row r="13" spans="1:10" ht="14.4" customHeight="1" x14ac:dyDescent="0.3">
      <c r="A13" s="478" t="s">
        <v>445</v>
      </c>
      <c r="B13" s="479" t="s">
        <v>451</v>
      </c>
      <c r="C13" s="480">
        <v>1059.7442299999998</v>
      </c>
      <c r="D13" s="480">
        <v>1891.4795699999995</v>
      </c>
      <c r="E13" s="480"/>
      <c r="F13" s="480">
        <v>2147.0012299999999</v>
      </c>
      <c r="G13" s="480">
        <v>2380.8252134551999</v>
      </c>
      <c r="H13" s="480">
        <v>-233.82398345520005</v>
      </c>
      <c r="I13" s="481">
        <v>0.90178868144803448</v>
      </c>
      <c r="J13" s="482" t="s">
        <v>452</v>
      </c>
    </row>
    <row r="15" spans="1:10" ht="14.4" customHeight="1" x14ac:dyDescent="0.3">
      <c r="A15" s="478" t="s">
        <v>445</v>
      </c>
      <c r="B15" s="479" t="s">
        <v>446</v>
      </c>
      <c r="C15" s="480" t="s">
        <v>447</v>
      </c>
      <c r="D15" s="480" t="s">
        <v>447</v>
      </c>
      <c r="E15" s="480"/>
      <c r="F15" s="480" t="s">
        <v>447</v>
      </c>
      <c r="G15" s="480" t="s">
        <v>447</v>
      </c>
      <c r="H15" s="480" t="s">
        <v>447</v>
      </c>
      <c r="I15" s="481" t="s">
        <v>447</v>
      </c>
      <c r="J15" s="482" t="s">
        <v>69</v>
      </c>
    </row>
    <row r="16" spans="1:10" ht="14.4" customHeight="1" x14ac:dyDescent="0.3">
      <c r="A16" s="478" t="s">
        <v>453</v>
      </c>
      <c r="B16" s="479" t="s">
        <v>454</v>
      </c>
      <c r="C16" s="480" t="s">
        <v>447</v>
      </c>
      <c r="D16" s="480" t="s">
        <v>447</v>
      </c>
      <c r="E16" s="480"/>
      <c r="F16" s="480" t="s">
        <v>447</v>
      </c>
      <c r="G16" s="480" t="s">
        <v>447</v>
      </c>
      <c r="H16" s="480" t="s">
        <v>447</v>
      </c>
      <c r="I16" s="481" t="s">
        <v>447</v>
      </c>
      <c r="J16" s="482" t="s">
        <v>0</v>
      </c>
    </row>
    <row r="17" spans="1:10" ht="14.4" customHeight="1" x14ac:dyDescent="0.3">
      <c r="A17" s="478" t="s">
        <v>453</v>
      </c>
      <c r="B17" s="479" t="s">
        <v>667</v>
      </c>
      <c r="C17" s="480">
        <v>7.8891999999999998</v>
      </c>
      <c r="D17" s="480">
        <v>0</v>
      </c>
      <c r="E17" s="480"/>
      <c r="F17" s="480">
        <v>1.0224500000000001</v>
      </c>
      <c r="G17" s="480">
        <v>1</v>
      </c>
      <c r="H17" s="480">
        <v>2.2450000000000081E-2</v>
      </c>
      <c r="I17" s="481">
        <v>1.0224500000000001</v>
      </c>
      <c r="J17" s="482" t="s">
        <v>1</v>
      </c>
    </row>
    <row r="18" spans="1:10" ht="14.4" customHeight="1" x14ac:dyDescent="0.3">
      <c r="A18" s="478" t="s">
        <v>453</v>
      </c>
      <c r="B18" s="479" t="s">
        <v>668</v>
      </c>
      <c r="C18" s="480">
        <v>2.3609599999999999</v>
      </c>
      <c r="D18" s="480">
        <v>1.6986299999999999</v>
      </c>
      <c r="E18" s="480"/>
      <c r="F18" s="480">
        <v>4.3216599999999996</v>
      </c>
      <c r="G18" s="480">
        <v>5</v>
      </c>
      <c r="H18" s="480">
        <v>-0.67834000000000039</v>
      </c>
      <c r="I18" s="481">
        <v>0.86433199999999988</v>
      </c>
      <c r="J18" s="482" t="s">
        <v>1</v>
      </c>
    </row>
    <row r="19" spans="1:10" ht="14.4" customHeight="1" x14ac:dyDescent="0.3">
      <c r="A19" s="478" t="s">
        <v>453</v>
      </c>
      <c r="B19" s="479" t="s">
        <v>669</v>
      </c>
      <c r="C19" s="480">
        <v>3.3001599999999995</v>
      </c>
      <c r="D19" s="480">
        <v>5.6496100000000009</v>
      </c>
      <c r="E19" s="480"/>
      <c r="F19" s="480">
        <v>5.0431599999999985</v>
      </c>
      <c r="G19" s="480">
        <v>18</v>
      </c>
      <c r="H19" s="480">
        <v>-12.956840000000001</v>
      </c>
      <c r="I19" s="481">
        <v>0.28017555555555546</v>
      </c>
      <c r="J19" s="482" t="s">
        <v>1</v>
      </c>
    </row>
    <row r="20" spans="1:10" ht="14.4" customHeight="1" x14ac:dyDescent="0.3">
      <c r="A20" s="478" t="s">
        <v>453</v>
      </c>
      <c r="B20" s="479" t="s">
        <v>670</v>
      </c>
      <c r="C20" s="480">
        <v>0</v>
      </c>
      <c r="D20" s="480">
        <v>0</v>
      </c>
      <c r="E20" s="480"/>
      <c r="F20" s="480">
        <v>0</v>
      </c>
      <c r="G20" s="480">
        <v>0</v>
      </c>
      <c r="H20" s="480">
        <v>0</v>
      </c>
      <c r="I20" s="481" t="s">
        <v>447</v>
      </c>
      <c r="J20" s="482" t="s">
        <v>1</v>
      </c>
    </row>
    <row r="21" spans="1:10" ht="14.4" customHeight="1" x14ac:dyDescent="0.3">
      <c r="A21" s="478" t="s">
        <v>453</v>
      </c>
      <c r="B21" s="479" t="s">
        <v>671</v>
      </c>
      <c r="C21" s="480">
        <v>1.6120000000000001</v>
      </c>
      <c r="D21" s="480">
        <v>0.90300000000000002</v>
      </c>
      <c r="E21" s="480"/>
      <c r="F21" s="480">
        <v>1.403</v>
      </c>
      <c r="G21" s="480">
        <v>3</v>
      </c>
      <c r="H21" s="480">
        <v>-1.597</v>
      </c>
      <c r="I21" s="481">
        <v>0.46766666666666667</v>
      </c>
      <c r="J21" s="482" t="s">
        <v>1</v>
      </c>
    </row>
    <row r="22" spans="1:10" ht="14.4" customHeight="1" x14ac:dyDescent="0.3">
      <c r="A22" s="478" t="s">
        <v>453</v>
      </c>
      <c r="B22" s="479" t="s">
        <v>672</v>
      </c>
      <c r="C22" s="480">
        <v>2.6903999999999999</v>
      </c>
      <c r="D22" s="480">
        <v>2.556</v>
      </c>
      <c r="E22" s="480"/>
      <c r="F22" s="480">
        <v>3.45</v>
      </c>
      <c r="G22" s="480">
        <v>3</v>
      </c>
      <c r="H22" s="480">
        <v>0.45000000000000018</v>
      </c>
      <c r="I22" s="481">
        <v>1.1500000000000001</v>
      </c>
      <c r="J22" s="482" t="s">
        <v>1</v>
      </c>
    </row>
    <row r="23" spans="1:10" ht="14.4" customHeight="1" x14ac:dyDescent="0.3">
      <c r="A23" s="478" t="s">
        <v>453</v>
      </c>
      <c r="B23" s="479" t="s">
        <v>455</v>
      </c>
      <c r="C23" s="480">
        <v>17.852719999999998</v>
      </c>
      <c r="D23" s="480">
        <v>10.80724</v>
      </c>
      <c r="E23" s="480"/>
      <c r="F23" s="480">
        <v>15.240269999999999</v>
      </c>
      <c r="G23" s="480">
        <v>30</v>
      </c>
      <c r="H23" s="480">
        <v>-14.759730000000001</v>
      </c>
      <c r="I23" s="481">
        <v>0.50800899999999993</v>
      </c>
      <c r="J23" s="482" t="s">
        <v>456</v>
      </c>
    </row>
    <row r="24" spans="1:10" ht="14.4" customHeight="1" x14ac:dyDescent="0.3">
      <c r="A24" s="478" t="s">
        <v>447</v>
      </c>
      <c r="B24" s="479" t="s">
        <v>447</v>
      </c>
      <c r="C24" s="480" t="s">
        <v>447</v>
      </c>
      <c r="D24" s="480" t="s">
        <v>447</v>
      </c>
      <c r="E24" s="480"/>
      <c r="F24" s="480" t="s">
        <v>447</v>
      </c>
      <c r="G24" s="480" t="s">
        <v>447</v>
      </c>
      <c r="H24" s="480" t="s">
        <v>447</v>
      </c>
      <c r="I24" s="481" t="s">
        <v>447</v>
      </c>
      <c r="J24" s="482" t="s">
        <v>457</v>
      </c>
    </row>
    <row r="25" spans="1:10" ht="14.4" customHeight="1" x14ac:dyDescent="0.3">
      <c r="A25" s="478" t="s">
        <v>458</v>
      </c>
      <c r="B25" s="479" t="s">
        <v>459</v>
      </c>
      <c r="C25" s="480" t="s">
        <v>447</v>
      </c>
      <c r="D25" s="480" t="s">
        <v>447</v>
      </c>
      <c r="E25" s="480"/>
      <c r="F25" s="480" t="s">
        <v>447</v>
      </c>
      <c r="G25" s="480" t="s">
        <v>447</v>
      </c>
      <c r="H25" s="480" t="s">
        <v>447</v>
      </c>
      <c r="I25" s="481" t="s">
        <v>447</v>
      </c>
      <c r="J25" s="482" t="s">
        <v>0</v>
      </c>
    </row>
    <row r="26" spans="1:10" ht="14.4" customHeight="1" x14ac:dyDescent="0.3">
      <c r="A26" s="478" t="s">
        <v>458</v>
      </c>
      <c r="B26" s="479" t="s">
        <v>666</v>
      </c>
      <c r="C26" s="480">
        <v>827.08562999999981</v>
      </c>
      <c r="D26" s="480">
        <v>1749.8815799999995</v>
      </c>
      <c r="E26" s="480"/>
      <c r="F26" s="480">
        <v>1842.7615600000001</v>
      </c>
      <c r="G26" s="480">
        <v>2100</v>
      </c>
      <c r="H26" s="480">
        <v>-257.23843999999985</v>
      </c>
      <c r="I26" s="481">
        <v>0.87750550476190481</v>
      </c>
      <c r="J26" s="482" t="s">
        <v>1</v>
      </c>
    </row>
    <row r="27" spans="1:10" ht="14.4" customHeight="1" x14ac:dyDescent="0.3">
      <c r="A27" s="478" t="s">
        <v>458</v>
      </c>
      <c r="B27" s="479" t="s">
        <v>667</v>
      </c>
      <c r="C27" s="480">
        <v>155.58840000000001</v>
      </c>
      <c r="D27" s="480">
        <v>78.859499999999997</v>
      </c>
      <c r="E27" s="480"/>
      <c r="F27" s="480">
        <v>189.72316999999993</v>
      </c>
      <c r="G27" s="480">
        <v>174</v>
      </c>
      <c r="H27" s="480">
        <v>15.723169999999925</v>
      </c>
      <c r="I27" s="481">
        <v>1.0903630459770111</v>
      </c>
      <c r="J27" s="482" t="s">
        <v>1</v>
      </c>
    </row>
    <row r="28" spans="1:10" ht="14.4" customHeight="1" x14ac:dyDescent="0.3">
      <c r="A28" s="478" t="s">
        <v>458</v>
      </c>
      <c r="B28" s="479" t="s">
        <v>668</v>
      </c>
      <c r="C28" s="480">
        <v>1.9302999999999999</v>
      </c>
      <c r="D28" s="480">
        <v>2.2076000000000002</v>
      </c>
      <c r="E28" s="480"/>
      <c r="F28" s="480">
        <v>1.4381400000000002</v>
      </c>
      <c r="G28" s="480">
        <v>5</v>
      </c>
      <c r="H28" s="480">
        <v>-3.5618599999999998</v>
      </c>
      <c r="I28" s="481">
        <v>0.28762800000000005</v>
      </c>
      <c r="J28" s="482" t="s">
        <v>1</v>
      </c>
    </row>
    <row r="29" spans="1:10" ht="14.4" customHeight="1" x14ac:dyDescent="0.3">
      <c r="A29" s="478" t="s">
        <v>458</v>
      </c>
      <c r="B29" s="479" t="s">
        <v>669</v>
      </c>
      <c r="C29" s="480">
        <v>53.016180000000006</v>
      </c>
      <c r="D29" s="480">
        <v>45.946649999999998</v>
      </c>
      <c r="E29" s="480"/>
      <c r="F29" s="480">
        <v>93.181089999999998</v>
      </c>
      <c r="G29" s="480">
        <v>67</v>
      </c>
      <c r="H29" s="480">
        <v>26.181089999999998</v>
      </c>
      <c r="I29" s="481">
        <v>1.3907625373134327</v>
      </c>
      <c r="J29" s="482" t="s">
        <v>1</v>
      </c>
    </row>
    <row r="30" spans="1:10" ht="14.4" customHeight="1" x14ac:dyDescent="0.3">
      <c r="A30" s="478" t="s">
        <v>458</v>
      </c>
      <c r="B30" s="479" t="s">
        <v>671</v>
      </c>
      <c r="C30" s="480">
        <v>0.214</v>
      </c>
      <c r="D30" s="480">
        <v>0.27300000000000002</v>
      </c>
      <c r="E30" s="480"/>
      <c r="F30" s="480">
        <v>0.215</v>
      </c>
      <c r="G30" s="480">
        <v>0</v>
      </c>
      <c r="H30" s="480">
        <v>0.215</v>
      </c>
      <c r="I30" s="481" t="s">
        <v>447</v>
      </c>
      <c r="J30" s="482" t="s">
        <v>1</v>
      </c>
    </row>
    <row r="31" spans="1:10" ht="14.4" customHeight="1" x14ac:dyDescent="0.3">
      <c r="A31" s="478" t="s">
        <v>458</v>
      </c>
      <c r="B31" s="479" t="s">
        <v>672</v>
      </c>
      <c r="C31" s="480">
        <v>4.0570000000000004</v>
      </c>
      <c r="D31" s="480">
        <v>3.504</v>
      </c>
      <c r="E31" s="480"/>
      <c r="F31" s="480">
        <v>4.4420000000000002</v>
      </c>
      <c r="G31" s="480">
        <v>5</v>
      </c>
      <c r="H31" s="480">
        <v>-0.55799999999999983</v>
      </c>
      <c r="I31" s="481">
        <v>0.88840000000000008</v>
      </c>
      <c r="J31" s="482" t="s">
        <v>1</v>
      </c>
    </row>
    <row r="32" spans="1:10" ht="14.4" customHeight="1" x14ac:dyDescent="0.3">
      <c r="A32" s="478" t="s">
        <v>458</v>
      </c>
      <c r="B32" s="479" t="s">
        <v>460</v>
      </c>
      <c r="C32" s="480">
        <v>1041.8915099999997</v>
      </c>
      <c r="D32" s="480">
        <v>1880.6723299999994</v>
      </c>
      <c r="E32" s="480"/>
      <c r="F32" s="480">
        <v>2131.7609600000001</v>
      </c>
      <c r="G32" s="480">
        <v>2351</v>
      </c>
      <c r="H32" s="480">
        <v>-219.23903999999993</v>
      </c>
      <c r="I32" s="481">
        <v>0.90674647384091878</v>
      </c>
      <c r="J32" s="482" t="s">
        <v>456</v>
      </c>
    </row>
    <row r="33" spans="1:10" ht="14.4" customHeight="1" x14ac:dyDescent="0.3">
      <c r="A33" s="478" t="s">
        <v>447</v>
      </c>
      <c r="B33" s="479" t="s">
        <v>447</v>
      </c>
      <c r="C33" s="480" t="s">
        <v>447</v>
      </c>
      <c r="D33" s="480" t="s">
        <v>447</v>
      </c>
      <c r="E33" s="480"/>
      <c r="F33" s="480" t="s">
        <v>447</v>
      </c>
      <c r="G33" s="480" t="s">
        <v>447</v>
      </c>
      <c r="H33" s="480" t="s">
        <v>447</v>
      </c>
      <c r="I33" s="481" t="s">
        <v>447</v>
      </c>
      <c r="J33" s="482" t="s">
        <v>457</v>
      </c>
    </row>
    <row r="34" spans="1:10" ht="14.4" customHeight="1" x14ac:dyDescent="0.3">
      <c r="A34" s="478" t="s">
        <v>445</v>
      </c>
      <c r="B34" s="479" t="s">
        <v>451</v>
      </c>
      <c r="C34" s="480">
        <v>1059.7442299999998</v>
      </c>
      <c r="D34" s="480">
        <v>1891.4795699999995</v>
      </c>
      <c r="E34" s="480"/>
      <c r="F34" s="480">
        <v>2147.0012300000003</v>
      </c>
      <c r="G34" s="480">
        <v>2381</v>
      </c>
      <c r="H34" s="480">
        <v>-233.99876999999969</v>
      </c>
      <c r="I34" s="481">
        <v>0.90172248215035711</v>
      </c>
      <c r="J34" s="482" t="s">
        <v>452</v>
      </c>
    </row>
  </sheetData>
  <mergeCells count="3">
    <mergeCell ref="A1:I1"/>
    <mergeCell ref="F3:I3"/>
    <mergeCell ref="C4:D4"/>
  </mergeCells>
  <conditionalFormatting sqref="F14 F35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34">
    <cfRule type="expression" dxfId="17" priority="6">
      <formula>$H15&gt;0</formula>
    </cfRule>
  </conditionalFormatting>
  <conditionalFormatting sqref="A15:A34">
    <cfRule type="expression" dxfId="16" priority="5">
      <formula>AND($J15&lt;&gt;"mezeraKL",$J15&lt;&gt;"")</formula>
    </cfRule>
  </conditionalFormatting>
  <conditionalFormatting sqref="I15:I34">
    <cfRule type="expression" dxfId="15" priority="7">
      <formula>$I15&gt;1</formula>
    </cfRule>
  </conditionalFormatting>
  <conditionalFormatting sqref="B15:B34">
    <cfRule type="expression" dxfId="14" priority="4">
      <formula>OR($J15="NS",$J15="SumaNS",$J15="Účet")</formula>
    </cfRule>
  </conditionalFormatting>
  <conditionalFormatting sqref="A15:D34 F15:I34">
    <cfRule type="expression" dxfId="13" priority="8">
      <formula>AND($J15&lt;&gt;"",$J15&lt;&gt;"mezeraKL")</formula>
    </cfRule>
  </conditionalFormatting>
  <conditionalFormatting sqref="B15:D34 F15:I34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93" t="s">
        <v>989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4" customHeight="1" thickBot="1" x14ac:dyDescent="0.35">
      <c r="A2" s="235" t="s">
        <v>258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89"/>
      <c r="D3" s="390"/>
      <c r="E3" s="390"/>
      <c r="F3" s="390"/>
      <c r="G3" s="390"/>
      <c r="H3" s="141" t="s">
        <v>128</v>
      </c>
      <c r="I3" s="98">
        <f>IF(J3&lt;&gt;0,K3/J3,0)</f>
        <v>24.604414739273938</v>
      </c>
      <c r="J3" s="98">
        <f>SUBTOTAL(9,J5:J1048576)</f>
        <v>87721</v>
      </c>
      <c r="K3" s="99">
        <f>SUBTOTAL(9,K5:K1048576)</f>
        <v>2158323.8653438492</v>
      </c>
    </row>
    <row r="4" spans="1:11" s="208" customFormat="1" ht="14.4" customHeight="1" thickBot="1" x14ac:dyDescent="0.35">
      <c r="A4" s="587" t="s">
        <v>4</v>
      </c>
      <c r="B4" s="588" t="s">
        <v>5</v>
      </c>
      <c r="C4" s="588" t="s">
        <v>0</v>
      </c>
      <c r="D4" s="588" t="s">
        <v>6</v>
      </c>
      <c r="E4" s="588" t="s">
        <v>7</v>
      </c>
      <c r="F4" s="588" t="s">
        <v>1</v>
      </c>
      <c r="G4" s="588" t="s">
        <v>71</v>
      </c>
      <c r="H4" s="486" t="s">
        <v>11</v>
      </c>
      <c r="I4" s="487" t="s">
        <v>142</v>
      </c>
      <c r="J4" s="487" t="s">
        <v>13</v>
      </c>
      <c r="K4" s="488" t="s">
        <v>156</v>
      </c>
    </row>
    <row r="5" spans="1:11" ht="14.4" customHeight="1" x14ac:dyDescent="0.3">
      <c r="A5" s="555" t="s">
        <v>445</v>
      </c>
      <c r="B5" s="556" t="s">
        <v>446</v>
      </c>
      <c r="C5" s="559" t="s">
        <v>453</v>
      </c>
      <c r="D5" s="589" t="s">
        <v>454</v>
      </c>
      <c r="E5" s="559" t="s">
        <v>673</v>
      </c>
      <c r="F5" s="589" t="s">
        <v>674</v>
      </c>
      <c r="G5" s="559" t="s">
        <v>675</v>
      </c>
      <c r="H5" s="559" t="s">
        <v>676</v>
      </c>
      <c r="I5" s="116">
        <v>139.14999389648438</v>
      </c>
      <c r="J5" s="116">
        <v>4</v>
      </c>
      <c r="K5" s="572">
        <v>556.5999755859375</v>
      </c>
    </row>
    <row r="6" spans="1:11" ht="14.4" customHeight="1" x14ac:dyDescent="0.3">
      <c r="A6" s="496" t="s">
        <v>445</v>
      </c>
      <c r="B6" s="497" t="s">
        <v>446</v>
      </c>
      <c r="C6" s="498" t="s">
        <v>453</v>
      </c>
      <c r="D6" s="499" t="s">
        <v>454</v>
      </c>
      <c r="E6" s="498" t="s">
        <v>673</v>
      </c>
      <c r="F6" s="499" t="s">
        <v>674</v>
      </c>
      <c r="G6" s="498" t="s">
        <v>677</v>
      </c>
      <c r="H6" s="498" t="s">
        <v>678</v>
      </c>
      <c r="I6" s="501">
        <v>37.509998321533203</v>
      </c>
      <c r="J6" s="501">
        <v>10</v>
      </c>
      <c r="K6" s="502">
        <v>375.10000610351562</v>
      </c>
    </row>
    <row r="7" spans="1:11" ht="14.4" customHeight="1" x14ac:dyDescent="0.3">
      <c r="A7" s="496" t="s">
        <v>445</v>
      </c>
      <c r="B7" s="497" t="s">
        <v>446</v>
      </c>
      <c r="C7" s="498" t="s">
        <v>453</v>
      </c>
      <c r="D7" s="499" t="s">
        <v>454</v>
      </c>
      <c r="E7" s="498" t="s">
        <v>673</v>
      </c>
      <c r="F7" s="499" t="s">
        <v>674</v>
      </c>
      <c r="G7" s="498" t="s">
        <v>679</v>
      </c>
      <c r="H7" s="498" t="s">
        <v>680</v>
      </c>
      <c r="I7" s="501">
        <v>90.75</v>
      </c>
      <c r="J7" s="501">
        <v>1</v>
      </c>
      <c r="K7" s="502">
        <v>90.75</v>
      </c>
    </row>
    <row r="8" spans="1:11" ht="14.4" customHeight="1" x14ac:dyDescent="0.3">
      <c r="A8" s="496" t="s">
        <v>445</v>
      </c>
      <c r="B8" s="497" t="s">
        <v>446</v>
      </c>
      <c r="C8" s="498" t="s">
        <v>453</v>
      </c>
      <c r="D8" s="499" t="s">
        <v>454</v>
      </c>
      <c r="E8" s="498" t="s">
        <v>681</v>
      </c>
      <c r="F8" s="499" t="s">
        <v>682</v>
      </c>
      <c r="G8" s="498" t="s">
        <v>683</v>
      </c>
      <c r="H8" s="498" t="s">
        <v>684</v>
      </c>
      <c r="I8" s="501">
        <v>0.63666665554046631</v>
      </c>
      <c r="J8" s="501">
        <v>2000</v>
      </c>
      <c r="K8" s="502">
        <v>1270</v>
      </c>
    </row>
    <row r="9" spans="1:11" ht="14.4" customHeight="1" x14ac:dyDescent="0.3">
      <c r="A9" s="496" t="s">
        <v>445</v>
      </c>
      <c r="B9" s="497" t="s">
        <v>446</v>
      </c>
      <c r="C9" s="498" t="s">
        <v>453</v>
      </c>
      <c r="D9" s="499" t="s">
        <v>454</v>
      </c>
      <c r="E9" s="498" t="s">
        <v>681</v>
      </c>
      <c r="F9" s="499" t="s">
        <v>682</v>
      </c>
      <c r="G9" s="498" t="s">
        <v>685</v>
      </c>
      <c r="H9" s="498" t="s">
        <v>686</v>
      </c>
      <c r="I9" s="501">
        <v>1.4966666698455811</v>
      </c>
      <c r="J9" s="501">
        <v>600</v>
      </c>
      <c r="K9" s="502">
        <v>898</v>
      </c>
    </row>
    <row r="10" spans="1:11" ht="14.4" customHeight="1" x14ac:dyDescent="0.3">
      <c r="A10" s="496" t="s">
        <v>445</v>
      </c>
      <c r="B10" s="497" t="s">
        <v>446</v>
      </c>
      <c r="C10" s="498" t="s">
        <v>453</v>
      </c>
      <c r="D10" s="499" t="s">
        <v>454</v>
      </c>
      <c r="E10" s="498" t="s">
        <v>681</v>
      </c>
      <c r="F10" s="499" t="s">
        <v>682</v>
      </c>
      <c r="G10" s="498" t="s">
        <v>687</v>
      </c>
      <c r="H10" s="498" t="s">
        <v>688</v>
      </c>
      <c r="I10" s="501">
        <v>13.020000457763672</v>
      </c>
      <c r="J10" s="501">
        <v>4</v>
      </c>
      <c r="K10" s="502">
        <v>52.080001831054687</v>
      </c>
    </row>
    <row r="11" spans="1:11" ht="14.4" customHeight="1" x14ac:dyDescent="0.3">
      <c r="A11" s="496" t="s">
        <v>445</v>
      </c>
      <c r="B11" s="497" t="s">
        <v>446</v>
      </c>
      <c r="C11" s="498" t="s">
        <v>453</v>
      </c>
      <c r="D11" s="499" t="s">
        <v>454</v>
      </c>
      <c r="E11" s="498" t="s">
        <v>681</v>
      </c>
      <c r="F11" s="499" t="s">
        <v>682</v>
      </c>
      <c r="G11" s="498" t="s">
        <v>689</v>
      </c>
      <c r="H11" s="498" t="s">
        <v>690</v>
      </c>
      <c r="I11" s="501">
        <v>1.6399999856948853</v>
      </c>
      <c r="J11" s="501">
        <v>80</v>
      </c>
      <c r="K11" s="502">
        <v>131.10000610351562</v>
      </c>
    </row>
    <row r="12" spans="1:11" ht="14.4" customHeight="1" x14ac:dyDescent="0.3">
      <c r="A12" s="496" t="s">
        <v>445</v>
      </c>
      <c r="B12" s="497" t="s">
        <v>446</v>
      </c>
      <c r="C12" s="498" t="s">
        <v>453</v>
      </c>
      <c r="D12" s="499" t="s">
        <v>454</v>
      </c>
      <c r="E12" s="498" t="s">
        <v>681</v>
      </c>
      <c r="F12" s="499" t="s">
        <v>682</v>
      </c>
      <c r="G12" s="498" t="s">
        <v>691</v>
      </c>
      <c r="H12" s="498" t="s">
        <v>692</v>
      </c>
      <c r="I12" s="501">
        <v>17.620000839233398</v>
      </c>
      <c r="J12" s="501">
        <v>2</v>
      </c>
      <c r="K12" s="502">
        <v>35.229999542236328</v>
      </c>
    </row>
    <row r="13" spans="1:11" ht="14.4" customHeight="1" x14ac:dyDescent="0.3">
      <c r="A13" s="496" t="s">
        <v>445</v>
      </c>
      <c r="B13" s="497" t="s">
        <v>446</v>
      </c>
      <c r="C13" s="498" t="s">
        <v>453</v>
      </c>
      <c r="D13" s="499" t="s">
        <v>454</v>
      </c>
      <c r="E13" s="498" t="s">
        <v>681</v>
      </c>
      <c r="F13" s="499" t="s">
        <v>682</v>
      </c>
      <c r="G13" s="498" t="s">
        <v>693</v>
      </c>
      <c r="H13" s="498" t="s">
        <v>694</v>
      </c>
      <c r="I13" s="501">
        <v>22.309999465942383</v>
      </c>
      <c r="J13" s="501">
        <v>1</v>
      </c>
      <c r="K13" s="502">
        <v>22.309999465942383</v>
      </c>
    </row>
    <row r="14" spans="1:11" ht="14.4" customHeight="1" x14ac:dyDescent="0.3">
      <c r="A14" s="496" t="s">
        <v>445</v>
      </c>
      <c r="B14" s="497" t="s">
        <v>446</v>
      </c>
      <c r="C14" s="498" t="s">
        <v>453</v>
      </c>
      <c r="D14" s="499" t="s">
        <v>454</v>
      </c>
      <c r="E14" s="498" t="s">
        <v>681</v>
      </c>
      <c r="F14" s="499" t="s">
        <v>682</v>
      </c>
      <c r="G14" s="498" t="s">
        <v>695</v>
      </c>
      <c r="H14" s="498" t="s">
        <v>696</v>
      </c>
      <c r="I14" s="501">
        <v>2.7300000190734863</v>
      </c>
      <c r="J14" s="501">
        <v>20</v>
      </c>
      <c r="K14" s="502">
        <v>54.599998474121094</v>
      </c>
    </row>
    <row r="15" spans="1:11" ht="14.4" customHeight="1" x14ac:dyDescent="0.3">
      <c r="A15" s="496" t="s">
        <v>445</v>
      </c>
      <c r="B15" s="497" t="s">
        <v>446</v>
      </c>
      <c r="C15" s="498" t="s">
        <v>453</v>
      </c>
      <c r="D15" s="499" t="s">
        <v>454</v>
      </c>
      <c r="E15" s="498" t="s">
        <v>681</v>
      </c>
      <c r="F15" s="499" t="s">
        <v>682</v>
      </c>
      <c r="G15" s="498" t="s">
        <v>697</v>
      </c>
      <c r="H15" s="498" t="s">
        <v>698</v>
      </c>
      <c r="I15" s="501">
        <v>0.66500002145767212</v>
      </c>
      <c r="J15" s="501">
        <v>250</v>
      </c>
      <c r="K15" s="502">
        <v>166.5</v>
      </c>
    </row>
    <row r="16" spans="1:11" ht="14.4" customHeight="1" x14ac:dyDescent="0.3">
      <c r="A16" s="496" t="s">
        <v>445</v>
      </c>
      <c r="B16" s="497" t="s">
        <v>446</v>
      </c>
      <c r="C16" s="498" t="s">
        <v>453</v>
      </c>
      <c r="D16" s="499" t="s">
        <v>454</v>
      </c>
      <c r="E16" s="498" t="s">
        <v>681</v>
      </c>
      <c r="F16" s="499" t="s">
        <v>682</v>
      </c>
      <c r="G16" s="498" t="s">
        <v>699</v>
      </c>
      <c r="H16" s="498" t="s">
        <v>700</v>
      </c>
      <c r="I16" s="501">
        <v>27.873333613077801</v>
      </c>
      <c r="J16" s="501">
        <v>4</v>
      </c>
      <c r="K16" s="502">
        <v>111.4900016784668</v>
      </c>
    </row>
    <row r="17" spans="1:11" ht="14.4" customHeight="1" x14ac:dyDescent="0.3">
      <c r="A17" s="496" t="s">
        <v>445</v>
      </c>
      <c r="B17" s="497" t="s">
        <v>446</v>
      </c>
      <c r="C17" s="498" t="s">
        <v>453</v>
      </c>
      <c r="D17" s="499" t="s">
        <v>454</v>
      </c>
      <c r="E17" s="498" t="s">
        <v>681</v>
      </c>
      <c r="F17" s="499" t="s">
        <v>682</v>
      </c>
      <c r="G17" s="498" t="s">
        <v>701</v>
      </c>
      <c r="H17" s="498" t="s">
        <v>702</v>
      </c>
      <c r="I17" s="501">
        <v>28.734285354614258</v>
      </c>
      <c r="J17" s="501">
        <v>55</v>
      </c>
      <c r="K17" s="502">
        <v>1580.3499450683594</v>
      </c>
    </row>
    <row r="18" spans="1:11" ht="14.4" customHeight="1" x14ac:dyDescent="0.3">
      <c r="A18" s="496" t="s">
        <v>445</v>
      </c>
      <c r="B18" s="497" t="s">
        <v>446</v>
      </c>
      <c r="C18" s="498" t="s">
        <v>453</v>
      </c>
      <c r="D18" s="499" t="s">
        <v>454</v>
      </c>
      <c r="E18" s="498" t="s">
        <v>703</v>
      </c>
      <c r="F18" s="499" t="s">
        <v>704</v>
      </c>
      <c r="G18" s="498" t="s">
        <v>705</v>
      </c>
      <c r="H18" s="498" t="s">
        <v>706</v>
      </c>
      <c r="I18" s="501">
        <v>1.1666666405896345E-2</v>
      </c>
      <c r="J18" s="501">
        <v>800</v>
      </c>
      <c r="K18" s="502">
        <v>9</v>
      </c>
    </row>
    <row r="19" spans="1:11" ht="14.4" customHeight="1" x14ac:dyDescent="0.3">
      <c r="A19" s="496" t="s">
        <v>445</v>
      </c>
      <c r="B19" s="497" t="s">
        <v>446</v>
      </c>
      <c r="C19" s="498" t="s">
        <v>453</v>
      </c>
      <c r="D19" s="499" t="s">
        <v>454</v>
      </c>
      <c r="E19" s="498" t="s">
        <v>703</v>
      </c>
      <c r="F19" s="499" t="s">
        <v>704</v>
      </c>
      <c r="G19" s="498" t="s">
        <v>707</v>
      </c>
      <c r="H19" s="498" t="s">
        <v>708</v>
      </c>
      <c r="I19" s="501">
        <v>2.8349999189376831</v>
      </c>
      <c r="J19" s="501">
        <v>100</v>
      </c>
      <c r="K19" s="502">
        <v>283.5</v>
      </c>
    </row>
    <row r="20" spans="1:11" ht="14.4" customHeight="1" x14ac:dyDescent="0.3">
      <c r="A20" s="496" t="s">
        <v>445</v>
      </c>
      <c r="B20" s="497" t="s">
        <v>446</v>
      </c>
      <c r="C20" s="498" t="s">
        <v>453</v>
      </c>
      <c r="D20" s="499" t="s">
        <v>454</v>
      </c>
      <c r="E20" s="498" t="s">
        <v>703</v>
      </c>
      <c r="F20" s="499" t="s">
        <v>704</v>
      </c>
      <c r="G20" s="498" t="s">
        <v>709</v>
      </c>
      <c r="H20" s="498" t="s">
        <v>710</v>
      </c>
      <c r="I20" s="501">
        <v>11.739999771118164</v>
      </c>
      <c r="J20" s="501">
        <v>10</v>
      </c>
      <c r="K20" s="502">
        <v>117.40000152587891</v>
      </c>
    </row>
    <row r="21" spans="1:11" ht="14.4" customHeight="1" x14ac:dyDescent="0.3">
      <c r="A21" s="496" t="s">
        <v>445</v>
      </c>
      <c r="B21" s="497" t="s">
        <v>446</v>
      </c>
      <c r="C21" s="498" t="s">
        <v>453</v>
      </c>
      <c r="D21" s="499" t="s">
        <v>454</v>
      </c>
      <c r="E21" s="498" t="s">
        <v>703</v>
      </c>
      <c r="F21" s="499" t="s">
        <v>704</v>
      </c>
      <c r="G21" s="498" t="s">
        <v>711</v>
      </c>
      <c r="H21" s="498" t="s">
        <v>712</v>
      </c>
      <c r="I21" s="501">
        <v>13.310000419616699</v>
      </c>
      <c r="J21" s="501">
        <v>40</v>
      </c>
      <c r="K21" s="502">
        <v>532.4000244140625</v>
      </c>
    </row>
    <row r="22" spans="1:11" ht="14.4" customHeight="1" x14ac:dyDescent="0.3">
      <c r="A22" s="496" t="s">
        <v>445</v>
      </c>
      <c r="B22" s="497" t="s">
        <v>446</v>
      </c>
      <c r="C22" s="498" t="s">
        <v>453</v>
      </c>
      <c r="D22" s="499" t="s">
        <v>454</v>
      </c>
      <c r="E22" s="498" t="s">
        <v>703</v>
      </c>
      <c r="F22" s="499" t="s">
        <v>704</v>
      </c>
      <c r="G22" s="498" t="s">
        <v>713</v>
      </c>
      <c r="H22" s="498" t="s">
        <v>714</v>
      </c>
      <c r="I22" s="501">
        <v>223.33000183105469</v>
      </c>
      <c r="J22" s="501">
        <v>2</v>
      </c>
      <c r="K22" s="502">
        <v>446.64999389648437</v>
      </c>
    </row>
    <row r="23" spans="1:11" ht="14.4" customHeight="1" x14ac:dyDescent="0.3">
      <c r="A23" s="496" t="s">
        <v>445</v>
      </c>
      <c r="B23" s="497" t="s">
        <v>446</v>
      </c>
      <c r="C23" s="498" t="s">
        <v>453</v>
      </c>
      <c r="D23" s="499" t="s">
        <v>454</v>
      </c>
      <c r="E23" s="498" t="s">
        <v>703</v>
      </c>
      <c r="F23" s="499" t="s">
        <v>704</v>
      </c>
      <c r="G23" s="498" t="s">
        <v>715</v>
      </c>
      <c r="H23" s="498" t="s">
        <v>716</v>
      </c>
      <c r="I23" s="501">
        <v>136.55999755859375</v>
      </c>
      <c r="J23" s="501">
        <v>1</v>
      </c>
      <c r="K23" s="502">
        <v>136.55999755859375</v>
      </c>
    </row>
    <row r="24" spans="1:11" ht="14.4" customHeight="1" x14ac:dyDescent="0.3">
      <c r="A24" s="496" t="s">
        <v>445</v>
      </c>
      <c r="B24" s="497" t="s">
        <v>446</v>
      </c>
      <c r="C24" s="498" t="s">
        <v>453</v>
      </c>
      <c r="D24" s="499" t="s">
        <v>454</v>
      </c>
      <c r="E24" s="498" t="s">
        <v>703</v>
      </c>
      <c r="F24" s="499" t="s">
        <v>704</v>
      </c>
      <c r="G24" s="498" t="s">
        <v>717</v>
      </c>
      <c r="H24" s="498" t="s">
        <v>718</v>
      </c>
      <c r="I24" s="501">
        <v>62.759998321533203</v>
      </c>
      <c r="J24" s="501">
        <v>1</v>
      </c>
      <c r="K24" s="502">
        <v>62.759998321533203</v>
      </c>
    </row>
    <row r="25" spans="1:11" ht="14.4" customHeight="1" x14ac:dyDescent="0.3">
      <c r="A25" s="496" t="s">
        <v>445</v>
      </c>
      <c r="B25" s="497" t="s">
        <v>446</v>
      </c>
      <c r="C25" s="498" t="s">
        <v>453</v>
      </c>
      <c r="D25" s="499" t="s">
        <v>454</v>
      </c>
      <c r="E25" s="498" t="s">
        <v>703</v>
      </c>
      <c r="F25" s="499" t="s">
        <v>704</v>
      </c>
      <c r="G25" s="498" t="s">
        <v>719</v>
      </c>
      <c r="H25" s="498" t="s">
        <v>720</v>
      </c>
      <c r="I25" s="501">
        <v>2.0499999523162842</v>
      </c>
      <c r="J25" s="501">
        <v>100</v>
      </c>
      <c r="K25" s="502">
        <v>205</v>
      </c>
    </row>
    <row r="26" spans="1:11" ht="14.4" customHeight="1" x14ac:dyDescent="0.3">
      <c r="A26" s="496" t="s">
        <v>445</v>
      </c>
      <c r="B26" s="497" t="s">
        <v>446</v>
      </c>
      <c r="C26" s="498" t="s">
        <v>453</v>
      </c>
      <c r="D26" s="499" t="s">
        <v>454</v>
      </c>
      <c r="E26" s="498" t="s">
        <v>703</v>
      </c>
      <c r="F26" s="499" t="s">
        <v>704</v>
      </c>
      <c r="G26" s="498" t="s">
        <v>721</v>
      </c>
      <c r="H26" s="498" t="s">
        <v>722</v>
      </c>
      <c r="I26" s="501">
        <v>0.4699999988079071</v>
      </c>
      <c r="J26" s="501">
        <v>100</v>
      </c>
      <c r="K26" s="502">
        <v>47</v>
      </c>
    </row>
    <row r="27" spans="1:11" ht="14.4" customHeight="1" x14ac:dyDescent="0.3">
      <c r="A27" s="496" t="s">
        <v>445</v>
      </c>
      <c r="B27" s="497" t="s">
        <v>446</v>
      </c>
      <c r="C27" s="498" t="s">
        <v>453</v>
      </c>
      <c r="D27" s="499" t="s">
        <v>454</v>
      </c>
      <c r="E27" s="498" t="s">
        <v>703</v>
      </c>
      <c r="F27" s="499" t="s">
        <v>704</v>
      </c>
      <c r="G27" s="498" t="s">
        <v>723</v>
      </c>
      <c r="H27" s="498" t="s">
        <v>724</v>
      </c>
      <c r="I27" s="501">
        <v>0.67000001668930054</v>
      </c>
      <c r="J27" s="501">
        <v>100</v>
      </c>
      <c r="K27" s="502">
        <v>67</v>
      </c>
    </row>
    <row r="28" spans="1:11" ht="14.4" customHeight="1" x14ac:dyDescent="0.3">
      <c r="A28" s="496" t="s">
        <v>445</v>
      </c>
      <c r="B28" s="497" t="s">
        <v>446</v>
      </c>
      <c r="C28" s="498" t="s">
        <v>453</v>
      </c>
      <c r="D28" s="499" t="s">
        <v>454</v>
      </c>
      <c r="E28" s="498" t="s">
        <v>703</v>
      </c>
      <c r="F28" s="499" t="s">
        <v>704</v>
      </c>
      <c r="G28" s="498" t="s">
        <v>725</v>
      </c>
      <c r="H28" s="498" t="s">
        <v>726</v>
      </c>
      <c r="I28" s="501">
        <v>21.229999542236328</v>
      </c>
      <c r="J28" s="501">
        <v>10</v>
      </c>
      <c r="K28" s="502">
        <v>212.30000305175781</v>
      </c>
    </row>
    <row r="29" spans="1:11" ht="14.4" customHeight="1" x14ac:dyDescent="0.3">
      <c r="A29" s="496" t="s">
        <v>445</v>
      </c>
      <c r="B29" s="497" t="s">
        <v>446</v>
      </c>
      <c r="C29" s="498" t="s">
        <v>453</v>
      </c>
      <c r="D29" s="499" t="s">
        <v>454</v>
      </c>
      <c r="E29" s="498" t="s">
        <v>703</v>
      </c>
      <c r="F29" s="499" t="s">
        <v>704</v>
      </c>
      <c r="G29" s="498" t="s">
        <v>727</v>
      </c>
      <c r="H29" s="498" t="s">
        <v>728</v>
      </c>
      <c r="I29" s="501">
        <v>2.369999885559082</v>
      </c>
      <c r="J29" s="501">
        <v>10</v>
      </c>
      <c r="K29" s="502">
        <v>23.700000762939453</v>
      </c>
    </row>
    <row r="30" spans="1:11" ht="14.4" customHeight="1" x14ac:dyDescent="0.3">
      <c r="A30" s="496" t="s">
        <v>445</v>
      </c>
      <c r="B30" s="497" t="s">
        <v>446</v>
      </c>
      <c r="C30" s="498" t="s">
        <v>453</v>
      </c>
      <c r="D30" s="499" t="s">
        <v>454</v>
      </c>
      <c r="E30" s="498" t="s">
        <v>703</v>
      </c>
      <c r="F30" s="499" t="s">
        <v>704</v>
      </c>
      <c r="G30" s="498" t="s">
        <v>729</v>
      </c>
      <c r="H30" s="498" t="s">
        <v>730</v>
      </c>
      <c r="I30" s="501">
        <v>2.0349999666213989</v>
      </c>
      <c r="J30" s="501">
        <v>900</v>
      </c>
      <c r="K30" s="502">
        <v>1832</v>
      </c>
    </row>
    <row r="31" spans="1:11" ht="14.4" customHeight="1" x14ac:dyDescent="0.3">
      <c r="A31" s="496" t="s">
        <v>445</v>
      </c>
      <c r="B31" s="497" t="s">
        <v>446</v>
      </c>
      <c r="C31" s="498" t="s">
        <v>453</v>
      </c>
      <c r="D31" s="499" t="s">
        <v>454</v>
      </c>
      <c r="E31" s="498" t="s">
        <v>703</v>
      </c>
      <c r="F31" s="499" t="s">
        <v>704</v>
      </c>
      <c r="G31" s="498" t="s">
        <v>731</v>
      </c>
      <c r="H31" s="498" t="s">
        <v>732</v>
      </c>
      <c r="I31" s="501">
        <v>2.1600000858306885</v>
      </c>
      <c r="J31" s="501">
        <v>60</v>
      </c>
      <c r="K31" s="502">
        <v>129.60000228881836</v>
      </c>
    </row>
    <row r="32" spans="1:11" ht="14.4" customHeight="1" x14ac:dyDescent="0.3">
      <c r="A32" s="496" t="s">
        <v>445</v>
      </c>
      <c r="B32" s="497" t="s">
        <v>446</v>
      </c>
      <c r="C32" s="498" t="s">
        <v>453</v>
      </c>
      <c r="D32" s="499" t="s">
        <v>454</v>
      </c>
      <c r="E32" s="498" t="s">
        <v>703</v>
      </c>
      <c r="F32" s="499" t="s">
        <v>704</v>
      </c>
      <c r="G32" s="498" t="s">
        <v>733</v>
      </c>
      <c r="H32" s="498" t="s">
        <v>734</v>
      </c>
      <c r="I32" s="501">
        <v>3.6099998950958252</v>
      </c>
      <c r="J32" s="501">
        <v>50</v>
      </c>
      <c r="K32" s="502">
        <v>180.28999328613281</v>
      </c>
    </row>
    <row r="33" spans="1:11" ht="14.4" customHeight="1" x14ac:dyDescent="0.3">
      <c r="A33" s="496" t="s">
        <v>445</v>
      </c>
      <c r="B33" s="497" t="s">
        <v>446</v>
      </c>
      <c r="C33" s="498" t="s">
        <v>453</v>
      </c>
      <c r="D33" s="499" t="s">
        <v>454</v>
      </c>
      <c r="E33" s="498" t="s">
        <v>703</v>
      </c>
      <c r="F33" s="499" t="s">
        <v>704</v>
      </c>
      <c r="G33" s="498" t="s">
        <v>735</v>
      </c>
      <c r="H33" s="498" t="s">
        <v>736</v>
      </c>
      <c r="I33" s="501">
        <v>2.5266666412353516</v>
      </c>
      <c r="J33" s="501">
        <v>300</v>
      </c>
      <c r="K33" s="502">
        <v>758</v>
      </c>
    </row>
    <row r="34" spans="1:11" ht="14.4" customHeight="1" x14ac:dyDescent="0.3">
      <c r="A34" s="496" t="s">
        <v>445</v>
      </c>
      <c r="B34" s="497" t="s">
        <v>446</v>
      </c>
      <c r="C34" s="498" t="s">
        <v>453</v>
      </c>
      <c r="D34" s="499" t="s">
        <v>454</v>
      </c>
      <c r="E34" s="498" t="s">
        <v>737</v>
      </c>
      <c r="F34" s="499" t="s">
        <v>738</v>
      </c>
      <c r="G34" s="498" t="s">
        <v>739</v>
      </c>
      <c r="H34" s="498" t="s">
        <v>740</v>
      </c>
      <c r="I34" s="501">
        <v>0.30500000715255737</v>
      </c>
      <c r="J34" s="501">
        <v>300</v>
      </c>
      <c r="K34" s="502">
        <v>92</v>
      </c>
    </row>
    <row r="35" spans="1:11" ht="14.4" customHeight="1" x14ac:dyDescent="0.3">
      <c r="A35" s="496" t="s">
        <v>445</v>
      </c>
      <c r="B35" s="497" t="s">
        <v>446</v>
      </c>
      <c r="C35" s="498" t="s">
        <v>453</v>
      </c>
      <c r="D35" s="499" t="s">
        <v>454</v>
      </c>
      <c r="E35" s="498" t="s">
        <v>737</v>
      </c>
      <c r="F35" s="499" t="s">
        <v>738</v>
      </c>
      <c r="G35" s="498" t="s">
        <v>741</v>
      </c>
      <c r="H35" s="498" t="s">
        <v>742</v>
      </c>
      <c r="I35" s="501">
        <v>0.47999998927116394</v>
      </c>
      <c r="J35" s="501">
        <v>100</v>
      </c>
      <c r="K35" s="502">
        <v>48</v>
      </c>
    </row>
    <row r="36" spans="1:11" ht="14.4" customHeight="1" x14ac:dyDescent="0.3">
      <c r="A36" s="496" t="s">
        <v>445</v>
      </c>
      <c r="B36" s="497" t="s">
        <v>446</v>
      </c>
      <c r="C36" s="498" t="s">
        <v>453</v>
      </c>
      <c r="D36" s="499" t="s">
        <v>454</v>
      </c>
      <c r="E36" s="498" t="s">
        <v>737</v>
      </c>
      <c r="F36" s="499" t="s">
        <v>738</v>
      </c>
      <c r="G36" s="498" t="s">
        <v>743</v>
      </c>
      <c r="H36" s="498" t="s">
        <v>744</v>
      </c>
      <c r="I36" s="501">
        <v>1.8049999475479126</v>
      </c>
      <c r="J36" s="501">
        <v>700</v>
      </c>
      <c r="K36" s="502">
        <v>1263</v>
      </c>
    </row>
    <row r="37" spans="1:11" ht="14.4" customHeight="1" x14ac:dyDescent="0.3">
      <c r="A37" s="496" t="s">
        <v>445</v>
      </c>
      <c r="B37" s="497" t="s">
        <v>446</v>
      </c>
      <c r="C37" s="498" t="s">
        <v>453</v>
      </c>
      <c r="D37" s="499" t="s">
        <v>454</v>
      </c>
      <c r="E37" s="498" t="s">
        <v>745</v>
      </c>
      <c r="F37" s="499" t="s">
        <v>746</v>
      </c>
      <c r="G37" s="498" t="s">
        <v>747</v>
      </c>
      <c r="H37" s="498" t="s">
        <v>748</v>
      </c>
      <c r="I37" s="501">
        <v>0.68999999761581421</v>
      </c>
      <c r="J37" s="501">
        <v>1000</v>
      </c>
      <c r="K37" s="502">
        <v>690</v>
      </c>
    </row>
    <row r="38" spans="1:11" ht="14.4" customHeight="1" x14ac:dyDescent="0.3">
      <c r="A38" s="496" t="s">
        <v>445</v>
      </c>
      <c r="B38" s="497" t="s">
        <v>446</v>
      </c>
      <c r="C38" s="498" t="s">
        <v>453</v>
      </c>
      <c r="D38" s="499" t="s">
        <v>454</v>
      </c>
      <c r="E38" s="498" t="s">
        <v>745</v>
      </c>
      <c r="F38" s="499" t="s">
        <v>746</v>
      </c>
      <c r="G38" s="498" t="s">
        <v>749</v>
      </c>
      <c r="H38" s="498" t="s">
        <v>750</v>
      </c>
      <c r="I38" s="501">
        <v>0.68999999761581421</v>
      </c>
      <c r="J38" s="501">
        <v>3600</v>
      </c>
      <c r="K38" s="502">
        <v>2484</v>
      </c>
    </row>
    <row r="39" spans="1:11" ht="14.4" customHeight="1" x14ac:dyDescent="0.3">
      <c r="A39" s="496" t="s">
        <v>445</v>
      </c>
      <c r="B39" s="497" t="s">
        <v>446</v>
      </c>
      <c r="C39" s="498" t="s">
        <v>453</v>
      </c>
      <c r="D39" s="499" t="s">
        <v>454</v>
      </c>
      <c r="E39" s="498" t="s">
        <v>745</v>
      </c>
      <c r="F39" s="499" t="s">
        <v>746</v>
      </c>
      <c r="G39" s="498" t="s">
        <v>751</v>
      </c>
      <c r="H39" s="498" t="s">
        <v>752</v>
      </c>
      <c r="I39" s="501">
        <v>0.68999999761581421</v>
      </c>
      <c r="J39" s="501">
        <v>400</v>
      </c>
      <c r="K39" s="502">
        <v>276</v>
      </c>
    </row>
    <row r="40" spans="1:11" ht="14.4" customHeight="1" x14ac:dyDescent="0.3">
      <c r="A40" s="496" t="s">
        <v>445</v>
      </c>
      <c r="B40" s="497" t="s">
        <v>446</v>
      </c>
      <c r="C40" s="498" t="s">
        <v>458</v>
      </c>
      <c r="D40" s="499" t="s">
        <v>459</v>
      </c>
      <c r="E40" s="498" t="s">
        <v>753</v>
      </c>
      <c r="F40" s="499" t="s">
        <v>754</v>
      </c>
      <c r="G40" s="498" t="s">
        <v>755</v>
      </c>
      <c r="H40" s="498" t="s">
        <v>756</v>
      </c>
      <c r="I40" s="501">
        <v>10156.330078125</v>
      </c>
      <c r="J40" s="501">
        <v>1</v>
      </c>
      <c r="K40" s="502">
        <v>10156.330078125</v>
      </c>
    </row>
    <row r="41" spans="1:11" ht="14.4" customHeight="1" x14ac:dyDescent="0.3">
      <c r="A41" s="496" t="s">
        <v>445</v>
      </c>
      <c r="B41" s="497" t="s">
        <v>446</v>
      </c>
      <c r="C41" s="498" t="s">
        <v>458</v>
      </c>
      <c r="D41" s="499" t="s">
        <v>459</v>
      </c>
      <c r="E41" s="498" t="s">
        <v>753</v>
      </c>
      <c r="F41" s="499" t="s">
        <v>754</v>
      </c>
      <c r="G41" s="498" t="s">
        <v>757</v>
      </c>
      <c r="H41" s="498" t="s">
        <v>758</v>
      </c>
      <c r="I41" s="501">
        <v>1320.4125366210938</v>
      </c>
      <c r="J41" s="501">
        <v>40</v>
      </c>
      <c r="K41" s="502">
        <v>52816.5</v>
      </c>
    </row>
    <row r="42" spans="1:11" ht="14.4" customHeight="1" x14ac:dyDescent="0.3">
      <c r="A42" s="496" t="s">
        <v>445</v>
      </c>
      <c r="B42" s="497" t="s">
        <v>446</v>
      </c>
      <c r="C42" s="498" t="s">
        <v>458</v>
      </c>
      <c r="D42" s="499" t="s">
        <v>459</v>
      </c>
      <c r="E42" s="498" t="s">
        <v>753</v>
      </c>
      <c r="F42" s="499" t="s">
        <v>754</v>
      </c>
      <c r="G42" s="498" t="s">
        <v>759</v>
      </c>
      <c r="H42" s="498" t="s">
        <v>760</v>
      </c>
      <c r="I42" s="501">
        <v>13733.5</v>
      </c>
      <c r="J42" s="501">
        <v>1</v>
      </c>
      <c r="K42" s="502">
        <v>13733.5</v>
      </c>
    </row>
    <row r="43" spans="1:11" ht="14.4" customHeight="1" x14ac:dyDescent="0.3">
      <c r="A43" s="496" t="s">
        <v>445</v>
      </c>
      <c r="B43" s="497" t="s">
        <v>446</v>
      </c>
      <c r="C43" s="498" t="s">
        <v>458</v>
      </c>
      <c r="D43" s="499" t="s">
        <v>459</v>
      </c>
      <c r="E43" s="498" t="s">
        <v>753</v>
      </c>
      <c r="F43" s="499" t="s">
        <v>754</v>
      </c>
      <c r="G43" s="498" t="s">
        <v>761</v>
      </c>
      <c r="H43" s="498" t="s">
        <v>762</v>
      </c>
      <c r="I43" s="501">
        <v>151.74000549316406</v>
      </c>
      <c r="J43" s="501">
        <v>2</v>
      </c>
      <c r="K43" s="502">
        <v>303.47000122070312</v>
      </c>
    </row>
    <row r="44" spans="1:11" ht="14.4" customHeight="1" x14ac:dyDescent="0.3">
      <c r="A44" s="496" t="s">
        <v>445</v>
      </c>
      <c r="B44" s="497" t="s">
        <v>446</v>
      </c>
      <c r="C44" s="498" t="s">
        <v>458</v>
      </c>
      <c r="D44" s="499" t="s">
        <v>459</v>
      </c>
      <c r="E44" s="498" t="s">
        <v>753</v>
      </c>
      <c r="F44" s="499" t="s">
        <v>754</v>
      </c>
      <c r="G44" s="498" t="s">
        <v>763</v>
      </c>
      <c r="H44" s="498" t="s">
        <v>764</v>
      </c>
      <c r="I44" s="501">
        <v>54262.44921875</v>
      </c>
      <c r="J44" s="501">
        <v>1</v>
      </c>
      <c r="K44" s="502">
        <v>54262.44921875</v>
      </c>
    </row>
    <row r="45" spans="1:11" ht="14.4" customHeight="1" x14ac:dyDescent="0.3">
      <c r="A45" s="496" t="s">
        <v>445</v>
      </c>
      <c r="B45" s="497" t="s">
        <v>446</v>
      </c>
      <c r="C45" s="498" t="s">
        <v>458</v>
      </c>
      <c r="D45" s="499" t="s">
        <v>459</v>
      </c>
      <c r="E45" s="498" t="s">
        <v>753</v>
      </c>
      <c r="F45" s="499" t="s">
        <v>754</v>
      </c>
      <c r="G45" s="498" t="s">
        <v>765</v>
      </c>
      <c r="H45" s="498" t="s">
        <v>766</v>
      </c>
      <c r="I45" s="501">
        <v>253846.125</v>
      </c>
      <c r="J45" s="501">
        <v>1</v>
      </c>
      <c r="K45" s="502">
        <v>253846.125</v>
      </c>
    </row>
    <row r="46" spans="1:11" ht="14.4" customHeight="1" x14ac:dyDescent="0.3">
      <c r="A46" s="496" t="s">
        <v>445</v>
      </c>
      <c r="B46" s="497" t="s">
        <v>446</v>
      </c>
      <c r="C46" s="498" t="s">
        <v>458</v>
      </c>
      <c r="D46" s="499" t="s">
        <v>459</v>
      </c>
      <c r="E46" s="498" t="s">
        <v>753</v>
      </c>
      <c r="F46" s="499" t="s">
        <v>754</v>
      </c>
      <c r="G46" s="498" t="s">
        <v>767</v>
      </c>
      <c r="H46" s="498" t="s">
        <v>768</v>
      </c>
      <c r="I46" s="501">
        <v>59229.55859375</v>
      </c>
      <c r="J46" s="501">
        <v>1</v>
      </c>
      <c r="K46" s="502">
        <v>59229.55859375</v>
      </c>
    </row>
    <row r="47" spans="1:11" ht="14.4" customHeight="1" x14ac:dyDescent="0.3">
      <c r="A47" s="496" t="s">
        <v>445</v>
      </c>
      <c r="B47" s="497" t="s">
        <v>446</v>
      </c>
      <c r="C47" s="498" t="s">
        <v>458</v>
      </c>
      <c r="D47" s="499" t="s">
        <v>459</v>
      </c>
      <c r="E47" s="498" t="s">
        <v>753</v>
      </c>
      <c r="F47" s="499" t="s">
        <v>754</v>
      </c>
      <c r="G47" s="498" t="s">
        <v>769</v>
      </c>
      <c r="H47" s="498" t="s">
        <v>770</v>
      </c>
      <c r="I47" s="501">
        <v>22287.529296875</v>
      </c>
      <c r="J47" s="501">
        <v>1</v>
      </c>
      <c r="K47" s="502">
        <v>22287.529296875</v>
      </c>
    </row>
    <row r="48" spans="1:11" ht="14.4" customHeight="1" x14ac:dyDescent="0.3">
      <c r="A48" s="496" t="s">
        <v>445</v>
      </c>
      <c r="B48" s="497" t="s">
        <v>446</v>
      </c>
      <c r="C48" s="498" t="s">
        <v>458</v>
      </c>
      <c r="D48" s="499" t="s">
        <v>459</v>
      </c>
      <c r="E48" s="498" t="s">
        <v>753</v>
      </c>
      <c r="F48" s="499" t="s">
        <v>754</v>
      </c>
      <c r="G48" s="498" t="s">
        <v>771</v>
      </c>
      <c r="H48" s="498" t="s">
        <v>772</v>
      </c>
      <c r="I48" s="501">
        <v>4328.7998046875</v>
      </c>
      <c r="J48" s="501">
        <v>1</v>
      </c>
      <c r="K48" s="502">
        <v>4328.7998046875</v>
      </c>
    </row>
    <row r="49" spans="1:11" ht="14.4" customHeight="1" x14ac:dyDescent="0.3">
      <c r="A49" s="496" t="s">
        <v>445</v>
      </c>
      <c r="B49" s="497" t="s">
        <v>446</v>
      </c>
      <c r="C49" s="498" t="s">
        <v>458</v>
      </c>
      <c r="D49" s="499" t="s">
        <v>459</v>
      </c>
      <c r="E49" s="498" t="s">
        <v>753</v>
      </c>
      <c r="F49" s="499" t="s">
        <v>754</v>
      </c>
      <c r="G49" s="498" t="s">
        <v>773</v>
      </c>
      <c r="H49" s="498" t="s">
        <v>774</v>
      </c>
      <c r="I49" s="501">
        <v>9486</v>
      </c>
      <c r="J49" s="501">
        <v>1</v>
      </c>
      <c r="K49" s="502">
        <v>9486</v>
      </c>
    </row>
    <row r="50" spans="1:11" ht="14.4" customHeight="1" x14ac:dyDescent="0.3">
      <c r="A50" s="496" t="s">
        <v>445</v>
      </c>
      <c r="B50" s="497" t="s">
        <v>446</v>
      </c>
      <c r="C50" s="498" t="s">
        <v>458</v>
      </c>
      <c r="D50" s="499" t="s">
        <v>459</v>
      </c>
      <c r="E50" s="498" t="s">
        <v>753</v>
      </c>
      <c r="F50" s="499" t="s">
        <v>754</v>
      </c>
      <c r="G50" s="498" t="s">
        <v>775</v>
      </c>
      <c r="H50" s="498" t="s">
        <v>776</v>
      </c>
      <c r="I50" s="501">
        <v>48665.5</v>
      </c>
      <c r="J50" s="501">
        <v>1</v>
      </c>
      <c r="K50" s="502">
        <v>48665.5</v>
      </c>
    </row>
    <row r="51" spans="1:11" ht="14.4" customHeight="1" x14ac:dyDescent="0.3">
      <c r="A51" s="496" t="s">
        <v>445</v>
      </c>
      <c r="B51" s="497" t="s">
        <v>446</v>
      </c>
      <c r="C51" s="498" t="s">
        <v>458</v>
      </c>
      <c r="D51" s="499" t="s">
        <v>459</v>
      </c>
      <c r="E51" s="498" t="s">
        <v>753</v>
      </c>
      <c r="F51" s="499" t="s">
        <v>754</v>
      </c>
      <c r="G51" s="498" t="s">
        <v>777</v>
      </c>
      <c r="H51" s="498" t="s">
        <v>778</v>
      </c>
      <c r="I51" s="501">
        <v>88390.5</v>
      </c>
      <c r="J51" s="501">
        <v>1</v>
      </c>
      <c r="K51" s="502">
        <v>88390.5</v>
      </c>
    </row>
    <row r="52" spans="1:11" ht="14.4" customHeight="1" x14ac:dyDescent="0.3">
      <c r="A52" s="496" t="s">
        <v>445</v>
      </c>
      <c r="B52" s="497" t="s">
        <v>446</v>
      </c>
      <c r="C52" s="498" t="s">
        <v>458</v>
      </c>
      <c r="D52" s="499" t="s">
        <v>459</v>
      </c>
      <c r="E52" s="498" t="s">
        <v>753</v>
      </c>
      <c r="F52" s="499" t="s">
        <v>754</v>
      </c>
      <c r="G52" s="498" t="s">
        <v>779</v>
      </c>
      <c r="H52" s="498" t="s">
        <v>780</v>
      </c>
      <c r="I52" s="501">
        <v>323.12739590133987</v>
      </c>
      <c r="J52" s="501">
        <v>1</v>
      </c>
      <c r="K52" s="502">
        <v>323.12739590133987</v>
      </c>
    </row>
    <row r="53" spans="1:11" ht="14.4" customHeight="1" x14ac:dyDescent="0.3">
      <c r="A53" s="496" t="s">
        <v>445</v>
      </c>
      <c r="B53" s="497" t="s">
        <v>446</v>
      </c>
      <c r="C53" s="498" t="s">
        <v>458</v>
      </c>
      <c r="D53" s="499" t="s">
        <v>459</v>
      </c>
      <c r="E53" s="498" t="s">
        <v>753</v>
      </c>
      <c r="F53" s="499" t="s">
        <v>754</v>
      </c>
      <c r="G53" s="498" t="s">
        <v>781</v>
      </c>
      <c r="H53" s="498" t="s">
        <v>782</v>
      </c>
      <c r="I53" s="501">
        <v>3412</v>
      </c>
      <c r="J53" s="501">
        <v>1</v>
      </c>
      <c r="K53" s="502">
        <v>3412</v>
      </c>
    </row>
    <row r="54" spans="1:11" ht="14.4" customHeight="1" x14ac:dyDescent="0.3">
      <c r="A54" s="496" t="s">
        <v>445</v>
      </c>
      <c r="B54" s="497" t="s">
        <v>446</v>
      </c>
      <c r="C54" s="498" t="s">
        <v>458</v>
      </c>
      <c r="D54" s="499" t="s">
        <v>459</v>
      </c>
      <c r="E54" s="498" t="s">
        <v>753</v>
      </c>
      <c r="F54" s="499" t="s">
        <v>754</v>
      </c>
      <c r="G54" s="498" t="s">
        <v>783</v>
      </c>
      <c r="H54" s="498" t="s">
        <v>784</v>
      </c>
      <c r="I54" s="501">
        <v>477.98750305175781</v>
      </c>
      <c r="J54" s="501">
        <v>5</v>
      </c>
      <c r="K54" s="502">
        <v>2389.8900146484375</v>
      </c>
    </row>
    <row r="55" spans="1:11" ht="14.4" customHeight="1" x14ac:dyDescent="0.3">
      <c r="A55" s="496" t="s">
        <v>445</v>
      </c>
      <c r="B55" s="497" t="s">
        <v>446</v>
      </c>
      <c r="C55" s="498" t="s">
        <v>458</v>
      </c>
      <c r="D55" s="499" t="s">
        <v>459</v>
      </c>
      <c r="E55" s="498" t="s">
        <v>753</v>
      </c>
      <c r="F55" s="499" t="s">
        <v>754</v>
      </c>
      <c r="G55" s="498" t="s">
        <v>785</v>
      </c>
      <c r="H55" s="498" t="s">
        <v>786</v>
      </c>
      <c r="I55" s="501">
        <v>2504.699951171875</v>
      </c>
      <c r="J55" s="501">
        <v>4</v>
      </c>
      <c r="K55" s="502">
        <v>10018.7998046875</v>
      </c>
    </row>
    <row r="56" spans="1:11" ht="14.4" customHeight="1" x14ac:dyDescent="0.3">
      <c r="A56" s="496" t="s">
        <v>445</v>
      </c>
      <c r="B56" s="497" t="s">
        <v>446</v>
      </c>
      <c r="C56" s="498" t="s">
        <v>458</v>
      </c>
      <c r="D56" s="499" t="s">
        <v>459</v>
      </c>
      <c r="E56" s="498" t="s">
        <v>753</v>
      </c>
      <c r="F56" s="499" t="s">
        <v>754</v>
      </c>
      <c r="G56" s="498" t="s">
        <v>787</v>
      </c>
      <c r="H56" s="498" t="s">
        <v>788</v>
      </c>
      <c r="I56" s="501">
        <v>13431</v>
      </c>
      <c r="J56" s="501">
        <v>1</v>
      </c>
      <c r="K56" s="502">
        <v>13431</v>
      </c>
    </row>
    <row r="57" spans="1:11" ht="14.4" customHeight="1" x14ac:dyDescent="0.3">
      <c r="A57" s="496" t="s">
        <v>445</v>
      </c>
      <c r="B57" s="497" t="s">
        <v>446</v>
      </c>
      <c r="C57" s="498" t="s">
        <v>458</v>
      </c>
      <c r="D57" s="499" t="s">
        <v>459</v>
      </c>
      <c r="E57" s="498" t="s">
        <v>753</v>
      </c>
      <c r="F57" s="499" t="s">
        <v>754</v>
      </c>
      <c r="G57" s="498" t="s">
        <v>789</v>
      </c>
      <c r="H57" s="498" t="s">
        <v>790</v>
      </c>
      <c r="I57" s="501">
        <v>1835.8749389648437</v>
      </c>
      <c r="J57" s="501">
        <v>3</v>
      </c>
      <c r="K57" s="502">
        <v>5769.8897705078125</v>
      </c>
    </row>
    <row r="58" spans="1:11" ht="14.4" customHeight="1" x14ac:dyDescent="0.3">
      <c r="A58" s="496" t="s">
        <v>445</v>
      </c>
      <c r="B58" s="497" t="s">
        <v>446</v>
      </c>
      <c r="C58" s="498" t="s">
        <v>458</v>
      </c>
      <c r="D58" s="499" t="s">
        <v>459</v>
      </c>
      <c r="E58" s="498" t="s">
        <v>753</v>
      </c>
      <c r="F58" s="499" t="s">
        <v>754</v>
      </c>
      <c r="G58" s="498" t="s">
        <v>791</v>
      </c>
      <c r="H58" s="498" t="s">
        <v>792</v>
      </c>
      <c r="I58" s="501">
        <v>2544.69677734375</v>
      </c>
      <c r="J58" s="501">
        <v>3</v>
      </c>
      <c r="K58" s="502">
        <v>7634.09033203125</v>
      </c>
    </row>
    <row r="59" spans="1:11" ht="14.4" customHeight="1" x14ac:dyDescent="0.3">
      <c r="A59" s="496" t="s">
        <v>445</v>
      </c>
      <c r="B59" s="497" t="s">
        <v>446</v>
      </c>
      <c r="C59" s="498" t="s">
        <v>458</v>
      </c>
      <c r="D59" s="499" t="s">
        <v>459</v>
      </c>
      <c r="E59" s="498" t="s">
        <v>753</v>
      </c>
      <c r="F59" s="499" t="s">
        <v>754</v>
      </c>
      <c r="G59" s="498" t="s">
        <v>793</v>
      </c>
      <c r="H59" s="498" t="s">
        <v>794</v>
      </c>
      <c r="I59" s="501">
        <v>2964.5</v>
      </c>
      <c r="J59" s="501">
        <v>2</v>
      </c>
      <c r="K59" s="502">
        <v>5929</v>
      </c>
    </row>
    <row r="60" spans="1:11" ht="14.4" customHeight="1" x14ac:dyDescent="0.3">
      <c r="A60" s="496" t="s">
        <v>445</v>
      </c>
      <c r="B60" s="497" t="s">
        <v>446</v>
      </c>
      <c r="C60" s="498" t="s">
        <v>458</v>
      </c>
      <c r="D60" s="499" t="s">
        <v>459</v>
      </c>
      <c r="E60" s="498" t="s">
        <v>753</v>
      </c>
      <c r="F60" s="499" t="s">
        <v>754</v>
      </c>
      <c r="G60" s="498" t="s">
        <v>795</v>
      </c>
      <c r="H60" s="498" t="s">
        <v>796</v>
      </c>
      <c r="I60" s="501">
        <v>3616.68994140625</v>
      </c>
      <c r="J60" s="501">
        <v>1</v>
      </c>
      <c r="K60" s="502">
        <v>3616.68994140625</v>
      </c>
    </row>
    <row r="61" spans="1:11" ht="14.4" customHeight="1" x14ac:dyDescent="0.3">
      <c r="A61" s="496" t="s">
        <v>445</v>
      </c>
      <c r="B61" s="497" t="s">
        <v>446</v>
      </c>
      <c r="C61" s="498" t="s">
        <v>458</v>
      </c>
      <c r="D61" s="499" t="s">
        <v>459</v>
      </c>
      <c r="E61" s="498" t="s">
        <v>753</v>
      </c>
      <c r="F61" s="499" t="s">
        <v>754</v>
      </c>
      <c r="G61" s="498" t="s">
        <v>797</v>
      </c>
      <c r="H61" s="498" t="s">
        <v>798</v>
      </c>
      <c r="I61" s="501">
        <v>13503.720052083334</v>
      </c>
      <c r="J61" s="501">
        <v>3</v>
      </c>
      <c r="K61" s="502">
        <v>40511.16015625</v>
      </c>
    </row>
    <row r="62" spans="1:11" ht="14.4" customHeight="1" x14ac:dyDescent="0.3">
      <c r="A62" s="496" t="s">
        <v>445</v>
      </c>
      <c r="B62" s="497" t="s">
        <v>446</v>
      </c>
      <c r="C62" s="498" t="s">
        <v>458</v>
      </c>
      <c r="D62" s="499" t="s">
        <v>459</v>
      </c>
      <c r="E62" s="498" t="s">
        <v>753</v>
      </c>
      <c r="F62" s="499" t="s">
        <v>754</v>
      </c>
      <c r="G62" s="498" t="s">
        <v>799</v>
      </c>
      <c r="H62" s="498" t="s">
        <v>800</v>
      </c>
      <c r="I62" s="501">
        <v>13513.85009765625</v>
      </c>
      <c r="J62" s="501">
        <v>2</v>
      </c>
      <c r="K62" s="502">
        <v>27027.7001953125</v>
      </c>
    </row>
    <row r="63" spans="1:11" ht="14.4" customHeight="1" x14ac:dyDescent="0.3">
      <c r="A63" s="496" t="s">
        <v>445</v>
      </c>
      <c r="B63" s="497" t="s">
        <v>446</v>
      </c>
      <c r="C63" s="498" t="s">
        <v>458</v>
      </c>
      <c r="D63" s="499" t="s">
        <v>459</v>
      </c>
      <c r="E63" s="498" t="s">
        <v>753</v>
      </c>
      <c r="F63" s="499" t="s">
        <v>754</v>
      </c>
      <c r="G63" s="498" t="s">
        <v>801</v>
      </c>
      <c r="H63" s="498" t="s">
        <v>802</v>
      </c>
      <c r="I63" s="501">
        <v>683.0999755859375</v>
      </c>
      <c r="J63" s="501">
        <v>1</v>
      </c>
      <c r="K63" s="502">
        <v>683.0999755859375</v>
      </c>
    </row>
    <row r="64" spans="1:11" ht="14.4" customHeight="1" x14ac:dyDescent="0.3">
      <c r="A64" s="496" t="s">
        <v>445</v>
      </c>
      <c r="B64" s="497" t="s">
        <v>446</v>
      </c>
      <c r="C64" s="498" t="s">
        <v>458</v>
      </c>
      <c r="D64" s="499" t="s">
        <v>459</v>
      </c>
      <c r="E64" s="498" t="s">
        <v>753</v>
      </c>
      <c r="F64" s="499" t="s">
        <v>754</v>
      </c>
      <c r="G64" s="498" t="s">
        <v>803</v>
      </c>
      <c r="H64" s="498" t="s">
        <v>804</v>
      </c>
      <c r="I64" s="501">
        <v>169.47186491615469</v>
      </c>
      <c r="J64" s="501">
        <v>1</v>
      </c>
      <c r="K64" s="502">
        <v>169.47186491615469</v>
      </c>
    </row>
    <row r="65" spans="1:11" ht="14.4" customHeight="1" x14ac:dyDescent="0.3">
      <c r="A65" s="496" t="s">
        <v>445</v>
      </c>
      <c r="B65" s="497" t="s">
        <v>446</v>
      </c>
      <c r="C65" s="498" t="s">
        <v>458</v>
      </c>
      <c r="D65" s="499" t="s">
        <v>459</v>
      </c>
      <c r="E65" s="498" t="s">
        <v>753</v>
      </c>
      <c r="F65" s="499" t="s">
        <v>754</v>
      </c>
      <c r="G65" s="498" t="s">
        <v>805</v>
      </c>
      <c r="H65" s="498" t="s">
        <v>806</v>
      </c>
      <c r="I65" s="501">
        <v>1323</v>
      </c>
      <c r="J65" s="501">
        <v>1</v>
      </c>
      <c r="K65" s="502">
        <v>1323</v>
      </c>
    </row>
    <row r="66" spans="1:11" ht="14.4" customHeight="1" x14ac:dyDescent="0.3">
      <c r="A66" s="496" t="s">
        <v>445</v>
      </c>
      <c r="B66" s="497" t="s">
        <v>446</v>
      </c>
      <c r="C66" s="498" t="s">
        <v>458</v>
      </c>
      <c r="D66" s="499" t="s">
        <v>459</v>
      </c>
      <c r="E66" s="498" t="s">
        <v>753</v>
      </c>
      <c r="F66" s="499" t="s">
        <v>754</v>
      </c>
      <c r="G66" s="498" t="s">
        <v>807</v>
      </c>
      <c r="H66" s="498" t="s">
        <v>808</v>
      </c>
      <c r="I66" s="501">
        <v>3739</v>
      </c>
      <c r="J66" s="501">
        <v>4</v>
      </c>
      <c r="K66" s="502">
        <v>14956</v>
      </c>
    </row>
    <row r="67" spans="1:11" ht="14.4" customHeight="1" x14ac:dyDescent="0.3">
      <c r="A67" s="496" t="s">
        <v>445</v>
      </c>
      <c r="B67" s="497" t="s">
        <v>446</v>
      </c>
      <c r="C67" s="498" t="s">
        <v>458</v>
      </c>
      <c r="D67" s="499" t="s">
        <v>459</v>
      </c>
      <c r="E67" s="498" t="s">
        <v>753</v>
      </c>
      <c r="F67" s="499" t="s">
        <v>754</v>
      </c>
      <c r="G67" s="498" t="s">
        <v>809</v>
      </c>
      <c r="H67" s="498" t="s">
        <v>810</v>
      </c>
      <c r="I67" s="501">
        <v>38137.865234375</v>
      </c>
      <c r="J67" s="501">
        <v>2</v>
      </c>
      <c r="K67" s="502">
        <v>76275.73046875</v>
      </c>
    </row>
    <row r="68" spans="1:11" ht="14.4" customHeight="1" x14ac:dyDescent="0.3">
      <c r="A68" s="496" t="s">
        <v>445</v>
      </c>
      <c r="B68" s="497" t="s">
        <v>446</v>
      </c>
      <c r="C68" s="498" t="s">
        <v>458</v>
      </c>
      <c r="D68" s="499" t="s">
        <v>459</v>
      </c>
      <c r="E68" s="498" t="s">
        <v>753</v>
      </c>
      <c r="F68" s="499" t="s">
        <v>754</v>
      </c>
      <c r="G68" s="498" t="s">
        <v>811</v>
      </c>
      <c r="H68" s="498" t="s">
        <v>812</v>
      </c>
      <c r="I68" s="501">
        <v>26392.03515625</v>
      </c>
      <c r="J68" s="501">
        <v>7</v>
      </c>
      <c r="K68" s="502">
        <v>182067.1328125</v>
      </c>
    </row>
    <row r="69" spans="1:11" ht="14.4" customHeight="1" x14ac:dyDescent="0.3">
      <c r="A69" s="496" t="s">
        <v>445</v>
      </c>
      <c r="B69" s="497" t="s">
        <v>446</v>
      </c>
      <c r="C69" s="498" t="s">
        <v>458</v>
      </c>
      <c r="D69" s="499" t="s">
        <v>459</v>
      </c>
      <c r="E69" s="498" t="s">
        <v>753</v>
      </c>
      <c r="F69" s="499" t="s">
        <v>754</v>
      </c>
      <c r="G69" s="498" t="s">
        <v>813</v>
      </c>
      <c r="H69" s="498" t="s">
        <v>814</v>
      </c>
      <c r="I69" s="501">
        <v>2139.280029296875</v>
      </c>
      <c r="J69" s="501">
        <v>2</v>
      </c>
      <c r="K69" s="502">
        <v>4278.56005859375</v>
      </c>
    </row>
    <row r="70" spans="1:11" ht="14.4" customHeight="1" x14ac:dyDescent="0.3">
      <c r="A70" s="496" t="s">
        <v>445</v>
      </c>
      <c r="B70" s="497" t="s">
        <v>446</v>
      </c>
      <c r="C70" s="498" t="s">
        <v>458</v>
      </c>
      <c r="D70" s="499" t="s">
        <v>459</v>
      </c>
      <c r="E70" s="498" t="s">
        <v>753</v>
      </c>
      <c r="F70" s="499" t="s">
        <v>754</v>
      </c>
      <c r="G70" s="498" t="s">
        <v>815</v>
      </c>
      <c r="H70" s="498" t="s">
        <v>816</v>
      </c>
      <c r="I70" s="501">
        <v>117341.1484375</v>
      </c>
      <c r="J70" s="501">
        <v>1</v>
      </c>
      <c r="K70" s="502">
        <v>117341.1484375</v>
      </c>
    </row>
    <row r="71" spans="1:11" ht="14.4" customHeight="1" x14ac:dyDescent="0.3">
      <c r="A71" s="496" t="s">
        <v>445</v>
      </c>
      <c r="B71" s="497" t="s">
        <v>446</v>
      </c>
      <c r="C71" s="498" t="s">
        <v>458</v>
      </c>
      <c r="D71" s="499" t="s">
        <v>459</v>
      </c>
      <c r="E71" s="498" t="s">
        <v>753</v>
      </c>
      <c r="F71" s="499" t="s">
        <v>754</v>
      </c>
      <c r="G71" s="498" t="s">
        <v>817</v>
      </c>
      <c r="H71" s="498" t="s">
        <v>818</v>
      </c>
      <c r="I71" s="501">
        <v>121.125</v>
      </c>
      <c r="J71" s="501">
        <v>8</v>
      </c>
      <c r="K71" s="502">
        <v>968.95999145507812</v>
      </c>
    </row>
    <row r="72" spans="1:11" ht="14.4" customHeight="1" x14ac:dyDescent="0.3">
      <c r="A72" s="496" t="s">
        <v>445</v>
      </c>
      <c r="B72" s="497" t="s">
        <v>446</v>
      </c>
      <c r="C72" s="498" t="s">
        <v>458</v>
      </c>
      <c r="D72" s="499" t="s">
        <v>459</v>
      </c>
      <c r="E72" s="498" t="s">
        <v>753</v>
      </c>
      <c r="F72" s="499" t="s">
        <v>754</v>
      </c>
      <c r="G72" s="498" t="s">
        <v>819</v>
      </c>
      <c r="H72" s="498" t="s">
        <v>820</v>
      </c>
      <c r="I72" s="501">
        <v>71.879997253417969</v>
      </c>
      <c r="J72" s="501">
        <v>2</v>
      </c>
      <c r="K72" s="502">
        <v>143.75</v>
      </c>
    </row>
    <row r="73" spans="1:11" ht="14.4" customHeight="1" x14ac:dyDescent="0.3">
      <c r="A73" s="496" t="s">
        <v>445</v>
      </c>
      <c r="B73" s="497" t="s">
        <v>446</v>
      </c>
      <c r="C73" s="498" t="s">
        <v>458</v>
      </c>
      <c r="D73" s="499" t="s">
        <v>459</v>
      </c>
      <c r="E73" s="498" t="s">
        <v>753</v>
      </c>
      <c r="F73" s="499" t="s">
        <v>754</v>
      </c>
      <c r="G73" s="498" t="s">
        <v>821</v>
      </c>
      <c r="H73" s="498" t="s">
        <v>822</v>
      </c>
      <c r="I73" s="501">
        <v>80.969999694824224</v>
      </c>
      <c r="J73" s="501">
        <v>19</v>
      </c>
      <c r="K73" s="502">
        <v>1539.8300323486328</v>
      </c>
    </row>
    <row r="74" spans="1:11" ht="14.4" customHeight="1" x14ac:dyDescent="0.3">
      <c r="A74" s="496" t="s">
        <v>445</v>
      </c>
      <c r="B74" s="497" t="s">
        <v>446</v>
      </c>
      <c r="C74" s="498" t="s">
        <v>458</v>
      </c>
      <c r="D74" s="499" t="s">
        <v>459</v>
      </c>
      <c r="E74" s="498" t="s">
        <v>753</v>
      </c>
      <c r="F74" s="499" t="s">
        <v>754</v>
      </c>
      <c r="G74" s="498" t="s">
        <v>823</v>
      </c>
      <c r="H74" s="498" t="s">
        <v>824</v>
      </c>
      <c r="I74" s="501">
        <v>19638.3203125</v>
      </c>
      <c r="J74" s="501">
        <v>1</v>
      </c>
      <c r="K74" s="502">
        <v>19638.3203125</v>
      </c>
    </row>
    <row r="75" spans="1:11" ht="14.4" customHeight="1" x14ac:dyDescent="0.3">
      <c r="A75" s="496" t="s">
        <v>445</v>
      </c>
      <c r="B75" s="497" t="s">
        <v>446</v>
      </c>
      <c r="C75" s="498" t="s">
        <v>458</v>
      </c>
      <c r="D75" s="499" t="s">
        <v>459</v>
      </c>
      <c r="E75" s="498" t="s">
        <v>753</v>
      </c>
      <c r="F75" s="499" t="s">
        <v>754</v>
      </c>
      <c r="G75" s="498" t="s">
        <v>825</v>
      </c>
      <c r="H75" s="498" t="s">
        <v>826</v>
      </c>
      <c r="I75" s="501">
        <v>25719.6953125</v>
      </c>
      <c r="J75" s="501">
        <v>2</v>
      </c>
      <c r="K75" s="502">
        <v>51439.390625</v>
      </c>
    </row>
    <row r="76" spans="1:11" ht="14.4" customHeight="1" x14ac:dyDescent="0.3">
      <c r="A76" s="496" t="s">
        <v>445</v>
      </c>
      <c r="B76" s="497" t="s">
        <v>446</v>
      </c>
      <c r="C76" s="498" t="s">
        <v>458</v>
      </c>
      <c r="D76" s="499" t="s">
        <v>459</v>
      </c>
      <c r="E76" s="498" t="s">
        <v>753</v>
      </c>
      <c r="F76" s="499" t="s">
        <v>754</v>
      </c>
      <c r="G76" s="498" t="s">
        <v>827</v>
      </c>
      <c r="H76" s="498" t="s">
        <v>828</v>
      </c>
      <c r="I76" s="501">
        <v>14036</v>
      </c>
      <c r="J76" s="501">
        <v>5</v>
      </c>
      <c r="K76" s="502">
        <v>70180</v>
      </c>
    </row>
    <row r="77" spans="1:11" ht="14.4" customHeight="1" x14ac:dyDescent="0.3">
      <c r="A77" s="496" t="s">
        <v>445</v>
      </c>
      <c r="B77" s="497" t="s">
        <v>446</v>
      </c>
      <c r="C77" s="498" t="s">
        <v>458</v>
      </c>
      <c r="D77" s="499" t="s">
        <v>459</v>
      </c>
      <c r="E77" s="498" t="s">
        <v>753</v>
      </c>
      <c r="F77" s="499" t="s">
        <v>754</v>
      </c>
      <c r="G77" s="498" t="s">
        <v>829</v>
      </c>
      <c r="H77" s="498" t="s">
        <v>830</v>
      </c>
      <c r="I77" s="501">
        <v>234.43105233509786</v>
      </c>
      <c r="J77" s="501">
        <v>3</v>
      </c>
      <c r="K77" s="502">
        <v>703.29315700529355</v>
      </c>
    </row>
    <row r="78" spans="1:11" ht="14.4" customHeight="1" x14ac:dyDescent="0.3">
      <c r="A78" s="496" t="s">
        <v>445</v>
      </c>
      <c r="B78" s="497" t="s">
        <v>446</v>
      </c>
      <c r="C78" s="498" t="s">
        <v>458</v>
      </c>
      <c r="D78" s="499" t="s">
        <v>459</v>
      </c>
      <c r="E78" s="498" t="s">
        <v>753</v>
      </c>
      <c r="F78" s="499" t="s">
        <v>754</v>
      </c>
      <c r="G78" s="498" t="s">
        <v>831</v>
      </c>
      <c r="H78" s="498" t="s">
        <v>832</v>
      </c>
      <c r="I78" s="501">
        <v>242</v>
      </c>
      <c r="J78" s="501">
        <v>3</v>
      </c>
      <c r="K78" s="502">
        <v>726</v>
      </c>
    </row>
    <row r="79" spans="1:11" ht="14.4" customHeight="1" x14ac:dyDescent="0.3">
      <c r="A79" s="496" t="s">
        <v>445</v>
      </c>
      <c r="B79" s="497" t="s">
        <v>446</v>
      </c>
      <c r="C79" s="498" t="s">
        <v>458</v>
      </c>
      <c r="D79" s="499" t="s">
        <v>459</v>
      </c>
      <c r="E79" s="498" t="s">
        <v>753</v>
      </c>
      <c r="F79" s="499" t="s">
        <v>754</v>
      </c>
      <c r="G79" s="498" t="s">
        <v>833</v>
      </c>
      <c r="H79" s="498" t="s">
        <v>834</v>
      </c>
      <c r="I79" s="501">
        <v>6076.60986328125</v>
      </c>
      <c r="J79" s="501">
        <v>1</v>
      </c>
      <c r="K79" s="502">
        <v>6076.60986328125</v>
      </c>
    </row>
    <row r="80" spans="1:11" ht="14.4" customHeight="1" x14ac:dyDescent="0.3">
      <c r="A80" s="496" t="s">
        <v>445</v>
      </c>
      <c r="B80" s="497" t="s">
        <v>446</v>
      </c>
      <c r="C80" s="498" t="s">
        <v>458</v>
      </c>
      <c r="D80" s="499" t="s">
        <v>459</v>
      </c>
      <c r="E80" s="498" t="s">
        <v>753</v>
      </c>
      <c r="F80" s="499" t="s">
        <v>754</v>
      </c>
      <c r="G80" s="498" t="s">
        <v>835</v>
      </c>
      <c r="H80" s="498" t="s">
        <v>836</v>
      </c>
      <c r="I80" s="501">
        <v>1228.1500244140625</v>
      </c>
      <c r="J80" s="501">
        <v>8</v>
      </c>
      <c r="K80" s="502">
        <v>9825.2001953125</v>
      </c>
    </row>
    <row r="81" spans="1:11" ht="14.4" customHeight="1" x14ac:dyDescent="0.3">
      <c r="A81" s="496" t="s">
        <v>445</v>
      </c>
      <c r="B81" s="497" t="s">
        <v>446</v>
      </c>
      <c r="C81" s="498" t="s">
        <v>458</v>
      </c>
      <c r="D81" s="499" t="s">
        <v>459</v>
      </c>
      <c r="E81" s="498" t="s">
        <v>753</v>
      </c>
      <c r="F81" s="499" t="s">
        <v>754</v>
      </c>
      <c r="G81" s="498" t="s">
        <v>837</v>
      </c>
      <c r="H81" s="498" t="s">
        <v>838</v>
      </c>
      <c r="I81" s="501">
        <v>8941.719970703125</v>
      </c>
      <c r="J81" s="501">
        <v>3</v>
      </c>
      <c r="K81" s="502">
        <v>23867.1298828125</v>
      </c>
    </row>
    <row r="82" spans="1:11" ht="14.4" customHeight="1" x14ac:dyDescent="0.3">
      <c r="A82" s="496" t="s">
        <v>445</v>
      </c>
      <c r="B82" s="497" t="s">
        <v>446</v>
      </c>
      <c r="C82" s="498" t="s">
        <v>458</v>
      </c>
      <c r="D82" s="499" t="s">
        <v>459</v>
      </c>
      <c r="E82" s="498" t="s">
        <v>753</v>
      </c>
      <c r="F82" s="499" t="s">
        <v>754</v>
      </c>
      <c r="G82" s="498" t="s">
        <v>839</v>
      </c>
      <c r="H82" s="498" t="s">
        <v>840</v>
      </c>
      <c r="I82" s="501">
        <v>36785.9111328125</v>
      </c>
      <c r="J82" s="501">
        <v>2</v>
      </c>
      <c r="K82" s="502">
        <v>73571.822265625</v>
      </c>
    </row>
    <row r="83" spans="1:11" ht="14.4" customHeight="1" x14ac:dyDescent="0.3">
      <c r="A83" s="496" t="s">
        <v>445</v>
      </c>
      <c r="B83" s="497" t="s">
        <v>446</v>
      </c>
      <c r="C83" s="498" t="s">
        <v>458</v>
      </c>
      <c r="D83" s="499" t="s">
        <v>459</v>
      </c>
      <c r="E83" s="498" t="s">
        <v>753</v>
      </c>
      <c r="F83" s="499" t="s">
        <v>754</v>
      </c>
      <c r="G83" s="498" t="s">
        <v>841</v>
      </c>
      <c r="H83" s="498" t="s">
        <v>842</v>
      </c>
      <c r="I83" s="501">
        <v>288.99706600952533</v>
      </c>
      <c r="J83" s="501">
        <v>12</v>
      </c>
      <c r="K83" s="502">
        <v>3468.5695183596804</v>
      </c>
    </row>
    <row r="84" spans="1:11" ht="14.4" customHeight="1" x14ac:dyDescent="0.3">
      <c r="A84" s="496" t="s">
        <v>445</v>
      </c>
      <c r="B84" s="497" t="s">
        <v>446</v>
      </c>
      <c r="C84" s="498" t="s">
        <v>458</v>
      </c>
      <c r="D84" s="499" t="s">
        <v>459</v>
      </c>
      <c r="E84" s="498" t="s">
        <v>753</v>
      </c>
      <c r="F84" s="499" t="s">
        <v>754</v>
      </c>
      <c r="G84" s="498" t="s">
        <v>843</v>
      </c>
      <c r="H84" s="498" t="s">
        <v>844</v>
      </c>
      <c r="I84" s="501">
        <v>612.93928527832031</v>
      </c>
      <c r="J84" s="501">
        <v>42</v>
      </c>
      <c r="K84" s="502">
        <v>26264.3994140625</v>
      </c>
    </row>
    <row r="85" spans="1:11" ht="14.4" customHeight="1" x14ac:dyDescent="0.3">
      <c r="A85" s="496" t="s">
        <v>445</v>
      </c>
      <c r="B85" s="497" t="s">
        <v>446</v>
      </c>
      <c r="C85" s="498" t="s">
        <v>458</v>
      </c>
      <c r="D85" s="499" t="s">
        <v>459</v>
      </c>
      <c r="E85" s="498" t="s">
        <v>753</v>
      </c>
      <c r="F85" s="499" t="s">
        <v>754</v>
      </c>
      <c r="G85" s="498" t="s">
        <v>845</v>
      </c>
      <c r="H85" s="498" t="s">
        <v>846</v>
      </c>
      <c r="I85" s="501">
        <v>15554</v>
      </c>
      <c r="J85" s="501">
        <v>1</v>
      </c>
      <c r="K85" s="502">
        <v>15554</v>
      </c>
    </row>
    <row r="86" spans="1:11" ht="14.4" customHeight="1" x14ac:dyDescent="0.3">
      <c r="A86" s="496" t="s">
        <v>445</v>
      </c>
      <c r="B86" s="497" t="s">
        <v>446</v>
      </c>
      <c r="C86" s="498" t="s">
        <v>458</v>
      </c>
      <c r="D86" s="499" t="s">
        <v>459</v>
      </c>
      <c r="E86" s="498" t="s">
        <v>753</v>
      </c>
      <c r="F86" s="499" t="s">
        <v>754</v>
      </c>
      <c r="G86" s="498" t="s">
        <v>847</v>
      </c>
      <c r="H86" s="498" t="s">
        <v>848</v>
      </c>
      <c r="I86" s="501">
        <v>22651</v>
      </c>
      <c r="J86" s="501">
        <v>1</v>
      </c>
      <c r="K86" s="502">
        <v>22651</v>
      </c>
    </row>
    <row r="87" spans="1:11" ht="14.4" customHeight="1" x14ac:dyDescent="0.3">
      <c r="A87" s="496" t="s">
        <v>445</v>
      </c>
      <c r="B87" s="497" t="s">
        <v>446</v>
      </c>
      <c r="C87" s="498" t="s">
        <v>458</v>
      </c>
      <c r="D87" s="499" t="s">
        <v>459</v>
      </c>
      <c r="E87" s="498" t="s">
        <v>753</v>
      </c>
      <c r="F87" s="499" t="s">
        <v>754</v>
      </c>
      <c r="G87" s="498" t="s">
        <v>849</v>
      </c>
      <c r="H87" s="498" t="s">
        <v>850</v>
      </c>
      <c r="I87" s="501">
        <v>10430</v>
      </c>
      <c r="J87" s="501">
        <v>1</v>
      </c>
      <c r="K87" s="502">
        <v>10430</v>
      </c>
    </row>
    <row r="88" spans="1:11" ht="14.4" customHeight="1" x14ac:dyDescent="0.3">
      <c r="A88" s="496" t="s">
        <v>445</v>
      </c>
      <c r="B88" s="497" t="s">
        <v>446</v>
      </c>
      <c r="C88" s="498" t="s">
        <v>458</v>
      </c>
      <c r="D88" s="499" t="s">
        <v>459</v>
      </c>
      <c r="E88" s="498" t="s">
        <v>753</v>
      </c>
      <c r="F88" s="499" t="s">
        <v>754</v>
      </c>
      <c r="G88" s="498" t="s">
        <v>851</v>
      </c>
      <c r="H88" s="498" t="s">
        <v>852</v>
      </c>
      <c r="I88" s="501">
        <v>756.4262419564725</v>
      </c>
      <c r="J88" s="501">
        <v>2</v>
      </c>
      <c r="K88" s="502">
        <v>1512.852483912945</v>
      </c>
    </row>
    <row r="89" spans="1:11" ht="14.4" customHeight="1" x14ac:dyDescent="0.3">
      <c r="A89" s="496" t="s">
        <v>445</v>
      </c>
      <c r="B89" s="497" t="s">
        <v>446</v>
      </c>
      <c r="C89" s="498" t="s">
        <v>458</v>
      </c>
      <c r="D89" s="499" t="s">
        <v>459</v>
      </c>
      <c r="E89" s="498" t="s">
        <v>753</v>
      </c>
      <c r="F89" s="499" t="s">
        <v>754</v>
      </c>
      <c r="G89" s="498" t="s">
        <v>853</v>
      </c>
      <c r="H89" s="498" t="s">
        <v>854</v>
      </c>
      <c r="I89" s="501">
        <v>303.77419311331971</v>
      </c>
      <c r="J89" s="501">
        <v>7</v>
      </c>
      <c r="K89" s="502">
        <v>2126.4193517932381</v>
      </c>
    </row>
    <row r="90" spans="1:11" ht="14.4" customHeight="1" x14ac:dyDescent="0.3">
      <c r="A90" s="496" t="s">
        <v>445</v>
      </c>
      <c r="B90" s="497" t="s">
        <v>446</v>
      </c>
      <c r="C90" s="498" t="s">
        <v>458</v>
      </c>
      <c r="D90" s="499" t="s">
        <v>459</v>
      </c>
      <c r="E90" s="498" t="s">
        <v>753</v>
      </c>
      <c r="F90" s="499" t="s">
        <v>754</v>
      </c>
      <c r="G90" s="498" t="s">
        <v>855</v>
      </c>
      <c r="H90" s="498" t="s">
        <v>856</v>
      </c>
      <c r="I90" s="501">
        <v>316.71200561523438</v>
      </c>
      <c r="J90" s="501">
        <v>5</v>
      </c>
      <c r="K90" s="502">
        <v>1583.56005859375</v>
      </c>
    </row>
    <row r="91" spans="1:11" ht="14.4" customHeight="1" x14ac:dyDescent="0.3">
      <c r="A91" s="496" t="s">
        <v>445</v>
      </c>
      <c r="B91" s="497" t="s">
        <v>446</v>
      </c>
      <c r="C91" s="498" t="s">
        <v>458</v>
      </c>
      <c r="D91" s="499" t="s">
        <v>459</v>
      </c>
      <c r="E91" s="498" t="s">
        <v>753</v>
      </c>
      <c r="F91" s="499" t="s">
        <v>754</v>
      </c>
      <c r="G91" s="498" t="s">
        <v>857</v>
      </c>
      <c r="H91" s="498" t="s">
        <v>858</v>
      </c>
      <c r="I91" s="501">
        <v>3279.159912109375</v>
      </c>
      <c r="J91" s="501">
        <v>1</v>
      </c>
      <c r="K91" s="502">
        <v>3279.159912109375</v>
      </c>
    </row>
    <row r="92" spans="1:11" ht="14.4" customHeight="1" x14ac:dyDescent="0.3">
      <c r="A92" s="496" t="s">
        <v>445</v>
      </c>
      <c r="B92" s="497" t="s">
        <v>446</v>
      </c>
      <c r="C92" s="498" t="s">
        <v>458</v>
      </c>
      <c r="D92" s="499" t="s">
        <v>459</v>
      </c>
      <c r="E92" s="498" t="s">
        <v>753</v>
      </c>
      <c r="F92" s="499" t="s">
        <v>754</v>
      </c>
      <c r="G92" s="498" t="s">
        <v>859</v>
      </c>
      <c r="H92" s="498" t="s">
        <v>860</v>
      </c>
      <c r="I92" s="501">
        <v>4135.9300537109375</v>
      </c>
      <c r="J92" s="501">
        <v>2</v>
      </c>
      <c r="K92" s="502">
        <v>8271.860107421875</v>
      </c>
    </row>
    <row r="93" spans="1:11" ht="14.4" customHeight="1" x14ac:dyDescent="0.3">
      <c r="A93" s="496" t="s">
        <v>445</v>
      </c>
      <c r="B93" s="497" t="s">
        <v>446</v>
      </c>
      <c r="C93" s="498" t="s">
        <v>458</v>
      </c>
      <c r="D93" s="499" t="s">
        <v>459</v>
      </c>
      <c r="E93" s="498" t="s">
        <v>753</v>
      </c>
      <c r="F93" s="499" t="s">
        <v>754</v>
      </c>
      <c r="G93" s="498" t="s">
        <v>861</v>
      </c>
      <c r="H93" s="498" t="s">
        <v>862</v>
      </c>
      <c r="I93" s="501">
        <v>9482.697509765625</v>
      </c>
      <c r="J93" s="501">
        <v>5</v>
      </c>
      <c r="K93" s="502">
        <v>47516.2001953125</v>
      </c>
    </row>
    <row r="94" spans="1:11" ht="14.4" customHeight="1" x14ac:dyDescent="0.3">
      <c r="A94" s="496" t="s">
        <v>445</v>
      </c>
      <c r="B94" s="497" t="s">
        <v>446</v>
      </c>
      <c r="C94" s="498" t="s">
        <v>458</v>
      </c>
      <c r="D94" s="499" t="s">
        <v>459</v>
      </c>
      <c r="E94" s="498" t="s">
        <v>753</v>
      </c>
      <c r="F94" s="499" t="s">
        <v>754</v>
      </c>
      <c r="G94" s="498" t="s">
        <v>863</v>
      </c>
      <c r="H94" s="498" t="s">
        <v>864</v>
      </c>
      <c r="I94" s="501">
        <v>44300.62890625</v>
      </c>
      <c r="J94" s="501">
        <v>1</v>
      </c>
      <c r="K94" s="502">
        <v>44300.62890625</v>
      </c>
    </row>
    <row r="95" spans="1:11" ht="14.4" customHeight="1" x14ac:dyDescent="0.3">
      <c r="A95" s="496" t="s">
        <v>445</v>
      </c>
      <c r="B95" s="497" t="s">
        <v>446</v>
      </c>
      <c r="C95" s="498" t="s">
        <v>458</v>
      </c>
      <c r="D95" s="499" t="s">
        <v>459</v>
      </c>
      <c r="E95" s="498" t="s">
        <v>753</v>
      </c>
      <c r="F95" s="499" t="s">
        <v>754</v>
      </c>
      <c r="G95" s="498" t="s">
        <v>865</v>
      </c>
      <c r="H95" s="498" t="s">
        <v>866</v>
      </c>
      <c r="I95" s="501">
        <v>15497.0498046875</v>
      </c>
      <c r="J95" s="501">
        <v>1</v>
      </c>
      <c r="K95" s="502">
        <v>15497.0498046875</v>
      </c>
    </row>
    <row r="96" spans="1:11" ht="14.4" customHeight="1" x14ac:dyDescent="0.3">
      <c r="A96" s="496" t="s">
        <v>445</v>
      </c>
      <c r="B96" s="497" t="s">
        <v>446</v>
      </c>
      <c r="C96" s="498" t="s">
        <v>458</v>
      </c>
      <c r="D96" s="499" t="s">
        <v>459</v>
      </c>
      <c r="E96" s="498" t="s">
        <v>753</v>
      </c>
      <c r="F96" s="499" t="s">
        <v>754</v>
      </c>
      <c r="G96" s="498" t="s">
        <v>867</v>
      </c>
      <c r="H96" s="498" t="s">
        <v>868</v>
      </c>
      <c r="I96" s="501">
        <v>30520.9296875</v>
      </c>
      <c r="J96" s="501">
        <v>2</v>
      </c>
      <c r="K96" s="502">
        <v>61041.859375</v>
      </c>
    </row>
    <row r="97" spans="1:11" ht="14.4" customHeight="1" x14ac:dyDescent="0.3">
      <c r="A97" s="496" t="s">
        <v>445</v>
      </c>
      <c r="B97" s="497" t="s">
        <v>446</v>
      </c>
      <c r="C97" s="498" t="s">
        <v>458</v>
      </c>
      <c r="D97" s="499" t="s">
        <v>459</v>
      </c>
      <c r="E97" s="498" t="s">
        <v>753</v>
      </c>
      <c r="F97" s="499" t="s">
        <v>754</v>
      </c>
      <c r="G97" s="498" t="s">
        <v>869</v>
      </c>
      <c r="H97" s="498" t="s">
        <v>870</v>
      </c>
      <c r="I97" s="501">
        <v>9.9999997764825821E-3</v>
      </c>
      <c r="J97" s="501">
        <v>1</v>
      </c>
      <c r="K97" s="502">
        <v>9.9999997764825821E-3</v>
      </c>
    </row>
    <row r="98" spans="1:11" ht="14.4" customHeight="1" x14ac:dyDescent="0.3">
      <c r="A98" s="496" t="s">
        <v>445</v>
      </c>
      <c r="B98" s="497" t="s">
        <v>446</v>
      </c>
      <c r="C98" s="498" t="s">
        <v>458</v>
      </c>
      <c r="D98" s="499" t="s">
        <v>459</v>
      </c>
      <c r="E98" s="498" t="s">
        <v>753</v>
      </c>
      <c r="F98" s="499" t="s">
        <v>754</v>
      </c>
      <c r="G98" s="498" t="s">
        <v>871</v>
      </c>
      <c r="H98" s="498" t="s">
        <v>872</v>
      </c>
      <c r="I98" s="501">
        <v>7748.52978515625</v>
      </c>
      <c r="J98" s="501">
        <v>1</v>
      </c>
      <c r="K98" s="502">
        <v>7748.52978515625</v>
      </c>
    </row>
    <row r="99" spans="1:11" ht="14.4" customHeight="1" x14ac:dyDescent="0.3">
      <c r="A99" s="496" t="s">
        <v>445</v>
      </c>
      <c r="B99" s="497" t="s">
        <v>446</v>
      </c>
      <c r="C99" s="498" t="s">
        <v>458</v>
      </c>
      <c r="D99" s="499" t="s">
        <v>459</v>
      </c>
      <c r="E99" s="498" t="s">
        <v>753</v>
      </c>
      <c r="F99" s="499" t="s">
        <v>754</v>
      </c>
      <c r="G99" s="498" t="s">
        <v>873</v>
      </c>
      <c r="H99" s="498" t="s">
        <v>874</v>
      </c>
      <c r="I99" s="501">
        <v>3874.2698925780132</v>
      </c>
      <c r="J99" s="501">
        <v>2</v>
      </c>
      <c r="K99" s="502">
        <v>7748.5397851560265</v>
      </c>
    </row>
    <row r="100" spans="1:11" ht="14.4" customHeight="1" x14ac:dyDescent="0.3">
      <c r="A100" s="496" t="s">
        <v>445</v>
      </c>
      <c r="B100" s="497" t="s">
        <v>446</v>
      </c>
      <c r="C100" s="498" t="s">
        <v>458</v>
      </c>
      <c r="D100" s="499" t="s">
        <v>459</v>
      </c>
      <c r="E100" s="498" t="s">
        <v>753</v>
      </c>
      <c r="F100" s="499" t="s">
        <v>754</v>
      </c>
      <c r="G100" s="498" t="s">
        <v>875</v>
      </c>
      <c r="H100" s="498" t="s">
        <v>876</v>
      </c>
      <c r="I100" s="501">
        <v>7748.52001953125</v>
      </c>
      <c r="J100" s="501">
        <v>2</v>
      </c>
      <c r="K100" s="502">
        <v>15497.0400390625</v>
      </c>
    </row>
    <row r="101" spans="1:11" ht="14.4" customHeight="1" x14ac:dyDescent="0.3">
      <c r="A101" s="496" t="s">
        <v>445</v>
      </c>
      <c r="B101" s="497" t="s">
        <v>446</v>
      </c>
      <c r="C101" s="498" t="s">
        <v>458</v>
      </c>
      <c r="D101" s="499" t="s">
        <v>459</v>
      </c>
      <c r="E101" s="498" t="s">
        <v>753</v>
      </c>
      <c r="F101" s="499" t="s">
        <v>754</v>
      </c>
      <c r="G101" s="498" t="s">
        <v>877</v>
      </c>
      <c r="H101" s="498" t="s">
        <v>878</v>
      </c>
      <c r="I101" s="501">
        <v>30908.0703125</v>
      </c>
      <c r="J101" s="501">
        <v>1</v>
      </c>
      <c r="K101" s="502">
        <v>30908.0703125</v>
      </c>
    </row>
    <row r="102" spans="1:11" ht="14.4" customHeight="1" x14ac:dyDescent="0.3">
      <c r="A102" s="496" t="s">
        <v>445</v>
      </c>
      <c r="B102" s="497" t="s">
        <v>446</v>
      </c>
      <c r="C102" s="498" t="s">
        <v>458</v>
      </c>
      <c r="D102" s="499" t="s">
        <v>459</v>
      </c>
      <c r="E102" s="498" t="s">
        <v>753</v>
      </c>
      <c r="F102" s="499" t="s">
        <v>754</v>
      </c>
      <c r="G102" s="498" t="s">
        <v>879</v>
      </c>
      <c r="H102" s="498" t="s">
        <v>880</v>
      </c>
      <c r="I102" s="501">
        <v>3874.264892578125</v>
      </c>
      <c r="J102" s="501">
        <v>2</v>
      </c>
      <c r="K102" s="502">
        <v>7748.52978515625</v>
      </c>
    </row>
    <row r="103" spans="1:11" ht="14.4" customHeight="1" x14ac:dyDescent="0.3">
      <c r="A103" s="496" t="s">
        <v>445</v>
      </c>
      <c r="B103" s="497" t="s">
        <v>446</v>
      </c>
      <c r="C103" s="498" t="s">
        <v>458</v>
      </c>
      <c r="D103" s="499" t="s">
        <v>459</v>
      </c>
      <c r="E103" s="498" t="s">
        <v>753</v>
      </c>
      <c r="F103" s="499" t="s">
        <v>754</v>
      </c>
      <c r="G103" s="498" t="s">
        <v>881</v>
      </c>
      <c r="H103" s="498" t="s">
        <v>882</v>
      </c>
      <c r="I103" s="501">
        <v>3874.264892578125</v>
      </c>
      <c r="J103" s="501">
        <v>2</v>
      </c>
      <c r="K103" s="502">
        <v>7748.52978515625</v>
      </c>
    </row>
    <row r="104" spans="1:11" ht="14.4" customHeight="1" x14ac:dyDescent="0.3">
      <c r="A104" s="496" t="s">
        <v>445</v>
      </c>
      <c r="B104" s="497" t="s">
        <v>446</v>
      </c>
      <c r="C104" s="498" t="s">
        <v>458</v>
      </c>
      <c r="D104" s="499" t="s">
        <v>459</v>
      </c>
      <c r="E104" s="498" t="s">
        <v>753</v>
      </c>
      <c r="F104" s="499" t="s">
        <v>754</v>
      </c>
      <c r="G104" s="498" t="s">
        <v>883</v>
      </c>
      <c r="H104" s="498" t="s">
        <v>884</v>
      </c>
      <c r="I104" s="501">
        <v>7748.52978515625</v>
      </c>
      <c r="J104" s="501">
        <v>1</v>
      </c>
      <c r="K104" s="502">
        <v>7748.52978515625</v>
      </c>
    </row>
    <row r="105" spans="1:11" ht="14.4" customHeight="1" x14ac:dyDescent="0.3">
      <c r="A105" s="496" t="s">
        <v>445</v>
      </c>
      <c r="B105" s="497" t="s">
        <v>446</v>
      </c>
      <c r="C105" s="498" t="s">
        <v>458</v>
      </c>
      <c r="D105" s="499" t="s">
        <v>459</v>
      </c>
      <c r="E105" s="498" t="s">
        <v>753</v>
      </c>
      <c r="F105" s="499" t="s">
        <v>754</v>
      </c>
      <c r="G105" s="498" t="s">
        <v>885</v>
      </c>
      <c r="H105" s="498" t="s">
        <v>886</v>
      </c>
      <c r="I105" s="501">
        <v>15497.0498046875</v>
      </c>
      <c r="J105" s="501">
        <v>1</v>
      </c>
      <c r="K105" s="502">
        <v>15497.0498046875</v>
      </c>
    </row>
    <row r="106" spans="1:11" ht="14.4" customHeight="1" x14ac:dyDescent="0.3">
      <c r="A106" s="496" t="s">
        <v>445</v>
      </c>
      <c r="B106" s="497" t="s">
        <v>446</v>
      </c>
      <c r="C106" s="498" t="s">
        <v>458</v>
      </c>
      <c r="D106" s="499" t="s">
        <v>459</v>
      </c>
      <c r="E106" s="498" t="s">
        <v>753</v>
      </c>
      <c r="F106" s="499" t="s">
        <v>754</v>
      </c>
      <c r="G106" s="498" t="s">
        <v>887</v>
      </c>
      <c r="H106" s="498" t="s">
        <v>888</v>
      </c>
      <c r="I106" s="501">
        <v>0</v>
      </c>
      <c r="J106" s="501">
        <v>2</v>
      </c>
      <c r="K106" s="502">
        <v>0</v>
      </c>
    </row>
    <row r="107" spans="1:11" ht="14.4" customHeight="1" x14ac:dyDescent="0.3">
      <c r="A107" s="496" t="s">
        <v>445</v>
      </c>
      <c r="B107" s="497" t="s">
        <v>446</v>
      </c>
      <c r="C107" s="498" t="s">
        <v>458</v>
      </c>
      <c r="D107" s="499" t="s">
        <v>459</v>
      </c>
      <c r="E107" s="498" t="s">
        <v>753</v>
      </c>
      <c r="F107" s="499" t="s">
        <v>754</v>
      </c>
      <c r="G107" s="498" t="s">
        <v>889</v>
      </c>
      <c r="H107" s="498" t="s">
        <v>890</v>
      </c>
      <c r="I107" s="501">
        <v>15497.0498046875</v>
      </c>
      <c r="J107" s="501">
        <v>1</v>
      </c>
      <c r="K107" s="502">
        <v>15497.0498046875</v>
      </c>
    </row>
    <row r="108" spans="1:11" ht="14.4" customHeight="1" x14ac:dyDescent="0.3">
      <c r="A108" s="496" t="s">
        <v>445</v>
      </c>
      <c r="B108" s="497" t="s">
        <v>446</v>
      </c>
      <c r="C108" s="498" t="s">
        <v>458</v>
      </c>
      <c r="D108" s="499" t="s">
        <v>459</v>
      </c>
      <c r="E108" s="498" t="s">
        <v>753</v>
      </c>
      <c r="F108" s="499" t="s">
        <v>754</v>
      </c>
      <c r="G108" s="498" t="s">
        <v>891</v>
      </c>
      <c r="H108" s="498" t="s">
        <v>892</v>
      </c>
      <c r="I108" s="501">
        <v>0</v>
      </c>
      <c r="J108" s="501">
        <v>3</v>
      </c>
      <c r="K108" s="502">
        <v>0</v>
      </c>
    </row>
    <row r="109" spans="1:11" ht="14.4" customHeight="1" x14ac:dyDescent="0.3">
      <c r="A109" s="496" t="s">
        <v>445</v>
      </c>
      <c r="B109" s="497" t="s">
        <v>446</v>
      </c>
      <c r="C109" s="498" t="s">
        <v>458</v>
      </c>
      <c r="D109" s="499" t="s">
        <v>459</v>
      </c>
      <c r="E109" s="498" t="s">
        <v>753</v>
      </c>
      <c r="F109" s="499" t="s">
        <v>754</v>
      </c>
      <c r="G109" s="498" t="s">
        <v>893</v>
      </c>
      <c r="H109" s="498" t="s">
        <v>894</v>
      </c>
      <c r="I109" s="501">
        <v>7748.52978515625</v>
      </c>
      <c r="J109" s="501">
        <v>1</v>
      </c>
      <c r="K109" s="502">
        <v>7748.52978515625</v>
      </c>
    </row>
    <row r="110" spans="1:11" ht="14.4" customHeight="1" x14ac:dyDescent="0.3">
      <c r="A110" s="496" t="s">
        <v>445</v>
      </c>
      <c r="B110" s="497" t="s">
        <v>446</v>
      </c>
      <c r="C110" s="498" t="s">
        <v>458</v>
      </c>
      <c r="D110" s="499" t="s">
        <v>459</v>
      </c>
      <c r="E110" s="498" t="s">
        <v>753</v>
      </c>
      <c r="F110" s="499" t="s">
        <v>754</v>
      </c>
      <c r="G110" s="498" t="s">
        <v>895</v>
      </c>
      <c r="H110" s="498" t="s">
        <v>896</v>
      </c>
      <c r="I110" s="501">
        <v>5.9999998658895493E-2</v>
      </c>
      <c r="J110" s="501">
        <v>1000</v>
      </c>
      <c r="K110" s="502">
        <v>60.5</v>
      </c>
    </row>
    <row r="111" spans="1:11" ht="14.4" customHeight="1" x14ac:dyDescent="0.3">
      <c r="A111" s="496" t="s">
        <v>445</v>
      </c>
      <c r="B111" s="497" t="s">
        <v>446</v>
      </c>
      <c r="C111" s="498" t="s">
        <v>458</v>
      </c>
      <c r="D111" s="499" t="s">
        <v>459</v>
      </c>
      <c r="E111" s="498" t="s">
        <v>753</v>
      </c>
      <c r="F111" s="499" t="s">
        <v>754</v>
      </c>
      <c r="G111" s="498" t="s">
        <v>897</v>
      </c>
      <c r="H111" s="498" t="s">
        <v>898</v>
      </c>
      <c r="I111" s="501">
        <v>210.41953508326708</v>
      </c>
      <c r="J111" s="501">
        <v>36</v>
      </c>
      <c r="K111" s="502">
        <v>7575.6423025546137</v>
      </c>
    </row>
    <row r="112" spans="1:11" ht="14.4" customHeight="1" x14ac:dyDescent="0.3">
      <c r="A112" s="496" t="s">
        <v>445</v>
      </c>
      <c r="B112" s="497" t="s">
        <v>446</v>
      </c>
      <c r="C112" s="498" t="s">
        <v>458</v>
      </c>
      <c r="D112" s="499" t="s">
        <v>459</v>
      </c>
      <c r="E112" s="498" t="s">
        <v>753</v>
      </c>
      <c r="F112" s="499" t="s">
        <v>754</v>
      </c>
      <c r="G112" s="498" t="s">
        <v>899</v>
      </c>
      <c r="H112" s="498" t="s">
        <v>900</v>
      </c>
      <c r="I112" s="501">
        <v>187.79173669591512</v>
      </c>
      <c r="J112" s="501">
        <v>2</v>
      </c>
      <c r="K112" s="502">
        <v>375.58347339183024</v>
      </c>
    </row>
    <row r="113" spans="1:11" ht="14.4" customHeight="1" x14ac:dyDescent="0.3">
      <c r="A113" s="496" t="s">
        <v>445</v>
      </c>
      <c r="B113" s="497" t="s">
        <v>446</v>
      </c>
      <c r="C113" s="498" t="s">
        <v>458</v>
      </c>
      <c r="D113" s="499" t="s">
        <v>459</v>
      </c>
      <c r="E113" s="498" t="s">
        <v>753</v>
      </c>
      <c r="F113" s="499" t="s">
        <v>754</v>
      </c>
      <c r="G113" s="498" t="s">
        <v>901</v>
      </c>
      <c r="H113" s="498" t="s">
        <v>902</v>
      </c>
      <c r="I113" s="501">
        <v>9317</v>
      </c>
      <c r="J113" s="501">
        <v>1</v>
      </c>
      <c r="K113" s="502">
        <v>9317</v>
      </c>
    </row>
    <row r="114" spans="1:11" ht="14.4" customHeight="1" x14ac:dyDescent="0.3">
      <c r="A114" s="496" t="s">
        <v>445</v>
      </c>
      <c r="B114" s="497" t="s">
        <v>446</v>
      </c>
      <c r="C114" s="498" t="s">
        <v>458</v>
      </c>
      <c r="D114" s="499" t="s">
        <v>459</v>
      </c>
      <c r="E114" s="498" t="s">
        <v>753</v>
      </c>
      <c r="F114" s="499" t="s">
        <v>754</v>
      </c>
      <c r="G114" s="498" t="s">
        <v>903</v>
      </c>
      <c r="H114" s="498" t="s">
        <v>904</v>
      </c>
      <c r="I114" s="501">
        <v>9317</v>
      </c>
      <c r="J114" s="501">
        <v>1</v>
      </c>
      <c r="K114" s="502">
        <v>9317</v>
      </c>
    </row>
    <row r="115" spans="1:11" ht="14.4" customHeight="1" x14ac:dyDescent="0.3">
      <c r="A115" s="496" t="s">
        <v>445</v>
      </c>
      <c r="B115" s="497" t="s">
        <v>446</v>
      </c>
      <c r="C115" s="498" t="s">
        <v>458</v>
      </c>
      <c r="D115" s="499" t="s">
        <v>459</v>
      </c>
      <c r="E115" s="498" t="s">
        <v>753</v>
      </c>
      <c r="F115" s="499" t="s">
        <v>754</v>
      </c>
      <c r="G115" s="498" t="s">
        <v>905</v>
      </c>
      <c r="H115" s="498" t="s">
        <v>906</v>
      </c>
      <c r="I115" s="501">
        <v>240.44017643152483</v>
      </c>
      <c r="J115" s="501">
        <v>1</v>
      </c>
      <c r="K115" s="502">
        <v>240.44017643152483</v>
      </c>
    </row>
    <row r="116" spans="1:11" ht="14.4" customHeight="1" x14ac:dyDescent="0.3">
      <c r="A116" s="496" t="s">
        <v>445</v>
      </c>
      <c r="B116" s="497" t="s">
        <v>446</v>
      </c>
      <c r="C116" s="498" t="s">
        <v>458</v>
      </c>
      <c r="D116" s="499" t="s">
        <v>459</v>
      </c>
      <c r="E116" s="498" t="s">
        <v>753</v>
      </c>
      <c r="F116" s="499" t="s">
        <v>754</v>
      </c>
      <c r="G116" s="498" t="s">
        <v>907</v>
      </c>
      <c r="H116" s="498" t="s">
        <v>908</v>
      </c>
      <c r="I116" s="501">
        <v>5990</v>
      </c>
      <c r="J116" s="501">
        <v>1</v>
      </c>
      <c r="K116" s="502">
        <v>5990</v>
      </c>
    </row>
    <row r="117" spans="1:11" ht="14.4" customHeight="1" x14ac:dyDescent="0.3">
      <c r="A117" s="496" t="s">
        <v>445</v>
      </c>
      <c r="B117" s="497" t="s">
        <v>446</v>
      </c>
      <c r="C117" s="498" t="s">
        <v>458</v>
      </c>
      <c r="D117" s="499" t="s">
        <v>459</v>
      </c>
      <c r="E117" s="498" t="s">
        <v>753</v>
      </c>
      <c r="F117" s="499" t="s">
        <v>754</v>
      </c>
      <c r="G117" s="498" t="s">
        <v>909</v>
      </c>
      <c r="H117" s="498" t="s">
        <v>910</v>
      </c>
      <c r="I117" s="501">
        <v>13492</v>
      </c>
      <c r="J117" s="501">
        <v>3</v>
      </c>
      <c r="K117" s="502">
        <v>40476</v>
      </c>
    </row>
    <row r="118" spans="1:11" ht="14.4" customHeight="1" x14ac:dyDescent="0.3">
      <c r="A118" s="496" t="s">
        <v>445</v>
      </c>
      <c r="B118" s="497" t="s">
        <v>446</v>
      </c>
      <c r="C118" s="498" t="s">
        <v>458</v>
      </c>
      <c r="D118" s="499" t="s">
        <v>459</v>
      </c>
      <c r="E118" s="498" t="s">
        <v>673</v>
      </c>
      <c r="F118" s="499" t="s">
        <v>674</v>
      </c>
      <c r="G118" s="498" t="s">
        <v>911</v>
      </c>
      <c r="H118" s="498" t="s">
        <v>912</v>
      </c>
      <c r="I118" s="501">
        <v>239.97999572753906</v>
      </c>
      <c r="J118" s="501">
        <v>12</v>
      </c>
      <c r="K118" s="502">
        <v>2879.800048828125</v>
      </c>
    </row>
    <row r="119" spans="1:11" ht="14.4" customHeight="1" x14ac:dyDescent="0.3">
      <c r="A119" s="496" t="s">
        <v>445</v>
      </c>
      <c r="B119" s="497" t="s">
        <v>446</v>
      </c>
      <c r="C119" s="498" t="s">
        <v>458</v>
      </c>
      <c r="D119" s="499" t="s">
        <v>459</v>
      </c>
      <c r="E119" s="498" t="s">
        <v>673</v>
      </c>
      <c r="F119" s="499" t="s">
        <v>674</v>
      </c>
      <c r="G119" s="498" t="s">
        <v>913</v>
      </c>
      <c r="H119" s="498" t="s">
        <v>914</v>
      </c>
      <c r="I119" s="501">
        <v>360.98001098632812</v>
      </c>
      <c r="J119" s="501">
        <v>12</v>
      </c>
      <c r="K119" s="502">
        <v>4331.7998046875</v>
      </c>
    </row>
    <row r="120" spans="1:11" ht="14.4" customHeight="1" x14ac:dyDescent="0.3">
      <c r="A120" s="496" t="s">
        <v>445</v>
      </c>
      <c r="B120" s="497" t="s">
        <v>446</v>
      </c>
      <c r="C120" s="498" t="s">
        <v>458</v>
      </c>
      <c r="D120" s="499" t="s">
        <v>459</v>
      </c>
      <c r="E120" s="498" t="s">
        <v>673</v>
      </c>
      <c r="F120" s="499" t="s">
        <v>674</v>
      </c>
      <c r="G120" s="498" t="s">
        <v>915</v>
      </c>
      <c r="H120" s="498" t="s">
        <v>916</v>
      </c>
      <c r="I120" s="501">
        <v>1.9299999475479126</v>
      </c>
      <c r="J120" s="501">
        <v>2048</v>
      </c>
      <c r="K120" s="502">
        <v>3949.43994140625</v>
      </c>
    </row>
    <row r="121" spans="1:11" ht="14.4" customHeight="1" x14ac:dyDescent="0.3">
      <c r="A121" s="496" t="s">
        <v>445</v>
      </c>
      <c r="B121" s="497" t="s">
        <v>446</v>
      </c>
      <c r="C121" s="498" t="s">
        <v>458</v>
      </c>
      <c r="D121" s="499" t="s">
        <v>459</v>
      </c>
      <c r="E121" s="498" t="s">
        <v>673</v>
      </c>
      <c r="F121" s="499" t="s">
        <v>674</v>
      </c>
      <c r="G121" s="498" t="s">
        <v>917</v>
      </c>
      <c r="H121" s="498" t="s">
        <v>918</v>
      </c>
      <c r="I121" s="501">
        <v>1.9600000381469727</v>
      </c>
      <c r="J121" s="501">
        <v>2048</v>
      </c>
      <c r="K121" s="502">
        <v>4007.52001953125</v>
      </c>
    </row>
    <row r="122" spans="1:11" ht="14.4" customHeight="1" x14ac:dyDescent="0.3">
      <c r="A122" s="496" t="s">
        <v>445</v>
      </c>
      <c r="B122" s="497" t="s">
        <v>446</v>
      </c>
      <c r="C122" s="498" t="s">
        <v>458</v>
      </c>
      <c r="D122" s="499" t="s">
        <v>459</v>
      </c>
      <c r="E122" s="498" t="s">
        <v>673</v>
      </c>
      <c r="F122" s="499" t="s">
        <v>674</v>
      </c>
      <c r="G122" s="498" t="s">
        <v>919</v>
      </c>
      <c r="H122" s="498" t="s">
        <v>920</v>
      </c>
      <c r="I122" s="501">
        <v>25.309999465942383</v>
      </c>
      <c r="J122" s="501">
        <v>360</v>
      </c>
      <c r="K122" s="502">
        <v>9111.2998046875</v>
      </c>
    </row>
    <row r="123" spans="1:11" ht="14.4" customHeight="1" x14ac:dyDescent="0.3">
      <c r="A123" s="496" t="s">
        <v>445</v>
      </c>
      <c r="B123" s="497" t="s">
        <v>446</v>
      </c>
      <c r="C123" s="498" t="s">
        <v>458</v>
      </c>
      <c r="D123" s="499" t="s">
        <v>459</v>
      </c>
      <c r="E123" s="498" t="s">
        <v>673</v>
      </c>
      <c r="F123" s="499" t="s">
        <v>674</v>
      </c>
      <c r="G123" s="498" t="s">
        <v>921</v>
      </c>
      <c r="H123" s="498" t="s">
        <v>922</v>
      </c>
      <c r="I123" s="501">
        <v>0.78499998152256012</v>
      </c>
      <c r="J123" s="501">
        <v>4000</v>
      </c>
      <c r="K123" s="502">
        <v>3153.81005859375</v>
      </c>
    </row>
    <row r="124" spans="1:11" ht="14.4" customHeight="1" x14ac:dyDescent="0.3">
      <c r="A124" s="496" t="s">
        <v>445</v>
      </c>
      <c r="B124" s="497" t="s">
        <v>446</v>
      </c>
      <c r="C124" s="498" t="s">
        <v>458</v>
      </c>
      <c r="D124" s="499" t="s">
        <v>459</v>
      </c>
      <c r="E124" s="498" t="s">
        <v>673</v>
      </c>
      <c r="F124" s="499" t="s">
        <v>674</v>
      </c>
      <c r="G124" s="498" t="s">
        <v>923</v>
      </c>
      <c r="H124" s="498" t="s">
        <v>924</v>
      </c>
      <c r="I124" s="501">
        <v>1.3600000143051147</v>
      </c>
      <c r="J124" s="501">
        <v>500</v>
      </c>
      <c r="K124" s="502">
        <v>679.80999755859375</v>
      </c>
    </row>
    <row r="125" spans="1:11" ht="14.4" customHeight="1" x14ac:dyDescent="0.3">
      <c r="A125" s="496" t="s">
        <v>445</v>
      </c>
      <c r="B125" s="497" t="s">
        <v>446</v>
      </c>
      <c r="C125" s="498" t="s">
        <v>458</v>
      </c>
      <c r="D125" s="499" t="s">
        <v>459</v>
      </c>
      <c r="E125" s="498" t="s">
        <v>673</v>
      </c>
      <c r="F125" s="499" t="s">
        <v>674</v>
      </c>
      <c r="G125" s="498" t="s">
        <v>925</v>
      </c>
      <c r="H125" s="498" t="s">
        <v>926</v>
      </c>
      <c r="I125" s="501">
        <v>1</v>
      </c>
      <c r="J125" s="501">
        <v>3000</v>
      </c>
      <c r="K125" s="502">
        <v>3012.89990234375</v>
      </c>
    </row>
    <row r="126" spans="1:11" ht="14.4" customHeight="1" x14ac:dyDescent="0.3">
      <c r="A126" s="496" t="s">
        <v>445</v>
      </c>
      <c r="B126" s="497" t="s">
        <v>446</v>
      </c>
      <c r="C126" s="498" t="s">
        <v>458</v>
      </c>
      <c r="D126" s="499" t="s">
        <v>459</v>
      </c>
      <c r="E126" s="498" t="s">
        <v>673</v>
      </c>
      <c r="F126" s="499" t="s">
        <v>674</v>
      </c>
      <c r="G126" s="498" t="s">
        <v>927</v>
      </c>
      <c r="H126" s="498" t="s">
        <v>928</v>
      </c>
      <c r="I126" s="501">
        <v>20.329999923706055</v>
      </c>
      <c r="J126" s="501">
        <v>375</v>
      </c>
      <c r="K126" s="502">
        <v>7623</v>
      </c>
    </row>
    <row r="127" spans="1:11" ht="14.4" customHeight="1" x14ac:dyDescent="0.3">
      <c r="A127" s="496" t="s">
        <v>445</v>
      </c>
      <c r="B127" s="497" t="s">
        <v>446</v>
      </c>
      <c r="C127" s="498" t="s">
        <v>458</v>
      </c>
      <c r="D127" s="499" t="s">
        <v>459</v>
      </c>
      <c r="E127" s="498" t="s">
        <v>673</v>
      </c>
      <c r="F127" s="499" t="s">
        <v>674</v>
      </c>
      <c r="G127" s="498" t="s">
        <v>929</v>
      </c>
      <c r="H127" s="498" t="s">
        <v>930</v>
      </c>
      <c r="I127" s="501">
        <v>1.440000057220459</v>
      </c>
      <c r="J127" s="501">
        <v>8000</v>
      </c>
      <c r="K127" s="502">
        <v>11519.2001953125</v>
      </c>
    </row>
    <row r="128" spans="1:11" ht="14.4" customHeight="1" x14ac:dyDescent="0.3">
      <c r="A128" s="496" t="s">
        <v>445</v>
      </c>
      <c r="B128" s="497" t="s">
        <v>446</v>
      </c>
      <c r="C128" s="498" t="s">
        <v>458</v>
      </c>
      <c r="D128" s="499" t="s">
        <v>459</v>
      </c>
      <c r="E128" s="498" t="s">
        <v>673</v>
      </c>
      <c r="F128" s="499" t="s">
        <v>674</v>
      </c>
      <c r="G128" s="498" t="s">
        <v>931</v>
      </c>
      <c r="H128" s="498" t="s">
        <v>932</v>
      </c>
      <c r="I128" s="501">
        <v>1.5149999856948853</v>
      </c>
      <c r="J128" s="501">
        <v>4200</v>
      </c>
      <c r="K128" s="502">
        <v>6364.6400756835937</v>
      </c>
    </row>
    <row r="129" spans="1:11" ht="14.4" customHeight="1" x14ac:dyDescent="0.3">
      <c r="A129" s="496" t="s">
        <v>445</v>
      </c>
      <c r="B129" s="497" t="s">
        <v>446</v>
      </c>
      <c r="C129" s="498" t="s">
        <v>458</v>
      </c>
      <c r="D129" s="499" t="s">
        <v>459</v>
      </c>
      <c r="E129" s="498" t="s">
        <v>673</v>
      </c>
      <c r="F129" s="499" t="s">
        <v>674</v>
      </c>
      <c r="G129" s="498" t="s">
        <v>933</v>
      </c>
      <c r="H129" s="498" t="s">
        <v>934</v>
      </c>
      <c r="I129" s="501">
        <v>108.90000152587891</v>
      </c>
      <c r="J129" s="501">
        <v>5</v>
      </c>
      <c r="K129" s="502">
        <v>544.5</v>
      </c>
    </row>
    <row r="130" spans="1:11" ht="14.4" customHeight="1" x14ac:dyDescent="0.3">
      <c r="A130" s="496" t="s">
        <v>445</v>
      </c>
      <c r="B130" s="497" t="s">
        <v>446</v>
      </c>
      <c r="C130" s="498" t="s">
        <v>458</v>
      </c>
      <c r="D130" s="499" t="s">
        <v>459</v>
      </c>
      <c r="E130" s="498" t="s">
        <v>673</v>
      </c>
      <c r="F130" s="499" t="s">
        <v>674</v>
      </c>
      <c r="G130" s="498" t="s">
        <v>935</v>
      </c>
      <c r="H130" s="498" t="s">
        <v>936</v>
      </c>
      <c r="I130" s="501">
        <v>2.0999999046325684</v>
      </c>
      <c r="J130" s="501">
        <v>960</v>
      </c>
      <c r="K130" s="502">
        <v>2020.699951171875</v>
      </c>
    </row>
    <row r="131" spans="1:11" ht="14.4" customHeight="1" x14ac:dyDescent="0.3">
      <c r="A131" s="496" t="s">
        <v>445</v>
      </c>
      <c r="B131" s="497" t="s">
        <v>446</v>
      </c>
      <c r="C131" s="498" t="s">
        <v>458</v>
      </c>
      <c r="D131" s="499" t="s">
        <v>459</v>
      </c>
      <c r="E131" s="498" t="s">
        <v>673</v>
      </c>
      <c r="F131" s="499" t="s">
        <v>674</v>
      </c>
      <c r="G131" s="498" t="s">
        <v>937</v>
      </c>
      <c r="H131" s="498" t="s">
        <v>938</v>
      </c>
      <c r="I131" s="501">
        <v>0.2800000011920929</v>
      </c>
      <c r="J131" s="501">
        <v>1000</v>
      </c>
      <c r="K131" s="502">
        <v>278.29998779296875</v>
      </c>
    </row>
    <row r="132" spans="1:11" ht="14.4" customHeight="1" x14ac:dyDescent="0.3">
      <c r="A132" s="496" t="s">
        <v>445</v>
      </c>
      <c r="B132" s="497" t="s">
        <v>446</v>
      </c>
      <c r="C132" s="498" t="s">
        <v>458</v>
      </c>
      <c r="D132" s="499" t="s">
        <v>459</v>
      </c>
      <c r="E132" s="498" t="s">
        <v>673</v>
      </c>
      <c r="F132" s="499" t="s">
        <v>674</v>
      </c>
      <c r="G132" s="498" t="s">
        <v>939</v>
      </c>
      <c r="H132" s="498" t="s">
        <v>940</v>
      </c>
      <c r="I132" s="501">
        <v>0.45599998831748961</v>
      </c>
      <c r="J132" s="501">
        <v>11000</v>
      </c>
      <c r="K132" s="502">
        <v>5005.7900390625</v>
      </c>
    </row>
    <row r="133" spans="1:11" ht="14.4" customHeight="1" x14ac:dyDescent="0.3">
      <c r="A133" s="496" t="s">
        <v>445</v>
      </c>
      <c r="B133" s="497" t="s">
        <v>446</v>
      </c>
      <c r="C133" s="498" t="s">
        <v>458</v>
      </c>
      <c r="D133" s="499" t="s">
        <v>459</v>
      </c>
      <c r="E133" s="498" t="s">
        <v>673</v>
      </c>
      <c r="F133" s="499" t="s">
        <v>674</v>
      </c>
      <c r="G133" s="498" t="s">
        <v>941</v>
      </c>
      <c r="H133" s="498" t="s">
        <v>942</v>
      </c>
      <c r="I133" s="501">
        <v>2.6525000333786011</v>
      </c>
      <c r="J133" s="501">
        <v>3840</v>
      </c>
      <c r="K133" s="502">
        <v>10189.580078125</v>
      </c>
    </row>
    <row r="134" spans="1:11" ht="14.4" customHeight="1" x14ac:dyDescent="0.3">
      <c r="A134" s="496" t="s">
        <v>445</v>
      </c>
      <c r="B134" s="497" t="s">
        <v>446</v>
      </c>
      <c r="C134" s="498" t="s">
        <v>458</v>
      </c>
      <c r="D134" s="499" t="s">
        <v>459</v>
      </c>
      <c r="E134" s="498" t="s">
        <v>673</v>
      </c>
      <c r="F134" s="499" t="s">
        <v>674</v>
      </c>
      <c r="G134" s="498" t="s">
        <v>943</v>
      </c>
      <c r="H134" s="498" t="s">
        <v>944</v>
      </c>
      <c r="I134" s="501">
        <v>2.8074999451637268</v>
      </c>
      <c r="J134" s="501">
        <v>6720</v>
      </c>
      <c r="K134" s="502">
        <v>18875.05029296875</v>
      </c>
    </row>
    <row r="135" spans="1:11" ht="14.4" customHeight="1" x14ac:dyDescent="0.3">
      <c r="A135" s="496" t="s">
        <v>445</v>
      </c>
      <c r="B135" s="497" t="s">
        <v>446</v>
      </c>
      <c r="C135" s="498" t="s">
        <v>458</v>
      </c>
      <c r="D135" s="499" t="s">
        <v>459</v>
      </c>
      <c r="E135" s="498" t="s">
        <v>673</v>
      </c>
      <c r="F135" s="499" t="s">
        <v>674</v>
      </c>
      <c r="G135" s="498" t="s">
        <v>945</v>
      </c>
      <c r="H135" s="498" t="s">
        <v>946</v>
      </c>
      <c r="I135" s="501">
        <v>2.369999885559082</v>
      </c>
      <c r="J135" s="501">
        <v>960</v>
      </c>
      <c r="K135" s="502">
        <v>2275.8701171875</v>
      </c>
    </row>
    <row r="136" spans="1:11" ht="14.4" customHeight="1" x14ac:dyDescent="0.3">
      <c r="A136" s="496" t="s">
        <v>445</v>
      </c>
      <c r="B136" s="497" t="s">
        <v>446</v>
      </c>
      <c r="C136" s="498" t="s">
        <v>458</v>
      </c>
      <c r="D136" s="499" t="s">
        <v>459</v>
      </c>
      <c r="E136" s="498" t="s">
        <v>673</v>
      </c>
      <c r="F136" s="499" t="s">
        <v>674</v>
      </c>
      <c r="G136" s="498" t="s">
        <v>947</v>
      </c>
      <c r="H136" s="498" t="s">
        <v>948</v>
      </c>
      <c r="I136" s="501">
        <v>0.12199999690055847</v>
      </c>
      <c r="J136" s="501">
        <v>11000</v>
      </c>
      <c r="K136" s="502">
        <v>1340</v>
      </c>
    </row>
    <row r="137" spans="1:11" ht="14.4" customHeight="1" x14ac:dyDescent="0.3">
      <c r="A137" s="496" t="s">
        <v>445</v>
      </c>
      <c r="B137" s="497" t="s">
        <v>446</v>
      </c>
      <c r="C137" s="498" t="s">
        <v>458</v>
      </c>
      <c r="D137" s="499" t="s">
        <v>459</v>
      </c>
      <c r="E137" s="498" t="s">
        <v>673</v>
      </c>
      <c r="F137" s="499" t="s">
        <v>674</v>
      </c>
      <c r="G137" s="498" t="s">
        <v>949</v>
      </c>
      <c r="H137" s="498" t="s">
        <v>950</v>
      </c>
      <c r="I137" s="501">
        <v>6352.5</v>
      </c>
      <c r="J137" s="501">
        <v>11</v>
      </c>
      <c r="K137" s="502">
        <v>69877.5</v>
      </c>
    </row>
    <row r="138" spans="1:11" ht="14.4" customHeight="1" x14ac:dyDescent="0.3">
      <c r="A138" s="496" t="s">
        <v>445</v>
      </c>
      <c r="B138" s="497" t="s">
        <v>446</v>
      </c>
      <c r="C138" s="498" t="s">
        <v>458</v>
      </c>
      <c r="D138" s="499" t="s">
        <v>459</v>
      </c>
      <c r="E138" s="498" t="s">
        <v>673</v>
      </c>
      <c r="F138" s="499" t="s">
        <v>674</v>
      </c>
      <c r="G138" s="498" t="s">
        <v>951</v>
      </c>
      <c r="H138" s="498" t="s">
        <v>952</v>
      </c>
      <c r="I138" s="501">
        <v>6.7800002098083496</v>
      </c>
      <c r="J138" s="501">
        <v>125</v>
      </c>
      <c r="K138" s="502">
        <v>847</v>
      </c>
    </row>
    <row r="139" spans="1:11" ht="14.4" customHeight="1" x14ac:dyDescent="0.3">
      <c r="A139" s="496" t="s">
        <v>445</v>
      </c>
      <c r="B139" s="497" t="s">
        <v>446</v>
      </c>
      <c r="C139" s="498" t="s">
        <v>458</v>
      </c>
      <c r="D139" s="499" t="s">
        <v>459</v>
      </c>
      <c r="E139" s="498" t="s">
        <v>673</v>
      </c>
      <c r="F139" s="499" t="s">
        <v>674</v>
      </c>
      <c r="G139" s="498" t="s">
        <v>953</v>
      </c>
      <c r="H139" s="498" t="s">
        <v>954</v>
      </c>
      <c r="I139" s="501">
        <v>4111.580078125</v>
      </c>
      <c r="J139" s="501">
        <v>5</v>
      </c>
      <c r="K139" s="502">
        <v>20557.900390625</v>
      </c>
    </row>
    <row r="140" spans="1:11" ht="14.4" customHeight="1" x14ac:dyDescent="0.3">
      <c r="A140" s="496" t="s">
        <v>445</v>
      </c>
      <c r="B140" s="497" t="s">
        <v>446</v>
      </c>
      <c r="C140" s="498" t="s">
        <v>458</v>
      </c>
      <c r="D140" s="499" t="s">
        <v>459</v>
      </c>
      <c r="E140" s="498" t="s">
        <v>673</v>
      </c>
      <c r="F140" s="499" t="s">
        <v>674</v>
      </c>
      <c r="G140" s="498" t="s">
        <v>955</v>
      </c>
      <c r="H140" s="498" t="s">
        <v>956</v>
      </c>
      <c r="I140" s="501">
        <v>1.2799999713897705</v>
      </c>
      <c r="J140" s="501">
        <v>1000</v>
      </c>
      <c r="K140" s="502">
        <v>1277.760009765625</v>
      </c>
    </row>
    <row r="141" spans="1:11" ht="14.4" customHeight="1" x14ac:dyDescent="0.3">
      <c r="A141" s="496" t="s">
        <v>445</v>
      </c>
      <c r="B141" s="497" t="s">
        <v>446</v>
      </c>
      <c r="C141" s="498" t="s">
        <v>458</v>
      </c>
      <c r="D141" s="499" t="s">
        <v>459</v>
      </c>
      <c r="E141" s="498" t="s">
        <v>681</v>
      </c>
      <c r="F141" s="499" t="s">
        <v>682</v>
      </c>
      <c r="G141" s="498" t="s">
        <v>683</v>
      </c>
      <c r="H141" s="498" t="s">
        <v>684</v>
      </c>
      <c r="I141" s="501">
        <v>0.62999999523162842</v>
      </c>
      <c r="J141" s="501">
        <v>1500</v>
      </c>
      <c r="K141" s="502">
        <v>945</v>
      </c>
    </row>
    <row r="142" spans="1:11" ht="14.4" customHeight="1" x14ac:dyDescent="0.3">
      <c r="A142" s="496" t="s">
        <v>445</v>
      </c>
      <c r="B142" s="497" t="s">
        <v>446</v>
      </c>
      <c r="C142" s="498" t="s">
        <v>458</v>
      </c>
      <c r="D142" s="499" t="s">
        <v>459</v>
      </c>
      <c r="E142" s="498" t="s">
        <v>681</v>
      </c>
      <c r="F142" s="499" t="s">
        <v>682</v>
      </c>
      <c r="G142" s="498" t="s">
        <v>685</v>
      </c>
      <c r="H142" s="498" t="s">
        <v>686</v>
      </c>
      <c r="I142" s="501">
        <v>1.5</v>
      </c>
      <c r="J142" s="501">
        <v>100</v>
      </c>
      <c r="K142" s="502">
        <v>150</v>
      </c>
    </row>
    <row r="143" spans="1:11" ht="14.4" customHeight="1" x14ac:dyDescent="0.3">
      <c r="A143" s="496" t="s">
        <v>445</v>
      </c>
      <c r="B143" s="497" t="s">
        <v>446</v>
      </c>
      <c r="C143" s="498" t="s">
        <v>458</v>
      </c>
      <c r="D143" s="499" t="s">
        <v>459</v>
      </c>
      <c r="E143" s="498" t="s">
        <v>681</v>
      </c>
      <c r="F143" s="499" t="s">
        <v>682</v>
      </c>
      <c r="G143" s="498" t="s">
        <v>699</v>
      </c>
      <c r="H143" s="498" t="s">
        <v>700</v>
      </c>
      <c r="I143" s="501">
        <v>27.870000839233398</v>
      </c>
      <c r="J143" s="501">
        <v>2</v>
      </c>
      <c r="K143" s="502">
        <v>55.740001678466797</v>
      </c>
    </row>
    <row r="144" spans="1:11" ht="14.4" customHeight="1" x14ac:dyDescent="0.3">
      <c r="A144" s="496" t="s">
        <v>445</v>
      </c>
      <c r="B144" s="497" t="s">
        <v>446</v>
      </c>
      <c r="C144" s="498" t="s">
        <v>458</v>
      </c>
      <c r="D144" s="499" t="s">
        <v>459</v>
      </c>
      <c r="E144" s="498" t="s">
        <v>681</v>
      </c>
      <c r="F144" s="499" t="s">
        <v>682</v>
      </c>
      <c r="G144" s="498" t="s">
        <v>701</v>
      </c>
      <c r="H144" s="498" t="s">
        <v>702</v>
      </c>
      <c r="I144" s="501">
        <v>28.739999771118164</v>
      </c>
      <c r="J144" s="501">
        <v>10</v>
      </c>
      <c r="K144" s="502">
        <v>287.40000152587891</v>
      </c>
    </row>
    <row r="145" spans="1:11" ht="14.4" customHeight="1" x14ac:dyDescent="0.3">
      <c r="A145" s="496" t="s">
        <v>445</v>
      </c>
      <c r="B145" s="497" t="s">
        <v>446</v>
      </c>
      <c r="C145" s="498" t="s">
        <v>458</v>
      </c>
      <c r="D145" s="499" t="s">
        <v>459</v>
      </c>
      <c r="E145" s="498" t="s">
        <v>703</v>
      </c>
      <c r="F145" s="499" t="s">
        <v>704</v>
      </c>
      <c r="G145" s="498" t="s">
        <v>957</v>
      </c>
      <c r="H145" s="498" t="s">
        <v>958</v>
      </c>
      <c r="I145" s="501">
        <v>58.810001373291016</v>
      </c>
      <c r="J145" s="501">
        <v>240</v>
      </c>
      <c r="K145" s="502">
        <v>13939.200439453125</v>
      </c>
    </row>
    <row r="146" spans="1:11" ht="14.4" customHeight="1" x14ac:dyDescent="0.3">
      <c r="A146" s="496" t="s">
        <v>445</v>
      </c>
      <c r="B146" s="497" t="s">
        <v>446</v>
      </c>
      <c r="C146" s="498" t="s">
        <v>458</v>
      </c>
      <c r="D146" s="499" t="s">
        <v>459</v>
      </c>
      <c r="E146" s="498" t="s">
        <v>703</v>
      </c>
      <c r="F146" s="499" t="s">
        <v>704</v>
      </c>
      <c r="G146" s="498" t="s">
        <v>959</v>
      </c>
      <c r="H146" s="498" t="s">
        <v>960</v>
      </c>
      <c r="I146" s="501">
        <v>2751.5400390625</v>
      </c>
      <c r="J146" s="501">
        <v>5</v>
      </c>
      <c r="K146" s="502">
        <v>13757.7001953125</v>
      </c>
    </row>
    <row r="147" spans="1:11" ht="14.4" customHeight="1" x14ac:dyDescent="0.3">
      <c r="A147" s="496" t="s">
        <v>445</v>
      </c>
      <c r="B147" s="497" t="s">
        <v>446</v>
      </c>
      <c r="C147" s="498" t="s">
        <v>458</v>
      </c>
      <c r="D147" s="499" t="s">
        <v>459</v>
      </c>
      <c r="E147" s="498" t="s">
        <v>703</v>
      </c>
      <c r="F147" s="499" t="s">
        <v>704</v>
      </c>
      <c r="G147" s="498" t="s">
        <v>961</v>
      </c>
      <c r="H147" s="498" t="s">
        <v>962</v>
      </c>
      <c r="I147" s="501">
        <v>21245.490234375</v>
      </c>
      <c r="J147" s="501">
        <v>2</v>
      </c>
      <c r="K147" s="502">
        <v>42490.98046875</v>
      </c>
    </row>
    <row r="148" spans="1:11" ht="14.4" customHeight="1" x14ac:dyDescent="0.3">
      <c r="A148" s="496" t="s">
        <v>445</v>
      </c>
      <c r="B148" s="497" t="s">
        <v>446</v>
      </c>
      <c r="C148" s="498" t="s">
        <v>458</v>
      </c>
      <c r="D148" s="499" t="s">
        <v>459</v>
      </c>
      <c r="E148" s="498" t="s">
        <v>703</v>
      </c>
      <c r="F148" s="499" t="s">
        <v>704</v>
      </c>
      <c r="G148" s="498" t="s">
        <v>963</v>
      </c>
      <c r="H148" s="498" t="s">
        <v>964</v>
      </c>
      <c r="I148" s="501">
        <v>4.6233332951863604</v>
      </c>
      <c r="J148" s="501">
        <v>150</v>
      </c>
      <c r="K148" s="502">
        <v>693.5</v>
      </c>
    </row>
    <row r="149" spans="1:11" ht="14.4" customHeight="1" x14ac:dyDescent="0.3">
      <c r="A149" s="496" t="s">
        <v>445</v>
      </c>
      <c r="B149" s="497" t="s">
        <v>446</v>
      </c>
      <c r="C149" s="498" t="s">
        <v>458</v>
      </c>
      <c r="D149" s="499" t="s">
        <v>459</v>
      </c>
      <c r="E149" s="498" t="s">
        <v>703</v>
      </c>
      <c r="F149" s="499" t="s">
        <v>704</v>
      </c>
      <c r="G149" s="498" t="s">
        <v>965</v>
      </c>
      <c r="H149" s="498" t="s">
        <v>966</v>
      </c>
      <c r="I149" s="501">
        <v>1.6100000143051147</v>
      </c>
      <c r="J149" s="501">
        <v>250</v>
      </c>
      <c r="K149" s="502">
        <v>401.72000122070312</v>
      </c>
    </row>
    <row r="150" spans="1:11" ht="14.4" customHeight="1" x14ac:dyDescent="0.3">
      <c r="A150" s="496" t="s">
        <v>445</v>
      </c>
      <c r="B150" s="497" t="s">
        <v>446</v>
      </c>
      <c r="C150" s="498" t="s">
        <v>458</v>
      </c>
      <c r="D150" s="499" t="s">
        <v>459</v>
      </c>
      <c r="E150" s="498" t="s">
        <v>703</v>
      </c>
      <c r="F150" s="499" t="s">
        <v>704</v>
      </c>
      <c r="G150" s="498" t="s">
        <v>711</v>
      </c>
      <c r="H150" s="498" t="s">
        <v>712</v>
      </c>
      <c r="I150" s="501">
        <v>13.310000419616699</v>
      </c>
      <c r="J150" s="501">
        <v>45</v>
      </c>
      <c r="K150" s="502">
        <v>598.95001983642578</v>
      </c>
    </row>
    <row r="151" spans="1:11" ht="14.4" customHeight="1" x14ac:dyDescent="0.3">
      <c r="A151" s="496" t="s">
        <v>445</v>
      </c>
      <c r="B151" s="497" t="s">
        <v>446</v>
      </c>
      <c r="C151" s="498" t="s">
        <v>458</v>
      </c>
      <c r="D151" s="499" t="s">
        <v>459</v>
      </c>
      <c r="E151" s="498" t="s">
        <v>703</v>
      </c>
      <c r="F151" s="499" t="s">
        <v>704</v>
      </c>
      <c r="G151" s="498" t="s">
        <v>967</v>
      </c>
      <c r="H151" s="498" t="s">
        <v>968</v>
      </c>
      <c r="I151" s="501">
        <v>25.530000686645508</v>
      </c>
      <c r="J151" s="501">
        <v>56</v>
      </c>
      <c r="K151" s="502">
        <v>1429.6800231933594</v>
      </c>
    </row>
    <row r="152" spans="1:11" ht="14.4" customHeight="1" x14ac:dyDescent="0.3">
      <c r="A152" s="496" t="s">
        <v>445</v>
      </c>
      <c r="B152" s="497" t="s">
        <v>446</v>
      </c>
      <c r="C152" s="498" t="s">
        <v>458</v>
      </c>
      <c r="D152" s="499" t="s">
        <v>459</v>
      </c>
      <c r="E152" s="498" t="s">
        <v>703</v>
      </c>
      <c r="F152" s="499" t="s">
        <v>704</v>
      </c>
      <c r="G152" s="498" t="s">
        <v>969</v>
      </c>
      <c r="H152" s="498" t="s">
        <v>970</v>
      </c>
      <c r="I152" s="501">
        <v>703.010009765625</v>
      </c>
      <c r="J152" s="501">
        <v>1</v>
      </c>
      <c r="K152" s="502">
        <v>703.010009765625</v>
      </c>
    </row>
    <row r="153" spans="1:11" ht="14.4" customHeight="1" x14ac:dyDescent="0.3">
      <c r="A153" s="496" t="s">
        <v>445</v>
      </c>
      <c r="B153" s="497" t="s">
        <v>446</v>
      </c>
      <c r="C153" s="498" t="s">
        <v>458</v>
      </c>
      <c r="D153" s="499" t="s">
        <v>459</v>
      </c>
      <c r="E153" s="498" t="s">
        <v>703</v>
      </c>
      <c r="F153" s="499" t="s">
        <v>704</v>
      </c>
      <c r="G153" s="498" t="s">
        <v>971</v>
      </c>
      <c r="H153" s="498" t="s">
        <v>972</v>
      </c>
      <c r="I153" s="501">
        <v>1.75</v>
      </c>
      <c r="J153" s="501">
        <v>1700</v>
      </c>
      <c r="K153" s="502">
        <v>2982.64990234375</v>
      </c>
    </row>
    <row r="154" spans="1:11" ht="14.4" customHeight="1" x14ac:dyDescent="0.3">
      <c r="A154" s="496" t="s">
        <v>445</v>
      </c>
      <c r="B154" s="497" t="s">
        <v>446</v>
      </c>
      <c r="C154" s="498" t="s">
        <v>458</v>
      </c>
      <c r="D154" s="499" t="s">
        <v>459</v>
      </c>
      <c r="E154" s="498" t="s">
        <v>703</v>
      </c>
      <c r="F154" s="499" t="s">
        <v>704</v>
      </c>
      <c r="G154" s="498" t="s">
        <v>973</v>
      </c>
      <c r="H154" s="498" t="s">
        <v>974</v>
      </c>
      <c r="I154" s="501">
        <v>3.7899999618530273</v>
      </c>
      <c r="J154" s="501">
        <v>480</v>
      </c>
      <c r="K154" s="502">
        <v>1819.8399658203125</v>
      </c>
    </row>
    <row r="155" spans="1:11" ht="14.4" customHeight="1" x14ac:dyDescent="0.3">
      <c r="A155" s="496" t="s">
        <v>445</v>
      </c>
      <c r="B155" s="497" t="s">
        <v>446</v>
      </c>
      <c r="C155" s="498" t="s">
        <v>458</v>
      </c>
      <c r="D155" s="499" t="s">
        <v>459</v>
      </c>
      <c r="E155" s="498" t="s">
        <v>703</v>
      </c>
      <c r="F155" s="499" t="s">
        <v>704</v>
      </c>
      <c r="G155" s="498" t="s">
        <v>975</v>
      </c>
      <c r="H155" s="498" t="s">
        <v>976</v>
      </c>
      <c r="I155" s="501">
        <v>335.17001342773437</v>
      </c>
      <c r="J155" s="501">
        <v>1</v>
      </c>
      <c r="K155" s="502">
        <v>335.17001342773437</v>
      </c>
    </row>
    <row r="156" spans="1:11" ht="14.4" customHeight="1" x14ac:dyDescent="0.3">
      <c r="A156" s="496" t="s">
        <v>445</v>
      </c>
      <c r="B156" s="497" t="s">
        <v>446</v>
      </c>
      <c r="C156" s="498" t="s">
        <v>458</v>
      </c>
      <c r="D156" s="499" t="s">
        <v>459</v>
      </c>
      <c r="E156" s="498" t="s">
        <v>703</v>
      </c>
      <c r="F156" s="499" t="s">
        <v>704</v>
      </c>
      <c r="G156" s="498" t="s">
        <v>721</v>
      </c>
      <c r="H156" s="498" t="s">
        <v>722</v>
      </c>
      <c r="I156" s="501">
        <v>0.4699999988079071</v>
      </c>
      <c r="J156" s="501">
        <v>400</v>
      </c>
      <c r="K156" s="502">
        <v>188</v>
      </c>
    </row>
    <row r="157" spans="1:11" ht="14.4" customHeight="1" x14ac:dyDescent="0.3">
      <c r="A157" s="496" t="s">
        <v>445</v>
      </c>
      <c r="B157" s="497" t="s">
        <v>446</v>
      </c>
      <c r="C157" s="498" t="s">
        <v>458</v>
      </c>
      <c r="D157" s="499" t="s">
        <v>459</v>
      </c>
      <c r="E157" s="498" t="s">
        <v>703</v>
      </c>
      <c r="F157" s="499" t="s">
        <v>704</v>
      </c>
      <c r="G157" s="498" t="s">
        <v>977</v>
      </c>
      <c r="H157" s="498" t="s">
        <v>978</v>
      </c>
      <c r="I157" s="501">
        <v>7203.72021484375</v>
      </c>
      <c r="J157" s="501">
        <v>1</v>
      </c>
      <c r="K157" s="502">
        <v>7203.72021484375</v>
      </c>
    </row>
    <row r="158" spans="1:11" ht="14.4" customHeight="1" x14ac:dyDescent="0.3">
      <c r="A158" s="496" t="s">
        <v>445</v>
      </c>
      <c r="B158" s="497" t="s">
        <v>446</v>
      </c>
      <c r="C158" s="498" t="s">
        <v>458</v>
      </c>
      <c r="D158" s="499" t="s">
        <v>459</v>
      </c>
      <c r="E158" s="498" t="s">
        <v>703</v>
      </c>
      <c r="F158" s="499" t="s">
        <v>704</v>
      </c>
      <c r="G158" s="498" t="s">
        <v>979</v>
      </c>
      <c r="H158" s="498" t="s">
        <v>980</v>
      </c>
      <c r="I158" s="501">
        <v>0.23999999463558197</v>
      </c>
      <c r="J158" s="501">
        <v>1000</v>
      </c>
      <c r="K158" s="502">
        <v>238.85000610351562</v>
      </c>
    </row>
    <row r="159" spans="1:11" ht="14.4" customHeight="1" x14ac:dyDescent="0.3">
      <c r="A159" s="496" t="s">
        <v>445</v>
      </c>
      <c r="B159" s="497" t="s">
        <v>446</v>
      </c>
      <c r="C159" s="498" t="s">
        <v>458</v>
      </c>
      <c r="D159" s="499" t="s">
        <v>459</v>
      </c>
      <c r="E159" s="498" t="s">
        <v>703</v>
      </c>
      <c r="F159" s="499" t="s">
        <v>704</v>
      </c>
      <c r="G159" s="498" t="s">
        <v>981</v>
      </c>
      <c r="H159" s="498" t="s">
        <v>982</v>
      </c>
      <c r="I159" s="501">
        <v>1.9700000286102295</v>
      </c>
      <c r="J159" s="501">
        <v>600</v>
      </c>
      <c r="K159" s="502">
        <v>1179.75</v>
      </c>
    </row>
    <row r="160" spans="1:11" ht="14.4" customHeight="1" x14ac:dyDescent="0.3">
      <c r="A160" s="496" t="s">
        <v>445</v>
      </c>
      <c r="B160" s="497" t="s">
        <v>446</v>
      </c>
      <c r="C160" s="498" t="s">
        <v>458</v>
      </c>
      <c r="D160" s="499" t="s">
        <v>459</v>
      </c>
      <c r="E160" s="498" t="s">
        <v>703</v>
      </c>
      <c r="F160" s="499" t="s">
        <v>704</v>
      </c>
      <c r="G160" s="498" t="s">
        <v>983</v>
      </c>
      <c r="H160" s="498" t="s">
        <v>984</v>
      </c>
      <c r="I160" s="501">
        <v>1.9700000286102295</v>
      </c>
      <c r="J160" s="501">
        <v>1400</v>
      </c>
      <c r="K160" s="502">
        <v>2753.60009765625</v>
      </c>
    </row>
    <row r="161" spans="1:11" ht="14.4" customHeight="1" x14ac:dyDescent="0.3">
      <c r="A161" s="496" t="s">
        <v>445</v>
      </c>
      <c r="B161" s="497" t="s">
        <v>446</v>
      </c>
      <c r="C161" s="498" t="s">
        <v>458</v>
      </c>
      <c r="D161" s="499" t="s">
        <v>459</v>
      </c>
      <c r="E161" s="498" t="s">
        <v>703</v>
      </c>
      <c r="F161" s="499" t="s">
        <v>704</v>
      </c>
      <c r="G161" s="498" t="s">
        <v>985</v>
      </c>
      <c r="H161" s="498" t="s">
        <v>986</v>
      </c>
      <c r="I161" s="501">
        <v>2.0499999523162842</v>
      </c>
      <c r="J161" s="501">
        <v>1200</v>
      </c>
      <c r="K161" s="502">
        <v>2464.77001953125</v>
      </c>
    </row>
    <row r="162" spans="1:11" ht="14.4" customHeight="1" x14ac:dyDescent="0.3">
      <c r="A162" s="496" t="s">
        <v>445</v>
      </c>
      <c r="B162" s="497" t="s">
        <v>446</v>
      </c>
      <c r="C162" s="498" t="s">
        <v>458</v>
      </c>
      <c r="D162" s="499" t="s">
        <v>459</v>
      </c>
      <c r="E162" s="498" t="s">
        <v>737</v>
      </c>
      <c r="F162" s="499" t="s">
        <v>738</v>
      </c>
      <c r="G162" s="498" t="s">
        <v>739</v>
      </c>
      <c r="H162" s="498" t="s">
        <v>740</v>
      </c>
      <c r="I162" s="501">
        <v>0.30750000476837158</v>
      </c>
      <c r="J162" s="501">
        <v>700</v>
      </c>
      <c r="K162" s="502">
        <v>215</v>
      </c>
    </row>
    <row r="163" spans="1:11" ht="14.4" customHeight="1" x14ac:dyDescent="0.3">
      <c r="A163" s="496" t="s">
        <v>445</v>
      </c>
      <c r="B163" s="497" t="s">
        <v>446</v>
      </c>
      <c r="C163" s="498" t="s">
        <v>458</v>
      </c>
      <c r="D163" s="499" t="s">
        <v>459</v>
      </c>
      <c r="E163" s="498" t="s">
        <v>745</v>
      </c>
      <c r="F163" s="499" t="s">
        <v>746</v>
      </c>
      <c r="G163" s="498" t="s">
        <v>747</v>
      </c>
      <c r="H163" s="498" t="s">
        <v>748</v>
      </c>
      <c r="I163" s="501">
        <v>0.68999999761581421</v>
      </c>
      <c r="J163" s="501">
        <v>200</v>
      </c>
      <c r="K163" s="502">
        <v>138</v>
      </c>
    </row>
    <row r="164" spans="1:11" ht="14.4" customHeight="1" x14ac:dyDescent="0.3">
      <c r="A164" s="496" t="s">
        <v>445</v>
      </c>
      <c r="B164" s="497" t="s">
        <v>446</v>
      </c>
      <c r="C164" s="498" t="s">
        <v>458</v>
      </c>
      <c r="D164" s="499" t="s">
        <v>459</v>
      </c>
      <c r="E164" s="498" t="s">
        <v>745</v>
      </c>
      <c r="F164" s="499" t="s">
        <v>746</v>
      </c>
      <c r="G164" s="498" t="s">
        <v>749</v>
      </c>
      <c r="H164" s="498" t="s">
        <v>750</v>
      </c>
      <c r="I164" s="501">
        <v>0.68999999761581421</v>
      </c>
      <c r="J164" s="501">
        <v>1600</v>
      </c>
      <c r="K164" s="502">
        <v>1104</v>
      </c>
    </row>
    <row r="165" spans="1:11" ht="14.4" customHeight="1" x14ac:dyDescent="0.3">
      <c r="A165" s="496" t="s">
        <v>445</v>
      </c>
      <c r="B165" s="497" t="s">
        <v>446</v>
      </c>
      <c r="C165" s="498" t="s">
        <v>458</v>
      </c>
      <c r="D165" s="499" t="s">
        <v>459</v>
      </c>
      <c r="E165" s="498" t="s">
        <v>745</v>
      </c>
      <c r="F165" s="499" t="s">
        <v>746</v>
      </c>
      <c r="G165" s="498" t="s">
        <v>751</v>
      </c>
      <c r="H165" s="498" t="s">
        <v>752</v>
      </c>
      <c r="I165" s="501">
        <v>0.68666666746139526</v>
      </c>
      <c r="J165" s="501">
        <v>1600</v>
      </c>
      <c r="K165" s="502">
        <v>1100</v>
      </c>
    </row>
    <row r="166" spans="1:11" ht="14.4" customHeight="1" thickBot="1" x14ac:dyDescent="0.35">
      <c r="A166" s="503" t="s">
        <v>445</v>
      </c>
      <c r="B166" s="504" t="s">
        <v>446</v>
      </c>
      <c r="C166" s="505" t="s">
        <v>458</v>
      </c>
      <c r="D166" s="506" t="s">
        <v>459</v>
      </c>
      <c r="E166" s="505" t="s">
        <v>745</v>
      </c>
      <c r="F166" s="506" t="s">
        <v>746</v>
      </c>
      <c r="G166" s="505" t="s">
        <v>987</v>
      </c>
      <c r="H166" s="505" t="s">
        <v>988</v>
      </c>
      <c r="I166" s="508">
        <v>7.5</v>
      </c>
      <c r="J166" s="508">
        <v>280</v>
      </c>
      <c r="K166" s="509">
        <v>2100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428" t="s">
        <v>106</v>
      </c>
      <c r="B1" s="428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23"/>
    </row>
    <row r="2" spans="1:13" ht="15" thickBot="1" x14ac:dyDescent="0.35">
      <c r="A2" s="235" t="s">
        <v>258</v>
      </c>
      <c r="B2" s="236"/>
      <c r="C2" s="236"/>
      <c r="D2" s="236"/>
      <c r="E2" s="236"/>
      <c r="F2" s="236"/>
      <c r="G2" s="236"/>
      <c r="H2" s="236"/>
      <c r="I2" s="236"/>
      <c r="J2" s="236"/>
      <c r="M2" s="323"/>
    </row>
    <row r="3" spans="1:13" x14ac:dyDescent="0.3">
      <c r="A3" s="254" t="s">
        <v>193</v>
      </c>
      <c r="B3" s="426" t="s">
        <v>176</v>
      </c>
      <c r="C3" s="237">
        <v>30</v>
      </c>
      <c r="D3" s="237">
        <v>99</v>
      </c>
      <c r="E3" s="257">
        <v>100</v>
      </c>
      <c r="F3" s="257">
        <v>101</v>
      </c>
      <c r="G3" s="257">
        <v>304</v>
      </c>
      <c r="H3" s="257">
        <v>305</v>
      </c>
      <c r="I3" s="257">
        <v>409</v>
      </c>
      <c r="J3" s="257">
        <v>526</v>
      </c>
      <c r="K3" s="237">
        <v>642</v>
      </c>
      <c r="L3" s="238">
        <v>746</v>
      </c>
      <c r="M3" s="323"/>
    </row>
    <row r="4" spans="1:13" ht="36.6" outlineLevel="1" thickBot="1" x14ac:dyDescent="0.35">
      <c r="A4" s="255">
        <v>2017</v>
      </c>
      <c r="B4" s="427"/>
      <c r="C4" s="239" t="s">
        <v>195</v>
      </c>
      <c r="D4" s="239" t="s">
        <v>177</v>
      </c>
      <c r="E4" s="258" t="s">
        <v>220</v>
      </c>
      <c r="F4" s="258" t="s">
        <v>221</v>
      </c>
      <c r="G4" s="258" t="s">
        <v>222</v>
      </c>
      <c r="H4" s="258" t="s">
        <v>223</v>
      </c>
      <c r="I4" s="258" t="s">
        <v>200</v>
      </c>
      <c r="J4" s="258" t="s">
        <v>201</v>
      </c>
      <c r="K4" s="239" t="s">
        <v>202</v>
      </c>
      <c r="L4" s="240" t="s">
        <v>203</v>
      </c>
      <c r="M4" s="323"/>
    </row>
    <row r="5" spans="1:13" x14ac:dyDescent="0.3">
      <c r="A5" s="241" t="s">
        <v>178</v>
      </c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6"/>
      <c r="M5" s="323"/>
    </row>
    <row r="6" spans="1:13" ht="15" collapsed="1" thickBot="1" x14ac:dyDescent="0.35">
      <c r="A6" s="242" t="s">
        <v>73</v>
      </c>
      <c r="B6" s="277">
        <f xml:space="preserve">
TRUNC(IF($A$4&lt;=12,SUMIFS('ON Data'!F:F,'ON Data'!$D:$D,$A$4,'ON Data'!$E:$E,1),SUMIFS('ON Data'!F:F,'ON Data'!$E:$E,1)/'ON Data'!$D$3),1)</f>
        <v>26.7</v>
      </c>
      <c r="C6" s="278">
        <f xml:space="preserve">
TRUNC(IF($A$4&lt;=12,SUMIFS('ON Data'!I:I,'ON Data'!$D:$D,$A$4,'ON Data'!$E:$E,1),SUMIFS('ON Data'!I:I,'ON Data'!$E:$E,1)/'ON Data'!$D$3),1)</f>
        <v>1.8</v>
      </c>
      <c r="D6" s="278">
        <f xml:space="preserve">
TRUNC(IF($A$4&lt;=12,SUMIFS('ON Data'!J:J,'ON Data'!$D:$D,$A$4,'ON Data'!$E:$E,1),SUMIFS('ON Data'!J:J,'ON Data'!$E:$E,1)/'ON Data'!$D$3),1)</f>
        <v>2.7</v>
      </c>
      <c r="E6" s="278">
        <f xml:space="preserve">
TRUNC(IF($A$4&lt;=12,SUMIFS('ON Data'!K:K,'ON Data'!$D:$D,$A$4,'ON Data'!$E:$E,1),SUMIFS('ON Data'!K:K,'ON Data'!$E:$E,1)/'ON Data'!$D$3),1)</f>
        <v>0</v>
      </c>
      <c r="F6" s="278">
        <f xml:space="preserve">
TRUNC(IF($A$4&lt;=12,SUMIFS('ON Data'!L:L,'ON Data'!$D:$D,$A$4,'ON Data'!$E:$E,1),SUMIFS('ON Data'!L:L,'ON Data'!$E:$E,1)/'ON Data'!$D$3),1)</f>
        <v>2.7</v>
      </c>
      <c r="G6" s="278">
        <f xml:space="preserve">
TRUNC(IF($A$4&lt;=12,SUMIFS('ON Data'!R:R,'ON Data'!$D:$D,$A$4,'ON Data'!$E:$E,1),SUMIFS('ON Data'!R:R,'ON Data'!$E:$E,1)/'ON Data'!$D$3),1)</f>
        <v>1.8</v>
      </c>
      <c r="H6" s="278">
        <f xml:space="preserve">
TRUNC(IF($A$4&lt;=12,SUMIFS('ON Data'!S:S,'ON Data'!$D:$D,$A$4,'ON Data'!$E:$E,1),SUMIFS('ON Data'!S:S,'ON Data'!$E:$E,1)/'ON Data'!$D$3),1)</f>
        <v>1</v>
      </c>
      <c r="I6" s="278">
        <f xml:space="preserve">
TRUNC(IF($A$4&lt;=12,SUMIFS('ON Data'!W:W,'ON Data'!$D:$D,$A$4,'ON Data'!$E:$E,1),SUMIFS('ON Data'!W:W,'ON Data'!$E:$E,1)/'ON Data'!$D$3),1)</f>
        <v>4.8</v>
      </c>
      <c r="J6" s="278">
        <f xml:space="preserve">
TRUNC(IF($A$4&lt;=12,SUMIFS('ON Data'!AL:AL,'ON Data'!$D:$D,$A$4,'ON Data'!$E:$E,1),SUMIFS('ON Data'!AL:AL,'ON Data'!$E:$E,1)/'ON Data'!$D$3),1)</f>
        <v>10.8</v>
      </c>
      <c r="K6" s="278">
        <f xml:space="preserve">
TRUNC(IF($A$4&lt;=12,SUMIFS('ON Data'!AT:AT,'ON Data'!$D:$D,$A$4,'ON Data'!$E:$E,1),SUMIFS('ON Data'!AT:AT,'ON Data'!$E:$E,1)/'ON Data'!$D$3),1)</f>
        <v>1</v>
      </c>
      <c r="L6" s="279">
        <f xml:space="preserve">
TRUNC(IF($A$4&lt;=12,SUMIFS('ON Data'!AW:AW,'ON Data'!$D:$D,$A$4,'ON Data'!$E:$E,1),SUMIFS('ON Data'!AW:AW,'ON Data'!$E:$E,1)/'ON Data'!$D$3),1)</f>
        <v>0</v>
      </c>
      <c r="M6" s="323"/>
    </row>
    <row r="7" spans="1:13" ht="15" hidden="1" outlineLevel="1" thickBot="1" x14ac:dyDescent="0.35">
      <c r="A7" s="242" t="s">
        <v>107</v>
      </c>
      <c r="B7" s="277"/>
      <c r="C7" s="278"/>
      <c r="D7" s="278"/>
      <c r="E7" s="278"/>
      <c r="F7" s="278"/>
      <c r="G7" s="278"/>
      <c r="H7" s="278"/>
      <c r="I7" s="278"/>
      <c r="J7" s="278"/>
      <c r="K7" s="278"/>
      <c r="L7" s="279"/>
      <c r="M7" s="323"/>
    </row>
    <row r="8" spans="1:13" ht="15" hidden="1" outlineLevel="1" thickBot="1" x14ac:dyDescent="0.35">
      <c r="A8" s="242" t="s">
        <v>75</v>
      </c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9"/>
      <c r="M8" s="323"/>
    </row>
    <row r="9" spans="1:13" ht="15" hidden="1" outlineLevel="1" thickBot="1" x14ac:dyDescent="0.35">
      <c r="A9" s="243" t="s">
        <v>68</v>
      </c>
      <c r="B9" s="280"/>
      <c r="C9" s="281"/>
      <c r="D9" s="281"/>
      <c r="E9" s="281"/>
      <c r="F9" s="281"/>
      <c r="G9" s="281"/>
      <c r="H9" s="281"/>
      <c r="I9" s="281"/>
      <c r="J9" s="281"/>
      <c r="K9" s="281"/>
      <c r="L9" s="282"/>
      <c r="M9" s="323"/>
    </row>
    <row r="10" spans="1:13" x14ac:dyDescent="0.3">
      <c r="A10" s="244" t="s">
        <v>179</v>
      </c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1"/>
      <c r="M10" s="323"/>
    </row>
    <row r="11" spans="1:13" x14ac:dyDescent="0.3">
      <c r="A11" s="245" t="s">
        <v>180</v>
      </c>
      <c r="B11" s="262">
        <f xml:space="preserve">
IF($A$4&lt;=12,SUMIFS('ON Data'!F:F,'ON Data'!$D:$D,$A$4,'ON Data'!$E:$E,2),SUMIFS('ON Data'!F:F,'ON Data'!$E:$E,2))</f>
        <v>24580.800000000003</v>
      </c>
      <c r="C11" s="263">
        <f xml:space="preserve">
IF($A$4&lt;=12,SUMIFS('ON Data'!I:I,'ON Data'!$D:$D,$A$4,'ON Data'!$E:$E,2),SUMIFS('ON Data'!I:I,'ON Data'!$E:$E,2))</f>
        <v>1729.6</v>
      </c>
      <c r="D11" s="263">
        <f xml:space="preserve">
IF($A$4&lt;=12,SUMIFS('ON Data'!J:J,'ON Data'!$D:$D,$A$4,'ON Data'!$E:$E,2),SUMIFS('ON Data'!J:J,'ON Data'!$E:$E,2))</f>
        <v>2366.4</v>
      </c>
      <c r="E11" s="263">
        <f xml:space="preserve">
IF($A$4&lt;=12,SUMIFS('ON Data'!K:K,'ON Data'!$D:$D,$A$4,'ON Data'!$E:$E,2),SUMIFS('ON Data'!K:K,'ON Data'!$E:$E,2))</f>
        <v>16</v>
      </c>
      <c r="F11" s="263">
        <f xml:space="preserve">
IF($A$4&lt;=12,SUMIFS('ON Data'!L:L,'ON Data'!$D:$D,$A$4,'ON Data'!$E:$E,2),SUMIFS('ON Data'!L:L,'ON Data'!$E:$E,2))</f>
        <v>2568.8000000000002</v>
      </c>
      <c r="G11" s="263">
        <f xml:space="preserve">
IF($A$4&lt;=12,SUMIFS('ON Data'!R:R,'ON Data'!$D:$D,$A$4,'ON Data'!$E:$E,2),SUMIFS('ON Data'!R:R,'ON Data'!$E:$E,2))</f>
        <v>1280</v>
      </c>
      <c r="H11" s="263">
        <f xml:space="preserve">
IF($A$4&lt;=12,SUMIFS('ON Data'!S:S,'ON Data'!$D:$D,$A$4,'ON Data'!$E:$E,2),SUMIFS('ON Data'!S:S,'ON Data'!$E:$E,2))</f>
        <v>984</v>
      </c>
      <c r="I11" s="263">
        <f xml:space="preserve">
IF($A$4&lt;=12,SUMIFS('ON Data'!W:W,'ON Data'!$D:$D,$A$4,'ON Data'!$E:$E,2),SUMIFS('ON Data'!W:W,'ON Data'!$E:$E,2))</f>
        <v>4620</v>
      </c>
      <c r="J11" s="263">
        <f xml:space="preserve">
IF($A$4&lt;=12,SUMIFS('ON Data'!AL:AL,'ON Data'!$D:$D,$A$4,'ON Data'!$E:$E,2),SUMIFS('ON Data'!AL:AL,'ON Data'!$E:$E,2))</f>
        <v>10056</v>
      </c>
      <c r="K11" s="263">
        <f xml:space="preserve">
IF($A$4&lt;=12,SUMIFS('ON Data'!AT:AT,'ON Data'!$D:$D,$A$4,'ON Data'!$E:$E,2),SUMIFS('ON Data'!AT:AT,'ON Data'!$E:$E,2))</f>
        <v>908</v>
      </c>
      <c r="L11" s="264">
        <f xml:space="preserve">
IF($A$4&lt;=12,SUMIFS('ON Data'!AW:AW,'ON Data'!$D:$D,$A$4,'ON Data'!$E:$E,2),SUMIFS('ON Data'!AW:AW,'ON Data'!$E:$E,2))</f>
        <v>52</v>
      </c>
      <c r="M11" s="323"/>
    </row>
    <row r="12" spans="1:13" x14ac:dyDescent="0.3">
      <c r="A12" s="245" t="s">
        <v>181</v>
      </c>
      <c r="B12" s="262">
        <f xml:space="preserve">
IF($A$4&lt;=12,SUMIFS('ON Data'!F:F,'ON Data'!$D:$D,$A$4,'ON Data'!$E:$E,3),SUMIFS('ON Data'!F:F,'ON Data'!$E:$E,3))</f>
        <v>199.6</v>
      </c>
      <c r="C12" s="263">
        <f xml:space="preserve">
IF($A$4&lt;=12,SUMIFS('ON Data'!I:I,'ON Data'!$D:$D,$A$4,'ON Data'!$E:$E,3),SUMIFS('ON Data'!I:I,'ON Data'!$E:$E,3))</f>
        <v>0</v>
      </c>
      <c r="D12" s="263">
        <f xml:space="preserve">
IF($A$4&lt;=12,SUMIFS('ON Data'!J:J,'ON Data'!$D:$D,$A$4,'ON Data'!$E:$E,3),SUMIFS('ON Data'!J:J,'ON Data'!$E:$E,3))</f>
        <v>39.200000000000003</v>
      </c>
      <c r="E12" s="263">
        <f xml:space="preserve">
IF($A$4&lt;=12,SUMIFS('ON Data'!K:K,'ON Data'!$D:$D,$A$4,'ON Data'!$E:$E,3),SUMIFS('ON Data'!K:K,'ON Data'!$E:$E,3))</f>
        <v>0</v>
      </c>
      <c r="F12" s="263">
        <f xml:space="preserve">
IF($A$4&lt;=12,SUMIFS('ON Data'!L:L,'ON Data'!$D:$D,$A$4,'ON Data'!$E:$E,3),SUMIFS('ON Data'!L:L,'ON Data'!$E:$E,3))</f>
        <v>43</v>
      </c>
      <c r="G12" s="263">
        <f xml:space="preserve">
IF($A$4&lt;=12,SUMIFS('ON Data'!R:R,'ON Data'!$D:$D,$A$4,'ON Data'!$E:$E,3),SUMIFS('ON Data'!R:R,'ON Data'!$E:$E,3))</f>
        <v>117.4</v>
      </c>
      <c r="H12" s="263">
        <f xml:space="preserve">
IF($A$4&lt;=12,SUMIFS('ON Data'!S:S,'ON Data'!$D:$D,$A$4,'ON Data'!$E:$E,3),SUMIFS('ON Data'!S:S,'ON Data'!$E:$E,3))</f>
        <v>0</v>
      </c>
      <c r="I12" s="263">
        <f xml:space="preserve">
IF($A$4&lt;=12,SUMIFS('ON Data'!W:W,'ON Data'!$D:$D,$A$4,'ON Data'!$E:$E,3),SUMIFS('ON Data'!W:W,'ON Data'!$E:$E,3))</f>
        <v>0</v>
      </c>
      <c r="J12" s="263">
        <f xml:space="preserve">
IF($A$4&lt;=12,SUMIFS('ON Data'!AL:AL,'ON Data'!$D:$D,$A$4,'ON Data'!$E:$E,3),SUMIFS('ON Data'!AL:AL,'ON Data'!$E:$E,3))</f>
        <v>0</v>
      </c>
      <c r="K12" s="263">
        <f xml:space="preserve">
IF($A$4&lt;=12,SUMIFS('ON Data'!AT:AT,'ON Data'!$D:$D,$A$4,'ON Data'!$E:$E,3),SUMIFS('ON Data'!AT:AT,'ON Data'!$E:$E,3))</f>
        <v>0</v>
      </c>
      <c r="L12" s="264">
        <f xml:space="preserve">
IF($A$4&lt;=12,SUMIFS('ON Data'!AW:AW,'ON Data'!$D:$D,$A$4,'ON Data'!$E:$E,3),SUMIFS('ON Data'!AW:AW,'ON Data'!$E:$E,3))</f>
        <v>0</v>
      </c>
      <c r="M12" s="323"/>
    </row>
    <row r="13" spans="1:13" x14ac:dyDescent="0.3">
      <c r="A13" s="245" t="s">
        <v>188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Data'!I:I,'ON Data'!$D:$D,$A$4,'ON Data'!$E:$E,4),SUMIFS('ON Data'!I:I,'ON Data'!$E:$E,4))</f>
        <v>0</v>
      </c>
      <c r="D13" s="263">
        <f xml:space="preserve">
IF($A$4&lt;=12,SUMIFS('ON Data'!J:J,'ON Data'!$D:$D,$A$4,'ON Data'!$E:$E,4),SUMIFS('ON Data'!J:J,'ON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Data'!L:L,'ON Data'!$D:$D,$A$4,'ON Data'!$E:$E,4),SUMIFS('ON Data'!L:L,'ON Data'!$E:$E,4))</f>
        <v>0</v>
      </c>
      <c r="G13" s="263">
        <f xml:space="preserve">
IF($A$4&lt;=12,SUMIFS('ON Data'!R:R,'ON Data'!$D:$D,$A$4,'ON Data'!$E:$E,4),SUMIFS('ON Data'!R:R,'ON Data'!$E:$E,4))</f>
        <v>0</v>
      </c>
      <c r="H13" s="263">
        <f xml:space="preserve">
IF($A$4&lt;=12,SUMIFS('ON Data'!S:S,'ON Data'!$D:$D,$A$4,'ON Data'!$E:$E,4),SUMIFS('ON Data'!S:S,'ON Data'!$E:$E,4))</f>
        <v>0</v>
      </c>
      <c r="I13" s="263">
        <f xml:space="preserve">
IF($A$4&lt;=12,SUMIFS('ON Data'!W:W,'ON Data'!$D:$D,$A$4,'ON Data'!$E:$E,4),SUMIFS('ON Data'!W:W,'ON Data'!$E:$E,4))</f>
        <v>0</v>
      </c>
      <c r="J13" s="263">
        <f xml:space="preserve">
IF($A$4&lt;=12,SUMIFS('ON Data'!AL:AL,'ON Data'!$D:$D,$A$4,'ON Data'!$E:$E,4),SUMIFS('ON Data'!AL:AL,'ON Data'!$E:$E,4))</f>
        <v>0</v>
      </c>
      <c r="K13" s="263">
        <f xml:space="preserve">
IF($A$4&lt;=12,SUMIFS('ON Data'!AT:AT,'ON Data'!$D:$D,$A$4,'ON Data'!$E:$E,4),SUMIFS('ON Data'!AT:AT,'ON Data'!$E:$E,4))</f>
        <v>0</v>
      </c>
      <c r="L13" s="264">
        <f xml:space="preserve">
IF($A$4&lt;=12,SUMIFS('ON Data'!AW:AW,'ON Data'!$D:$D,$A$4,'ON Data'!$E:$E,4),SUMIFS('ON Data'!AW:AW,'ON Data'!$E:$E,4))</f>
        <v>0</v>
      </c>
      <c r="M13" s="323"/>
    </row>
    <row r="14" spans="1:13" ht="15" thickBot="1" x14ac:dyDescent="0.35">
      <c r="A14" s="246" t="s">
        <v>182</v>
      </c>
      <c r="B14" s="265">
        <f xml:space="preserve">
IF($A$4&lt;=12,SUMIFS('ON Data'!F:F,'ON Data'!$D:$D,$A$4,'ON Data'!$E:$E,5),SUMIFS('ON Data'!F:F,'ON Data'!$E:$E,5))</f>
        <v>150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Data'!L:L,'ON Data'!$D:$D,$A$4,'ON Data'!$E:$E,5),SUMIFS('ON Data'!L:L,'ON Data'!$E:$E,5))</f>
        <v>150</v>
      </c>
      <c r="G14" s="266">
        <f xml:space="preserve">
IF($A$4&lt;=12,SUMIFS('ON Data'!R:R,'ON Data'!$D:$D,$A$4,'ON Data'!$E:$E,5),SUMIFS('ON Data'!R:R,'ON Data'!$E:$E,5))</f>
        <v>0</v>
      </c>
      <c r="H14" s="266">
        <f xml:space="preserve">
IF($A$4&lt;=12,SUMIFS('ON Data'!S:S,'ON Data'!$D:$D,$A$4,'ON Data'!$E:$E,5),SUMIFS('ON Data'!S:S,'ON Data'!$E:$E,5))</f>
        <v>0</v>
      </c>
      <c r="I14" s="266">
        <f xml:space="preserve">
IF($A$4&lt;=12,SUMIFS('ON Data'!W:W,'ON Data'!$D:$D,$A$4,'ON Data'!$E:$E,5),SUMIFS('ON Data'!W:W,'ON Data'!$E:$E,5))</f>
        <v>0</v>
      </c>
      <c r="J14" s="266">
        <f xml:space="preserve">
IF($A$4&lt;=12,SUMIFS('ON Data'!AL:AL,'ON Data'!$D:$D,$A$4,'ON Data'!$E:$E,5),SUMIFS('ON Data'!AL:AL,'ON Data'!$E:$E,5))</f>
        <v>0</v>
      </c>
      <c r="K14" s="266">
        <f xml:space="preserve">
IF($A$4&lt;=12,SUMIFS('ON Data'!AT:AT,'ON Data'!$D:$D,$A$4,'ON Data'!$E:$E,5),SUMIFS('ON Data'!AT:AT,'ON Data'!$E:$E,5))</f>
        <v>0</v>
      </c>
      <c r="L14" s="267">
        <f xml:space="preserve">
IF($A$4&lt;=12,SUMIFS('ON Data'!AW:AW,'ON Data'!$D:$D,$A$4,'ON Data'!$E:$E,5),SUMIFS('ON Data'!AW:AW,'ON Data'!$E:$E,5))</f>
        <v>0</v>
      </c>
      <c r="M14" s="323"/>
    </row>
    <row r="15" spans="1:13" x14ac:dyDescent="0.3">
      <c r="A15" s="162" t="s">
        <v>192</v>
      </c>
      <c r="B15" s="268"/>
      <c r="C15" s="269"/>
      <c r="D15" s="269"/>
      <c r="E15" s="269"/>
      <c r="F15" s="269"/>
      <c r="G15" s="269"/>
      <c r="H15" s="269"/>
      <c r="I15" s="269"/>
      <c r="J15" s="269"/>
      <c r="K15" s="269"/>
      <c r="L15" s="270"/>
      <c r="M15" s="323"/>
    </row>
    <row r="16" spans="1:13" x14ac:dyDescent="0.3">
      <c r="A16" s="247" t="s">
        <v>183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Data'!I:I,'ON Data'!$D:$D,$A$4,'ON Data'!$E:$E,7),SUMIFS('ON Data'!I:I,'ON Data'!$E:$E,7))</f>
        <v>0</v>
      </c>
      <c r="D16" s="263">
        <f xml:space="preserve">
IF($A$4&lt;=12,SUMIFS('ON Data'!J:J,'ON Data'!$D:$D,$A$4,'ON Data'!$E:$E,7),SUMIFS('ON Data'!J:J,'ON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Data'!L:L,'ON Data'!$D:$D,$A$4,'ON Data'!$E:$E,7),SUMIFS('ON Data'!L:L,'ON Data'!$E:$E,7))</f>
        <v>0</v>
      </c>
      <c r="G16" s="263">
        <f xml:space="preserve">
IF($A$4&lt;=12,SUMIFS('ON Data'!R:R,'ON Data'!$D:$D,$A$4,'ON Data'!$E:$E,7),SUMIFS('ON Data'!R:R,'ON Data'!$E:$E,7))</f>
        <v>0</v>
      </c>
      <c r="H16" s="263">
        <f xml:space="preserve">
IF($A$4&lt;=12,SUMIFS('ON Data'!S:S,'ON Data'!$D:$D,$A$4,'ON Data'!$E:$E,7),SUMIFS('ON Data'!S:S,'ON Data'!$E:$E,7))</f>
        <v>0</v>
      </c>
      <c r="I16" s="263">
        <f xml:space="preserve">
IF($A$4&lt;=12,SUMIFS('ON Data'!W:W,'ON Data'!$D:$D,$A$4,'ON Data'!$E:$E,7),SUMIFS('ON Data'!W:W,'ON Data'!$E:$E,7))</f>
        <v>0</v>
      </c>
      <c r="J16" s="263">
        <f xml:space="preserve">
IF($A$4&lt;=12,SUMIFS('ON Data'!AL:AL,'ON Data'!$D:$D,$A$4,'ON Data'!$E:$E,7),SUMIFS('ON Data'!AL:AL,'ON Data'!$E:$E,7))</f>
        <v>0</v>
      </c>
      <c r="K16" s="263">
        <f xml:space="preserve">
IF($A$4&lt;=12,SUMIFS('ON Data'!AT:AT,'ON Data'!$D:$D,$A$4,'ON Data'!$E:$E,7),SUMIFS('ON Data'!AT:AT,'ON Data'!$E:$E,7))</f>
        <v>0</v>
      </c>
      <c r="L16" s="264">
        <f xml:space="preserve">
IF($A$4&lt;=12,SUMIFS('ON Data'!AW:AW,'ON Data'!$D:$D,$A$4,'ON Data'!$E:$E,7),SUMIFS('ON Data'!AW:AW,'ON Data'!$E:$E,7))</f>
        <v>0</v>
      </c>
      <c r="M16" s="323"/>
    </row>
    <row r="17" spans="1:46" x14ac:dyDescent="0.3">
      <c r="A17" s="247" t="s">
        <v>184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Data'!I:I,'ON Data'!$D:$D,$A$4,'ON Data'!$E:$E,8),SUMIFS('ON Data'!I:I,'ON Data'!$E:$E,8))</f>
        <v>0</v>
      </c>
      <c r="D17" s="263">
        <f xml:space="preserve">
IF($A$4&lt;=12,SUMIFS('ON Data'!J:J,'ON Data'!$D:$D,$A$4,'ON Data'!$E:$E,8),SUMIFS('ON Data'!J:J,'ON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Data'!L:L,'ON Data'!$D:$D,$A$4,'ON Data'!$E:$E,8),SUMIFS('ON Data'!L:L,'ON Data'!$E:$E,8))</f>
        <v>0</v>
      </c>
      <c r="G17" s="263">
        <f xml:space="preserve">
IF($A$4&lt;=12,SUMIFS('ON Data'!R:R,'ON Data'!$D:$D,$A$4,'ON Data'!$E:$E,8),SUMIFS('ON Data'!R:R,'ON Data'!$E:$E,8))</f>
        <v>0</v>
      </c>
      <c r="H17" s="263">
        <f xml:space="preserve">
IF($A$4&lt;=12,SUMIFS('ON Data'!S:S,'ON Data'!$D:$D,$A$4,'ON Data'!$E:$E,8),SUMIFS('ON Data'!S:S,'ON Data'!$E:$E,8))</f>
        <v>0</v>
      </c>
      <c r="I17" s="263">
        <f xml:space="preserve">
IF($A$4&lt;=12,SUMIFS('ON Data'!W:W,'ON Data'!$D:$D,$A$4,'ON Data'!$E:$E,8),SUMIFS('ON Data'!W:W,'ON Data'!$E:$E,8))</f>
        <v>0</v>
      </c>
      <c r="J17" s="263">
        <f xml:space="preserve">
IF($A$4&lt;=12,SUMIFS('ON Data'!AL:AL,'ON Data'!$D:$D,$A$4,'ON Data'!$E:$E,8),SUMIFS('ON Data'!AL:AL,'ON Data'!$E:$E,8))</f>
        <v>0</v>
      </c>
      <c r="K17" s="263">
        <f xml:space="preserve">
IF($A$4&lt;=12,SUMIFS('ON Data'!AT:AT,'ON Data'!$D:$D,$A$4,'ON Data'!$E:$E,8),SUMIFS('ON Data'!AT:AT,'ON Data'!$E:$E,8))</f>
        <v>0</v>
      </c>
      <c r="L17" s="264">
        <f xml:space="preserve">
IF($A$4&lt;=12,SUMIFS('ON Data'!AW:AW,'ON Data'!$D:$D,$A$4,'ON Data'!$E:$E,8),SUMIFS('ON Data'!AW:AW,'ON Data'!$E:$E,8))</f>
        <v>0</v>
      </c>
      <c r="M17" s="323"/>
    </row>
    <row r="18" spans="1:46" x14ac:dyDescent="0.3">
      <c r="A18" s="247" t="s">
        <v>185</v>
      </c>
      <c r="B18" s="262">
        <f xml:space="preserve">
B19-B16-B17</f>
        <v>39994</v>
      </c>
      <c r="C18" s="263">
        <f t="shared" ref="C18:L18" si="0" xml:space="preserve">
C19-C16-C17</f>
        <v>12146</v>
      </c>
      <c r="D18" s="263">
        <f t="shared" si="0"/>
        <v>0</v>
      </c>
      <c r="E18" s="263">
        <f t="shared" si="0"/>
        <v>0</v>
      </c>
      <c r="F18" s="263">
        <f t="shared" si="0"/>
        <v>0</v>
      </c>
      <c r="G18" s="263">
        <f t="shared" si="0"/>
        <v>14146</v>
      </c>
      <c r="H18" s="263">
        <f t="shared" si="0"/>
        <v>6648</v>
      </c>
      <c r="I18" s="263">
        <f t="shared" si="0"/>
        <v>2516</v>
      </c>
      <c r="J18" s="263">
        <f t="shared" si="0"/>
        <v>4538</v>
      </c>
      <c r="K18" s="263">
        <f t="shared" si="0"/>
        <v>0</v>
      </c>
      <c r="L18" s="264">
        <f t="shared" si="0"/>
        <v>0</v>
      </c>
      <c r="M18" s="323"/>
    </row>
    <row r="19" spans="1:46" ht="15" thickBot="1" x14ac:dyDescent="0.35">
      <c r="A19" s="248" t="s">
        <v>186</v>
      </c>
      <c r="B19" s="271">
        <f xml:space="preserve">
IF($A$4&lt;=12,SUMIFS('ON Data'!F:F,'ON Data'!$D:$D,$A$4,'ON Data'!$E:$E,9),SUMIFS('ON Data'!F:F,'ON Data'!$E:$E,9))</f>
        <v>39994</v>
      </c>
      <c r="C19" s="272">
        <f xml:space="preserve">
IF($A$4&lt;=12,SUMIFS('ON Data'!I:I,'ON Data'!$D:$D,$A$4,'ON Data'!$E:$E,9),SUMIFS('ON Data'!I:I,'ON Data'!$E:$E,9))</f>
        <v>12146</v>
      </c>
      <c r="D19" s="272">
        <f xml:space="preserve">
IF($A$4&lt;=12,SUMIFS('ON Data'!J:J,'ON Data'!$D:$D,$A$4,'ON Data'!$E:$E,9),SUMIFS('ON Data'!J:J,'ON Data'!$E:$E,9))</f>
        <v>0</v>
      </c>
      <c r="E19" s="272">
        <f xml:space="preserve">
IF($A$4&lt;=12,SUMIFS('ON Data'!K:K,'ON Data'!$D:$D,$A$4,'ON Data'!$E:$E,9),SUMIFS('ON Data'!K:K,'ON Data'!$E:$E,9))</f>
        <v>0</v>
      </c>
      <c r="F19" s="272">
        <f xml:space="preserve">
IF($A$4&lt;=12,SUMIFS('ON Data'!L:L,'ON Data'!$D:$D,$A$4,'ON Data'!$E:$E,9),SUMIFS('ON Data'!L:L,'ON Data'!$E:$E,9))</f>
        <v>0</v>
      </c>
      <c r="G19" s="272">
        <f xml:space="preserve">
IF($A$4&lt;=12,SUMIFS('ON Data'!R:R,'ON Data'!$D:$D,$A$4,'ON Data'!$E:$E,9),SUMIFS('ON Data'!R:R,'ON Data'!$E:$E,9))</f>
        <v>14146</v>
      </c>
      <c r="H19" s="272">
        <f xml:space="preserve">
IF($A$4&lt;=12,SUMIFS('ON Data'!S:S,'ON Data'!$D:$D,$A$4,'ON Data'!$E:$E,9),SUMIFS('ON Data'!S:S,'ON Data'!$E:$E,9))</f>
        <v>6648</v>
      </c>
      <c r="I19" s="272">
        <f xml:space="preserve">
IF($A$4&lt;=12,SUMIFS('ON Data'!W:W,'ON Data'!$D:$D,$A$4,'ON Data'!$E:$E,9),SUMIFS('ON Data'!W:W,'ON Data'!$E:$E,9))</f>
        <v>2516</v>
      </c>
      <c r="J19" s="272">
        <f xml:space="preserve">
IF($A$4&lt;=12,SUMIFS('ON Data'!AL:AL,'ON Data'!$D:$D,$A$4,'ON Data'!$E:$E,9),SUMIFS('ON Data'!AL:AL,'ON Data'!$E:$E,9))</f>
        <v>4538</v>
      </c>
      <c r="K19" s="272">
        <f xml:space="preserve">
IF($A$4&lt;=12,SUMIFS('ON Data'!AT:AT,'ON Data'!$D:$D,$A$4,'ON Data'!$E:$E,9),SUMIFS('ON Data'!AT:AT,'ON Data'!$E:$E,9))</f>
        <v>0</v>
      </c>
      <c r="L19" s="273">
        <f xml:space="preserve">
IF($A$4&lt;=12,SUMIFS('ON Data'!AW:AW,'ON Data'!$D:$D,$A$4,'ON Data'!$E:$E,9),SUMIFS('ON Data'!AW:AW,'ON Data'!$E:$E,9))</f>
        <v>0</v>
      </c>
      <c r="M19" s="323"/>
    </row>
    <row r="20" spans="1:46" ht="15" collapsed="1" thickBot="1" x14ac:dyDescent="0.35">
      <c r="A20" s="249" t="s">
        <v>73</v>
      </c>
      <c r="B20" s="349">
        <f xml:space="preserve">
IF($A$4&lt;=12,SUMIFS('ON Data'!F:F,'ON Data'!$D:$D,$A$4,'ON Data'!$E:$E,6),SUMIFS('ON Data'!F:F,'ON Data'!$E:$E,6))</f>
        <v>6420053</v>
      </c>
      <c r="C20" s="350">
        <f xml:space="preserve">
IF($A$4&lt;=12,SUMIFS('ON Data'!I:I,'ON Data'!$D:$D,$A$4,'ON Data'!$E:$E,6),SUMIFS('ON Data'!I:I,'ON Data'!$E:$E,6))</f>
        <v>289090</v>
      </c>
      <c r="D20" s="350">
        <f xml:space="preserve">
IF($A$4&lt;=12,SUMIFS('ON Data'!J:J,'ON Data'!$D:$D,$A$4,'ON Data'!$E:$E,6),SUMIFS('ON Data'!J:J,'ON Data'!$E:$E,6))</f>
        <v>572892</v>
      </c>
      <c r="E20" s="350">
        <f xml:space="preserve">
IF($A$4&lt;=12,SUMIFS('ON Data'!K:K,'ON Data'!$D:$D,$A$4,'ON Data'!$E:$E,6),SUMIFS('ON Data'!K:K,'ON Data'!$E:$E,6))</f>
        <v>6322</v>
      </c>
      <c r="F20" s="350">
        <f xml:space="preserve">
IF($A$4&lt;=12,SUMIFS('ON Data'!L:L,'ON Data'!$D:$D,$A$4,'ON Data'!$E:$E,6),SUMIFS('ON Data'!L:L,'ON Data'!$E:$E,6))</f>
        <v>1311321</v>
      </c>
      <c r="G20" s="350">
        <f xml:space="preserve">
IF($A$4&lt;=12,SUMIFS('ON Data'!R:R,'ON Data'!$D:$D,$A$4,'ON Data'!$E:$E,6),SUMIFS('ON Data'!R:R,'ON Data'!$E:$E,6))</f>
        <v>338087</v>
      </c>
      <c r="H20" s="350">
        <f xml:space="preserve">
IF($A$4&lt;=12,SUMIFS('ON Data'!S:S,'ON Data'!$D:$D,$A$4,'ON Data'!$E:$E,6),SUMIFS('ON Data'!S:S,'ON Data'!$E:$E,6))</f>
        <v>310079</v>
      </c>
      <c r="I20" s="350">
        <f xml:space="preserve">
IF($A$4&lt;=12,SUMIFS('ON Data'!W:W,'ON Data'!$D:$D,$A$4,'ON Data'!$E:$E,6),SUMIFS('ON Data'!W:W,'ON Data'!$E:$E,6))</f>
        <v>882760</v>
      </c>
      <c r="J20" s="350">
        <f xml:space="preserve">
IF($A$4&lt;=12,SUMIFS('ON Data'!AL:AL,'ON Data'!$D:$D,$A$4,'ON Data'!$E:$E,6),SUMIFS('ON Data'!AL:AL,'ON Data'!$E:$E,6))</f>
        <v>2591927</v>
      </c>
      <c r="K20" s="350">
        <f xml:space="preserve">
IF($A$4&lt;=12,SUMIFS('ON Data'!AT:AT,'ON Data'!$D:$D,$A$4,'ON Data'!$E:$E,6),SUMIFS('ON Data'!AT:AT,'ON Data'!$E:$E,6))</f>
        <v>111896</v>
      </c>
      <c r="L20" s="351">
        <f xml:space="preserve">
IF($A$4&lt;=12,SUMIFS('ON Data'!AW:AW,'ON Data'!$D:$D,$A$4,'ON Data'!$E:$E,6),SUMIFS('ON Data'!AW:AW,'ON Data'!$E:$E,6))</f>
        <v>5679</v>
      </c>
      <c r="M20" s="323"/>
    </row>
    <row r="21" spans="1:46" ht="15" hidden="1" outlineLevel="1" thickBot="1" x14ac:dyDescent="0.35">
      <c r="A21" s="242" t="s">
        <v>107</v>
      </c>
      <c r="B21" s="343">
        <f xml:space="preserve">
IF($A$4&lt;=12,SUMIFS('ON Data'!F:F,'ON Data'!$D:$D,$A$4,'ON Data'!$E:$E,12),SUMIFS('ON Data'!F:F,'ON Data'!$E:$E,12))</f>
        <v>0</v>
      </c>
      <c r="C21" s="328"/>
      <c r="D21" s="328">
        <f xml:space="preserve">
IF($A$4&lt;=12,SUMIFS('ON Data'!J:J,'ON Data'!$D:$D,$A$4,'ON Data'!$E:$E,12),SUMIFS('ON Data'!J:J,'ON Data'!$E:$E,12))</f>
        <v>0</v>
      </c>
      <c r="E21" s="328">
        <f xml:space="preserve">
IF($A$4&lt;=12,SUMIFS('ON Data'!K:K,'ON Data'!$D:$D,$A$4,'ON Data'!$E:$E,12),SUMIFS('ON Data'!K:K,'ON Data'!$E:$E,12))</f>
        <v>0</v>
      </c>
      <c r="F21" s="328">
        <f xml:space="preserve">
IF($A$4&lt;=12,SUMIFS('ON Data'!L:L,'ON Data'!$D:$D,$A$4,'ON Data'!$E:$E,12),SUMIFS('ON Data'!L:L,'ON Data'!$E:$E,12))</f>
        <v>0</v>
      </c>
      <c r="G21" s="328">
        <f xml:space="preserve">
IF($A$4&lt;=12,SUMIFS('ON Data'!R:R,'ON Data'!$D:$D,$A$4,'ON Data'!$E:$E,12),SUMIFS('ON Data'!R:R,'ON Data'!$E:$E,12))</f>
        <v>0</v>
      </c>
      <c r="H21" s="328">
        <f xml:space="preserve">
IF($A$4&lt;=12,SUMIFS('ON Data'!S:S,'ON Data'!$D:$D,$A$4,'ON Data'!$E:$E,12),SUMIFS('ON Data'!S:S,'ON Data'!$E:$E,12))</f>
        <v>0</v>
      </c>
      <c r="I21" s="328">
        <f xml:space="preserve">
IF($A$4&lt;=12,SUMIFS('ON Data'!W:W,'ON Data'!$D:$D,$A$4,'ON Data'!$E:$E,12),SUMIFS('ON Data'!W:W,'ON Data'!$E:$E,12))</f>
        <v>0</v>
      </c>
      <c r="J21" s="328">
        <f xml:space="preserve">
IF($A$4&lt;=12,SUMIFS('ON Data'!AL:AL,'ON Data'!$D:$D,$A$4,'ON Data'!$E:$E,12),SUMIFS('ON Data'!AL:AL,'ON Data'!$E:$E,12))</f>
        <v>0</v>
      </c>
      <c r="K21" s="328"/>
      <c r="L21" s="329"/>
      <c r="M21" s="323"/>
    </row>
    <row r="22" spans="1:46" ht="15" hidden="1" outlineLevel="1" thickBot="1" x14ac:dyDescent="0.35">
      <c r="A22" s="242" t="s">
        <v>75</v>
      </c>
      <c r="B22" s="344" t="str">
        <f xml:space="preserve">
IF(OR(B21="",B21=0),"",B20/B21)</f>
        <v/>
      </c>
      <c r="C22" s="313"/>
      <c r="D22" s="313" t="str">
        <f t="shared" ref="D22:F22" si="1" xml:space="preserve">
IF(OR(D21="",D21=0),"",D20/D21)</f>
        <v/>
      </c>
      <c r="E22" s="313" t="str">
        <f t="shared" si="1"/>
        <v/>
      </c>
      <c r="F22" s="313" t="str">
        <f t="shared" si="1"/>
        <v/>
      </c>
      <c r="G22" s="313" t="str">
        <f t="shared" ref="G22:J22" si="2" xml:space="preserve">
IF(OR(G21="",G21=0),"",G20/G21)</f>
        <v/>
      </c>
      <c r="H22" s="313" t="str">
        <f t="shared" si="2"/>
        <v/>
      </c>
      <c r="I22" s="313" t="str">
        <f t="shared" si="2"/>
        <v/>
      </c>
      <c r="J22" s="313" t="str">
        <f t="shared" si="2"/>
        <v/>
      </c>
      <c r="K22" s="313"/>
      <c r="L22" s="314"/>
      <c r="M22" s="323"/>
    </row>
    <row r="23" spans="1:46" ht="15" hidden="1" outlineLevel="1" thickBot="1" x14ac:dyDescent="0.35">
      <c r="A23" s="250" t="s">
        <v>68</v>
      </c>
      <c r="B23" s="345">
        <f xml:space="preserve">
IF(B21="","",B20-B21)</f>
        <v>6420053</v>
      </c>
      <c r="C23" s="266"/>
      <c r="D23" s="266">
        <f t="shared" ref="D23:F23" si="3" xml:space="preserve">
IF(D21="","",D20-D21)</f>
        <v>572892</v>
      </c>
      <c r="E23" s="266">
        <f t="shared" si="3"/>
        <v>6322</v>
      </c>
      <c r="F23" s="266">
        <f t="shared" si="3"/>
        <v>1311321</v>
      </c>
      <c r="G23" s="266">
        <f t="shared" ref="G23:J23" si="4" xml:space="preserve">
IF(G21="","",G20-G21)</f>
        <v>338087</v>
      </c>
      <c r="H23" s="266">
        <f t="shared" si="4"/>
        <v>310079</v>
      </c>
      <c r="I23" s="266">
        <f t="shared" si="4"/>
        <v>882760</v>
      </c>
      <c r="J23" s="266">
        <f t="shared" si="4"/>
        <v>2591927</v>
      </c>
      <c r="K23" s="266"/>
      <c r="L23" s="267"/>
      <c r="M23" s="323"/>
    </row>
    <row r="24" spans="1:46" x14ac:dyDescent="0.3">
      <c r="A24" s="244" t="s">
        <v>187</v>
      </c>
      <c r="B24" s="287" t="s">
        <v>3</v>
      </c>
      <c r="C24" s="340" t="s">
        <v>255</v>
      </c>
      <c r="D24" s="341" t="s">
        <v>256</v>
      </c>
      <c r="E24" s="341" t="s">
        <v>257</v>
      </c>
      <c r="F24" s="342" t="s">
        <v>198</v>
      </c>
      <c r="AT24" s="323"/>
    </row>
    <row r="25" spans="1:46" x14ac:dyDescent="0.3">
      <c r="A25" s="245" t="s">
        <v>73</v>
      </c>
      <c r="B25" s="262">
        <f xml:space="preserve">
SUM(C25:F25)</f>
        <v>20450</v>
      </c>
      <c r="C25" s="331">
        <f xml:space="preserve">
IF($A$4&lt;=12,SUMIFS('ON Data'!$G:$G,'ON Data'!$D:$D,$A$4,'ON Data'!$E:$E,10),SUMIFS('ON Data'!$G:$G,'ON Data'!$E:$E,10))</f>
        <v>4800</v>
      </c>
      <c r="D25" s="332">
        <f xml:space="preserve">
IF($A$4&lt;=12,SUMIFS('ON Data'!$J:$J,'ON Data'!$D:$D,$A$4,'ON Data'!$E:$E,10),SUMIFS('ON Data'!$J:$J,'ON Data'!$E:$E,10))</f>
        <v>15450</v>
      </c>
      <c r="E25" s="332">
        <f xml:space="preserve">
IF($A$4&lt;=12,SUMIFS('ON Data'!$H:$H,'ON Data'!$D:$D,$A$4,'ON Data'!$E:$E,10),SUMIFS('ON Data'!$H:$H,'ON Data'!$E:$E,10))</f>
        <v>200</v>
      </c>
      <c r="F25" s="333">
        <f xml:space="preserve">
IF($A$4&lt;=12,SUMIFS('ON Data'!$I:$I,'ON Data'!$D:$D,$A$4,'ON Data'!$E:$E,10),SUMIFS('ON Data'!$I:$I,'ON Data'!$E:$E,10))</f>
        <v>0</v>
      </c>
    </row>
    <row r="26" spans="1:46" x14ac:dyDescent="0.3">
      <c r="A26" s="251" t="s">
        <v>197</v>
      </c>
      <c r="B26" s="271">
        <f xml:space="preserve">
SUM(C26:F26)</f>
        <v>28703.88229290185</v>
      </c>
      <c r="C26" s="331">
        <f xml:space="preserve">
IF($A$4&lt;=12,SUMIFS('ON Data'!$G:$G,'ON Data'!$D:$D,$A$4,'ON Data'!$E:$E,11),SUMIFS('ON Data'!$G:$G,'ON Data'!$E:$E,11))</f>
        <v>7453.8822929018488</v>
      </c>
      <c r="D26" s="332">
        <f xml:space="preserve">
IF($A$4&lt;=12,SUMIFS('ON Data'!$J:$J,'ON Data'!$D:$D,$A$4,'ON Data'!$E:$E,11),SUMIFS('ON Data'!$J:$J,'ON Data'!$E:$E,11))</f>
        <v>16250.000000000002</v>
      </c>
      <c r="E26" s="332">
        <f xml:space="preserve">
IF($A$4&lt;=12,SUMIFS('ON Data'!$H:$H,'ON Data'!$D:$D,$A$4,'ON Data'!$E:$E,11),SUMIFS('ON Data'!$H:$H,'ON Data'!$E:$E,11))</f>
        <v>5000</v>
      </c>
      <c r="F26" s="333">
        <f xml:space="preserve">
IF($A$4&lt;=12,SUMIFS('ON Data'!$I:$I,'ON Data'!$D:$D,$A$4,'ON Data'!$E:$E,11),SUMIFS('ON Data'!$I:$I,'ON Data'!$E:$E,11))</f>
        <v>0</v>
      </c>
    </row>
    <row r="27" spans="1:46" x14ac:dyDescent="0.3">
      <c r="A27" s="251" t="s">
        <v>75</v>
      </c>
      <c r="B27" s="288">
        <f xml:space="preserve">
IF(B26=0,0,B25/B26)</f>
        <v>0.71244718018708775</v>
      </c>
      <c r="C27" s="334">
        <f xml:space="preserve">
IF(C26=0,0,C25/C26)</f>
        <v>0.64395972613773678</v>
      </c>
      <c r="D27" s="335">
        <f t="shared" ref="D27:E27" si="5" xml:space="preserve">
IF(D26=0,0,D25/D26)</f>
        <v>0.9507692307692307</v>
      </c>
      <c r="E27" s="335">
        <f t="shared" si="5"/>
        <v>0.04</v>
      </c>
      <c r="F27" s="336">
        <f xml:space="preserve">
IF(F26=0,0,F25/F26)</f>
        <v>0</v>
      </c>
    </row>
    <row r="28" spans="1:46" ht="15" thickBot="1" x14ac:dyDescent="0.35">
      <c r="A28" s="251" t="s">
        <v>196</v>
      </c>
      <c r="B28" s="271">
        <f xml:space="preserve">
SUM(C28:F28)</f>
        <v>8253.8822929018497</v>
      </c>
      <c r="C28" s="337">
        <f xml:space="preserve">
C26-C25</f>
        <v>2653.8822929018488</v>
      </c>
      <c r="D28" s="338">
        <f t="shared" ref="D28:E28" si="6" xml:space="preserve">
D26-D25</f>
        <v>800.00000000000182</v>
      </c>
      <c r="E28" s="338">
        <f t="shared" si="6"/>
        <v>4800</v>
      </c>
      <c r="F28" s="339">
        <f xml:space="preserve">
F26-F25</f>
        <v>0</v>
      </c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</row>
    <row r="29" spans="1:46" x14ac:dyDescent="0.3">
      <c r="A29" s="252"/>
      <c r="B29" s="252"/>
      <c r="C29" s="253"/>
      <c r="D29" s="252"/>
      <c r="E29" s="252"/>
      <c r="F29" s="252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84" t="s">
        <v>191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</row>
    <row r="33" spans="1:1" x14ac:dyDescent="0.3">
      <c r="A33" s="286" t="s">
        <v>251</v>
      </c>
    </row>
    <row r="34" spans="1:1" x14ac:dyDescent="0.3">
      <c r="A34" s="286" t="s">
        <v>252</v>
      </c>
    </row>
    <row r="35" spans="1:1" x14ac:dyDescent="0.3">
      <c r="A35" s="286" t="s">
        <v>253</v>
      </c>
    </row>
    <row r="36" spans="1:1" x14ac:dyDescent="0.3">
      <c r="A36" s="286" t="s">
        <v>254</v>
      </c>
    </row>
    <row r="37" spans="1:1" x14ac:dyDescent="0.3">
      <c r="A37" s="286" t="s">
        <v>199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L22">
    <cfRule type="cellIs" dxfId="8" priority="15" operator="greaterThan">
      <formula>1</formula>
    </cfRule>
  </conditionalFormatting>
  <conditionalFormatting sqref="B23:L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8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990</v>
      </c>
    </row>
    <row r="2" spans="1:49" x14ac:dyDescent="0.3">
      <c r="A2" s="235" t="s">
        <v>258</v>
      </c>
    </row>
    <row r="3" spans="1:49" x14ac:dyDescent="0.3">
      <c r="A3" s="231" t="s">
        <v>163</v>
      </c>
      <c r="B3" s="256">
        <v>2017</v>
      </c>
      <c r="D3" s="232">
        <f>MAX(D5:D1048576)</f>
        <v>6</v>
      </c>
      <c r="F3" s="232">
        <f>SUMIF($E5:$E1048576,"&lt;10",F5:F1048576)</f>
        <v>6485137.8499999996</v>
      </c>
      <c r="G3" s="232">
        <f t="shared" ref="G3:AW3" si="0">SUMIF($E5:$E1048576,"&lt;10",G5:G1048576)</f>
        <v>0</v>
      </c>
      <c r="H3" s="232">
        <f t="shared" si="0"/>
        <v>0</v>
      </c>
      <c r="I3" s="232">
        <f t="shared" si="0"/>
        <v>302976.39999999997</v>
      </c>
      <c r="J3" s="232">
        <f t="shared" si="0"/>
        <v>575314</v>
      </c>
      <c r="K3" s="232">
        <f t="shared" si="0"/>
        <v>6338.1</v>
      </c>
      <c r="L3" s="232">
        <f t="shared" si="0"/>
        <v>1314099.25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353641.19999999995</v>
      </c>
      <c r="S3" s="232">
        <f t="shared" si="0"/>
        <v>317717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889924.8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2606585.7999999998</v>
      </c>
      <c r="AM3" s="232">
        <f t="shared" si="0"/>
        <v>0</v>
      </c>
      <c r="AN3" s="232">
        <f t="shared" si="0"/>
        <v>0</v>
      </c>
      <c r="AO3" s="232">
        <f t="shared" si="0"/>
        <v>0</v>
      </c>
      <c r="AP3" s="232">
        <f t="shared" si="0"/>
        <v>0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112810</v>
      </c>
      <c r="AU3" s="232">
        <f t="shared" si="0"/>
        <v>0</v>
      </c>
      <c r="AV3" s="232">
        <f t="shared" si="0"/>
        <v>0</v>
      </c>
      <c r="AW3" s="232">
        <f t="shared" si="0"/>
        <v>5731.2999999999993</v>
      </c>
    </row>
    <row r="4" spans="1:49" x14ac:dyDescent="0.3">
      <c r="A4" s="231" t="s">
        <v>164</v>
      </c>
      <c r="B4" s="256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6">
        <v>2</v>
      </c>
      <c r="C5" s="231">
        <v>28</v>
      </c>
      <c r="D5" s="231">
        <v>1</v>
      </c>
      <c r="E5" s="231">
        <v>1</v>
      </c>
      <c r="F5" s="231">
        <v>26.400000000000002</v>
      </c>
      <c r="G5" s="231">
        <v>0</v>
      </c>
      <c r="H5" s="231">
        <v>0</v>
      </c>
      <c r="I5" s="231">
        <v>1.8</v>
      </c>
      <c r="J5" s="231">
        <v>2.4</v>
      </c>
      <c r="K5" s="231">
        <v>0</v>
      </c>
      <c r="L5" s="231">
        <v>2.8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1.8</v>
      </c>
      <c r="S5" s="231">
        <v>1</v>
      </c>
      <c r="T5" s="231">
        <v>0</v>
      </c>
      <c r="U5" s="231">
        <v>0</v>
      </c>
      <c r="V5" s="231">
        <v>0</v>
      </c>
      <c r="W5" s="231">
        <v>4.8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10.8</v>
      </c>
      <c r="AM5" s="231">
        <v>0</v>
      </c>
      <c r="AN5" s="231">
        <v>0</v>
      </c>
      <c r="AO5" s="231">
        <v>0</v>
      </c>
      <c r="AP5" s="231">
        <v>0</v>
      </c>
      <c r="AQ5" s="231">
        <v>0</v>
      </c>
      <c r="AR5" s="231">
        <v>0</v>
      </c>
      <c r="AS5" s="231">
        <v>0</v>
      </c>
      <c r="AT5" s="231">
        <v>1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6">
        <v>3</v>
      </c>
      <c r="C6" s="231">
        <v>28</v>
      </c>
      <c r="D6" s="231">
        <v>1</v>
      </c>
      <c r="E6" s="231">
        <v>2</v>
      </c>
      <c r="F6" s="231">
        <v>4055.2</v>
      </c>
      <c r="G6" s="231">
        <v>0</v>
      </c>
      <c r="H6" s="231">
        <v>0</v>
      </c>
      <c r="I6" s="231">
        <v>308.8</v>
      </c>
      <c r="J6" s="231">
        <v>313.60000000000002</v>
      </c>
      <c r="K6" s="231">
        <v>0</v>
      </c>
      <c r="L6" s="231">
        <v>480.8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136</v>
      </c>
      <c r="S6" s="231">
        <v>176</v>
      </c>
      <c r="T6" s="231">
        <v>0</v>
      </c>
      <c r="U6" s="231">
        <v>0</v>
      </c>
      <c r="V6" s="231">
        <v>0</v>
      </c>
      <c r="W6" s="231">
        <v>756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1708</v>
      </c>
      <c r="AM6" s="231">
        <v>0</v>
      </c>
      <c r="AN6" s="231">
        <v>0</v>
      </c>
      <c r="AO6" s="231">
        <v>0</v>
      </c>
      <c r="AP6" s="231">
        <v>0</v>
      </c>
      <c r="AQ6" s="231">
        <v>0</v>
      </c>
      <c r="AR6" s="231">
        <v>0</v>
      </c>
      <c r="AS6" s="231">
        <v>0</v>
      </c>
      <c r="AT6" s="231">
        <v>176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6">
        <v>4</v>
      </c>
      <c r="C7" s="231">
        <v>28</v>
      </c>
      <c r="D7" s="231">
        <v>1</v>
      </c>
      <c r="E7" s="231">
        <v>3</v>
      </c>
      <c r="F7" s="231">
        <v>54</v>
      </c>
      <c r="G7" s="231">
        <v>0</v>
      </c>
      <c r="H7" s="231">
        <v>0</v>
      </c>
      <c r="I7" s="231">
        <v>0</v>
      </c>
      <c r="J7" s="231">
        <v>4</v>
      </c>
      <c r="K7" s="231">
        <v>0</v>
      </c>
      <c r="L7" s="231">
        <v>10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40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6">
        <v>5</v>
      </c>
      <c r="C8" s="231">
        <v>28</v>
      </c>
      <c r="D8" s="231">
        <v>1</v>
      </c>
      <c r="E8" s="231">
        <v>5</v>
      </c>
      <c r="F8" s="231">
        <v>25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25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6">
        <v>6</v>
      </c>
      <c r="C9" s="231">
        <v>28</v>
      </c>
      <c r="D9" s="231">
        <v>1</v>
      </c>
      <c r="E9" s="231">
        <v>6</v>
      </c>
      <c r="F9" s="231">
        <v>1029812</v>
      </c>
      <c r="G9" s="231">
        <v>0</v>
      </c>
      <c r="H9" s="231">
        <v>0</v>
      </c>
      <c r="I9" s="231">
        <v>50846</v>
      </c>
      <c r="J9" s="231">
        <v>74847</v>
      </c>
      <c r="K9" s="231">
        <v>0</v>
      </c>
      <c r="L9" s="231">
        <v>216141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43727</v>
      </c>
      <c r="S9" s="231">
        <v>50110</v>
      </c>
      <c r="T9" s="231">
        <v>0</v>
      </c>
      <c r="U9" s="231">
        <v>0</v>
      </c>
      <c r="V9" s="231">
        <v>0</v>
      </c>
      <c r="W9" s="231">
        <v>145419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430172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18550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6">
        <v>7</v>
      </c>
      <c r="C10" s="231">
        <v>28</v>
      </c>
      <c r="D10" s="231">
        <v>1</v>
      </c>
      <c r="E10" s="231">
        <v>9</v>
      </c>
      <c r="F10" s="231">
        <v>10292</v>
      </c>
      <c r="G10" s="231">
        <v>0</v>
      </c>
      <c r="H10" s="231">
        <v>0</v>
      </c>
      <c r="I10" s="231">
        <v>5146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5146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6">
        <v>8</v>
      </c>
      <c r="C11" s="231">
        <v>28</v>
      </c>
      <c r="D11" s="231">
        <v>1</v>
      </c>
      <c r="E11" s="231">
        <v>11</v>
      </c>
      <c r="F11" s="231">
        <v>4783.9803821503083</v>
      </c>
      <c r="G11" s="231">
        <v>1242.3137154836415</v>
      </c>
      <c r="H11" s="231">
        <v>833.33333333333337</v>
      </c>
      <c r="I11" s="231">
        <v>0</v>
      </c>
      <c r="J11" s="231">
        <v>2708.3333333333335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6">
        <v>9</v>
      </c>
      <c r="C12" s="231">
        <v>28</v>
      </c>
      <c r="D12" s="231">
        <v>2</v>
      </c>
      <c r="E12" s="231">
        <v>1</v>
      </c>
      <c r="F12" s="231">
        <v>26.35</v>
      </c>
      <c r="G12" s="231">
        <v>0</v>
      </c>
      <c r="H12" s="231">
        <v>0</v>
      </c>
      <c r="I12" s="231">
        <v>1.8</v>
      </c>
      <c r="J12" s="231">
        <v>2.4</v>
      </c>
      <c r="K12" s="231">
        <v>0</v>
      </c>
      <c r="L12" s="231">
        <v>2.75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1.8</v>
      </c>
      <c r="S12" s="231">
        <v>1</v>
      </c>
      <c r="T12" s="231">
        <v>0</v>
      </c>
      <c r="U12" s="231">
        <v>0</v>
      </c>
      <c r="V12" s="231">
        <v>0</v>
      </c>
      <c r="W12" s="231">
        <v>4.8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10.8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1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6">
        <v>10</v>
      </c>
      <c r="C13" s="231">
        <v>28</v>
      </c>
      <c r="D13" s="231">
        <v>2</v>
      </c>
      <c r="E13" s="231">
        <v>2</v>
      </c>
      <c r="F13" s="231">
        <v>3722.4</v>
      </c>
      <c r="G13" s="231">
        <v>0</v>
      </c>
      <c r="H13" s="231">
        <v>0</v>
      </c>
      <c r="I13" s="231">
        <v>272</v>
      </c>
      <c r="J13" s="231">
        <v>326.40000000000003</v>
      </c>
      <c r="K13" s="231">
        <v>0</v>
      </c>
      <c r="L13" s="231">
        <v>344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128</v>
      </c>
      <c r="S13" s="231">
        <v>144</v>
      </c>
      <c r="T13" s="231">
        <v>0</v>
      </c>
      <c r="U13" s="231">
        <v>0</v>
      </c>
      <c r="V13" s="231">
        <v>0</v>
      </c>
      <c r="W13" s="231">
        <v>736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1656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116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6">
        <v>11</v>
      </c>
      <c r="C14" s="231">
        <v>28</v>
      </c>
      <c r="D14" s="231">
        <v>2</v>
      </c>
      <c r="E14" s="231">
        <v>3</v>
      </c>
      <c r="F14" s="231">
        <v>50.400000000000006</v>
      </c>
      <c r="G14" s="231">
        <v>0</v>
      </c>
      <c r="H14" s="231">
        <v>0</v>
      </c>
      <c r="I14" s="231">
        <v>0</v>
      </c>
      <c r="J14" s="231">
        <v>10</v>
      </c>
      <c r="K14" s="231">
        <v>0</v>
      </c>
      <c r="L14" s="231">
        <v>10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30.400000000000002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6">
        <v>12</v>
      </c>
      <c r="C15" s="231">
        <v>28</v>
      </c>
      <c r="D15" s="231">
        <v>2</v>
      </c>
      <c r="E15" s="231">
        <v>5</v>
      </c>
      <c r="F15" s="231">
        <v>25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25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6">
        <v>2017</v>
      </c>
      <c r="C16" s="231">
        <v>28</v>
      </c>
      <c r="D16" s="231">
        <v>2</v>
      </c>
      <c r="E16" s="231">
        <v>6</v>
      </c>
      <c r="F16" s="231">
        <v>1066059</v>
      </c>
      <c r="G16" s="231">
        <v>0</v>
      </c>
      <c r="H16" s="231">
        <v>0</v>
      </c>
      <c r="I16" s="231">
        <v>49109</v>
      </c>
      <c r="J16" s="231">
        <v>80849</v>
      </c>
      <c r="K16" s="231">
        <v>0</v>
      </c>
      <c r="L16" s="231">
        <v>223504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41393</v>
      </c>
      <c r="S16" s="231">
        <v>53702</v>
      </c>
      <c r="T16" s="231">
        <v>0</v>
      </c>
      <c r="U16" s="231">
        <v>0</v>
      </c>
      <c r="V16" s="231">
        <v>0</v>
      </c>
      <c r="W16" s="231">
        <v>152748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446413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18341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28</v>
      </c>
      <c r="D17" s="231">
        <v>2</v>
      </c>
      <c r="E17" s="231">
        <v>9</v>
      </c>
      <c r="F17" s="231">
        <v>11324</v>
      </c>
      <c r="G17" s="231">
        <v>0</v>
      </c>
      <c r="H17" s="231">
        <v>0</v>
      </c>
      <c r="I17" s="231">
        <v>3500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4500</v>
      </c>
      <c r="S17" s="231">
        <v>3324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28</v>
      </c>
      <c r="D18" s="231">
        <v>2</v>
      </c>
      <c r="E18" s="231">
        <v>10</v>
      </c>
      <c r="F18" s="231">
        <v>2200</v>
      </c>
      <c r="G18" s="231">
        <v>0</v>
      </c>
      <c r="H18" s="231">
        <v>0</v>
      </c>
      <c r="I18" s="231">
        <v>0</v>
      </c>
      <c r="J18" s="231">
        <v>2200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28</v>
      </c>
      <c r="D19" s="231">
        <v>2</v>
      </c>
      <c r="E19" s="231">
        <v>11</v>
      </c>
      <c r="F19" s="231">
        <v>4783.9803821503083</v>
      </c>
      <c r="G19" s="231">
        <v>1242.3137154836415</v>
      </c>
      <c r="H19" s="231">
        <v>833.33333333333337</v>
      </c>
      <c r="I19" s="231">
        <v>0</v>
      </c>
      <c r="J19" s="231">
        <v>2708.3333333333335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28</v>
      </c>
      <c r="D20" s="231">
        <v>3</v>
      </c>
      <c r="E20" s="231">
        <v>1</v>
      </c>
      <c r="F20" s="231">
        <v>26.35</v>
      </c>
      <c r="G20" s="231">
        <v>0</v>
      </c>
      <c r="H20" s="231">
        <v>0</v>
      </c>
      <c r="I20" s="231">
        <v>1.8</v>
      </c>
      <c r="J20" s="231">
        <v>2.4</v>
      </c>
      <c r="K20" s="231">
        <v>0</v>
      </c>
      <c r="L20" s="231">
        <v>2.75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1.8</v>
      </c>
      <c r="S20" s="231">
        <v>1</v>
      </c>
      <c r="T20" s="231">
        <v>0</v>
      </c>
      <c r="U20" s="231">
        <v>0</v>
      </c>
      <c r="V20" s="231">
        <v>0</v>
      </c>
      <c r="W20" s="231">
        <v>4.8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10.8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1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28</v>
      </c>
      <c r="D21" s="231">
        <v>3</v>
      </c>
      <c r="E21" s="231">
        <v>2</v>
      </c>
      <c r="F21" s="231">
        <v>4205.6000000000004</v>
      </c>
      <c r="G21" s="231">
        <v>0</v>
      </c>
      <c r="H21" s="231">
        <v>0</v>
      </c>
      <c r="I21" s="231">
        <v>315.2</v>
      </c>
      <c r="J21" s="231">
        <v>422.40000000000003</v>
      </c>
      <c r="K21" s="231">
        <v>0</v>
      </c>
      <c r="L21" s="231">
        <v>384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208</v>
      </c>
      <c r="S21" s="231">
        <v>184</v>
      </c>
      <c r="T21" s="231">
        <v>0</v>
      </c>
      <c r="U21" s="231">
        <v>0</v>
      </c>
      <c r="V21" s="231">
        <v>0</v>
      </c>
      <c r="W21" s="231">
        <v>820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1744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128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28</v>
      </c>
      <c r="D22" s="231">
        <v>3</v>
      </c>
      <c r="E22" s="231">
        <v>3</v>
      </c>
      <c r="F22" s="231">
        <v>28.2</v>
      </c>
      <c r="G22" s="231">
        <v>0</v>
      </c>
      <c r="H22" s="231">
        <v>0</v>
      </c>
      <c r="I22" s="231">
        <v>0</v>
      </c>
      <c r="J22" s="231">
        <v>5.2</v>
      </c>
      <c r="K22" s="231">
        <v>0</v>
      </c>
      <c r="L22" s="231">
        <v>3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20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28</v>
      </c>
      <c r="D23" s="231">
        <v>3</v>
      </c>
      <c r="E23" s="231">
        <v>5</v>
      </c>
      <c r="F23" s="231">
        <v>25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25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  <c r="AP23" s="231">
        <v>0</v>
      </c>
      <c r="AQ23" s="231">
        <v>0</v>
      </c>
      <c r="AR23" s="231">
        <v>0</v>
      </c>
      <c r="AS23" s="231">
        <v>0</v>
      </c>
      <c r="AT23" s="231">
        <v>0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28</v>
      </c>
      <c r="D24" s="231">
        <v>3</v>
      </c>
      <c r="E24" s="231">
        <v>6</v>
      </c>
      <c r="F24" s="231">
        <v>1116059</v>
      </c>
      <c r="G24" s="231">
        <v>0</v>
      </c>
      <c r="H24" s="231">
        <v>0</v>
      </c>
      <c r="I24" s="231">
        <v>49408</v>
      </c>
      <c r="J24" s="231">
        <v>82551</v>
      </c>
      <c r="K24" s="231">
        <v>0</v>
      </c>
      <c r="L24" s="231">
        <v>230485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56595</v>
      </c>
      <c r="S24" s="231">
        <v>53434</v>
      </c>
      <c r="T24" s="231">
        <v>0</v>
      </c>
      <c r="U24" s="231">
        <v>0</v>
      </c>
      <c r="V24" s="231">
        <v>0</v>
      </c>
      <c r="W24" s="231">
        <v>156473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467982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19131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28</v>
      </c>
      <c r="D25" s="231">
        <v>3</v>
      </c>
      <c r="E25" s="231">
        <v>9</v>
      </c>
      <c r="F25" s="231">
        <v>13840</v>
      </c>
      <c r="G25" s="231">
        <v>0</v>
      </c>
      <c r="H25" s="231">
        <v>0</v>
      </c>
      <c r="I25" s="231">
        <v>3500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4500</v>
      </c>
      <c r="S25" s="231">
        <v>3324</v>
      </c>
      <c r="T25" s="231">
        <v>0</v>
      </c>
      <c r="U25" s="231">
        <v>0</v>
      </c>
      <c r="V25" s="231">
        <v>0</v>
      </c>
      <c r="W25" s="231">
        <v>2516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28</v>
      </c>
      <c r="D26" s="231">
        <v>3</v>
      </c>
      <c r="E26" s="231">
        <v>10</v>
      </c>
      <c r="F26" s="231">
        <v>5800</v>
      </c>
      <c r="G26" s="231">
        <v>700</v>
      </c>
      <c r="H26" s="231">
        <v>200</v>
      </c>
      <c r="I26" s="231">
        <v>0</v>
      </c>
      <c r="J26" s="231">
        <v>4900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  <c r="AP26" s="231">
        <v>0</v>
      </c>
      <c r="AQ26" s="231">
        <v>0</v>
      </c>
      <c r="AR26" s="231">
        <v>0</v>
      </c>
      <c r="AS26" s="231">
        <v>0</v>
      </c>
      <c r="AT26" s="231">
        <v>0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28</v>
      </c>
      <c r="D27" s="231">
        <v>3</v>
      </c>
      <c r="E27" s="231">
        <v>11</v>
      </c>
      <c r="F27" s="231">
        <v>4783.9803821503083</v>
      </c>
      <c r="G27" s="231">
        <v>1242.3137154836415</v>
      </c>
      <c r="H27" s="231">
        <v>833.33333333333337</v>
      </c>
      <c r="I27" s="231">
        <v>0</v>
      </c>
      <c r="J27" s="231">
        <v>2708.3333333333335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28</v>
      </c>
      <c r="D28" s="231">
        <v>4</v>
      </c>
      <c r="E28" s="231">
        <v>1</v>
      </c>
      <c r="F28" s="231">
        <v>26.450000000000003</v>
      </c>
      <c r="G28" s="231">
        <v>0</v>
      </c>
      <c r="H28" s="231">
        <v>0</v>
      </c>
      <c r="I28" s="231">
        <v>1.8</v>
      </c>
      <c r="J28" s="231">
        <v>2.4</v>
      </c>
      <c r="K28" s="231">
        <v>0</v>
      </c>
      <c r="L28" s="231">
        <v>2.75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1.8</v>
      </c>
      <c r="S28" s="231">
        <v>1</v>
      </c>
      <c r="T28" s="231">
        <v>0</v>
      </c>
      <c r="U28" s="231">
        <v>0</v>
      </c>
      <c r="V28" s="231">
        <v>0</v>
      </c>
      <c r="W28" s="231">
        <v>4.8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10.8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1</v>
      </c>
      <c r="AU28" s="231">
        <v>0</v>
      </c>
      <c r="AV28" s="231">
        <v>0</v>
      </c>
      <c r="AW28" s="231">
        <v>0.1</v>
      </c>
    </row>
    <row r="29" spans="3:49" x14ac:dyDescent="0.3">
      <c r="C29" s="231">
        <v>28</v>
      </c>
      <c r="D29" s="231">
        <v>4</v>
      </c>
      <c r="E29" s="231">
        <v>2</v>
      </c>
      <c r="F29" s="231">
        <v>3927.2</v>
      </c>
      <c r="G29" s="231">
        <v>0</v>
      </c>
      <c r="H29" s="231">
        <v>0</v>
      </c>
      <c r="I29" s="231">
        <v>248</v>
      </c>
      <c r="J29" s="231">
        <v>371.2</v>
      </c>
      <c r="K29" s="231">
        <v>0</v>
      </c>
      <c r="L29" s="231">
        <v>404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280</v>
      </c>
      <c r="S29" s="231">
        <v>136</v>
      </c>
      <c r="T29" s="231">
        <v>0</v>
      </c>
      <c r="U29" s="231">
        <v>0</v>
      </c>
      <c r="V29" s="231">
        <v>0</v>
      </c>
      <c r="W29" s="231">
        <v>724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1596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152</v>
      </c>
      <c r="AU29" s="231">
        <v>0</v>
      </c>
      <c r="AV29" s="231">
        <v>0</v>
      </c>
      <c r="AW29" s="231">
        <v>16</v>
      </c>
    </row>
    <row r="30" spans="3:49" x14ac:dyDescent="0.3">
      <c r="C30" s="231">
        <v>28</v>
      </c>
      <c r="D30" s="231">
        <v>4</v>
      </c>
      <c r="E30" s="231">
        <v>3</v>
      </c>
      <c r="F30" s="231">
        <v>15</v>
      </c>
      <c r="G30" s="231">
        <v>0</v>
      </c>
      <c r="H30" s="231">
        <v>0</v>
      </c>
      <c r="I30" s="231">
        <v>0</v>
      </c>
      <c r="J30" s="231">
        <v>10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5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  <c r="AP30" s="231">
        <v>0</v>
      </c>
      <c r="AQ30" s="231">
        <v>0</v>
      </c>
      <c r="AR30" s="231">
        <v>0</v>
      </c>
      <c r="AS30" s="231">
        <v>0</v>
      </c>
      <c r="AT30" s="231">
        <v>0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28</v>
      </c>
      <c r="D31" s="231">
        <v>4</v>
      </c>
      <c r="E31" s="231">
        <v>5</v>
      </c>
      <c r="F31" s="231">
        <v>25</v>
      </c>
      <c r="G31" s="231">
        <v>0</v>
      </c>
      <c r="H31" s="231">
        <v>0</v>
      </c>
      <c r="I31" s="231">
        <v>0</v>
      </c>
      <c r="J31" s="231">
        <v>0</v>
      </c>
      <c r="K31" s="231">
        <v>0</v>
      </c>
      <c r="L31" s="231">
        <v>25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  <c r="AP31" s="231">
        <v>0</v>
      </c>
      <c r="AQ31" s="231">
        <v>0</v>
      </c>
      <c r="AR31" s="231">
        <v>0</v>
      </c>
      <c r="AS31" s="231">
        <v>0</v>
      </c>
      <c r="AT31" s="231">
        <v>0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28</v>
      </c>
      <c r="D32" s="231">
        <v>4</v>
      </c>
      <c r="E32" s="231">
        <v>6</v>
      </c>
      <c r="F32" s="231">
        <v>1060592</v>
      </c>
      <c r="G32" s="231">
        <v>0</v>
      </c>
      <c r="H32" s="231">
        <v>0</v>
      </c>
      <c r="I32" s="231">
        <v>46472</v>
      </c>
      <c r="J32" s="231">
        <v>83605</v>
      </c>
      <c r="K32" s="231">
        <v>0</v>
      </c>
      <c r="L32" s="231">
        <v>211228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63797</v>
      </c>
      <c r="S32" s="231">
        <v>50524</v>
      </c>
      <c r="T32" s="231">
        <v>0</v>
      </c>
      <c r="U32" s="231">
        <v>0</v>
      </c>
      <c r="V32" s="231">
        <v>0</v>
      </c>
      <c r="W32" s="231">
        <v>152925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431605</v>
      </c>
      <c r="AM32" s="231">
        <v>0</v>
      </c>
      <c r="AN32" s="231">
        <v>0</v>
      </c>
      <c r="AO32" s="231">
        <v>0</v>
      </c>
      <c r="AP32" s="231">
        <v>0</v>
      </c>
      <c r="AQ32" s="231">
        <v>0</v>
      </c>
      <c r="AR32" s="231">
        <v>0</v>
      </c>
      <c r="AS32" s="231">
        <v>0</v>
      </c>
      <c r="AT32" s="231">
        <v>18543</v>
      </c>
      <c r="AU32" s="231">
        <v>0</v>
      </c>
      <c r="AV32" s="231">
        <v>0</v>
      </c>
      <c r="AW32" s="231">
        <v>1893</v>
      </c>
    </row>
    <row r="33" spans="3:49" x14ac:dyDescent="0.3">
      <c r="C33" s="231">
        <v>28</v>
      </c>
      <c r="D33" s="231">
        <v>4</v>
      </c>
      <c r="E33" s="231">
        <v>10</v>
      </c>
      <c r="F33" s="231">
        <v>4350</v>
      </c>
      <c r="G33" s="231">
        <v>0</v>
      </c>
      <c r="H33" s="231">
        <v>0</v>
      </c>
      <c r="I33" s="231">
        <v>0</v>
      </c>
      <c r="J33" s="231">
        <v>4350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28</v>
      </c>
      <c r="D34" s="231">
        <v>4</v>
      </c>
      <c r="E34" s="231">
        <v>11</v>
      </c>
      <c r="F34" s="231">
        <v>4783.9803821503083</v>
      </c>
      <c r="G34" s="231">
        <v>1242.3137154836415</v>
      </c>
      <c r="H34" s="231">
        <v>833.33333333333337</v>
      </c>
      <c r="I34" s="231">
        <v>0</v>
      </c>
      <c r="J34" s="231">
        <v>2708.3333333333335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  <c r="AP34" s="231">
        <v>0</v>
      </c>
      <c r="AQ34" s="231">
        <v>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28</v>
      </c>
      <c r="D35" s="231">
        <v>5</v>
      </c>
      <c r="E35" s="231">
        <v>1</v>
      </c>
      <c r="F35" s="231">
        <v>27.05</v>
      </c>
      <c r="G35" s="231">
        <v>0</v>
      </c>
      <c r="H35" s="231">
        <v>0</v>
      </c>
      <c r="I35" s="231">
        <v>1.8</v>
      </c>
      <c r="J35" s="231">
        <v>3</v>
      </c>
      <c r="K35" s="231">
        <v>0</v>
      </c>
      <c r="L35" s="231">
        <v>2.75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1.8</v>
      </c>
      <c r="S35" s="231">
        <v>1</v>
      </c>
      <c r="T35" s="231">
        <v>0</v>
      </c>
      <c r="U35" s="231">
        <v>0</v>
      </c>
      <c r="V35" s="231">
        <v>0</v>
      </c>
      <c r="W35" s="231">
        <v>4.8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10.8</v>
      </c>
      <c r="AM35" s="231">
        <v>0</v>
      </c>
      <c r="AN35" s="231">
        <v>0</v>
      </c>
      <c r="AO35" s="231">
        <v>0</v>
      </c>
      <c r="AP35" s="231">
        <v>0</v>
      </c>
      <c r="AQ35" s="231">
        <v>0</v>
      </c>
      <c r="AR35" s="231">
        <v>0</v>
      </c>
      <c r="AS35" s="231">
        <v>0</v>
      </c>
      <c r="AT35" s="231">
        <v>1</v>
      </c>
      <c r="AU35" s="231">
        <v>0</v>
      </c>
      <c r="AV35" s="231">
        <v>0</v>
      </c>
      <c r="AW35" s="231">
        <v>0.1</v>
      </c>
    </row>
    <row r="36" spans="3:49" x14ac:dyDescent="0.3">
      <c r="C36" s="231">
        <v>28</v>
      </c>
      <c r="D36" s="231">
        <v>5</v>
      </c>
      <c r="E36" s="231">
        <v>2</v>
      </c>
      <c r="F36" s="231">
        <v>4516.8</v>
      </c>
      <c r="G36" s="231">
        <v>0</v>
      </c>
      <c r="H36" s="231">
        <v>0</v>
      </c>
      <c r="I36" s="231">
        <v>323.2</v>
      </c>
      <c r="J36" s="231">
        <v>521.6</v>
      </c>
      <c r="K36" s="231">
        <v>0</v>
      </c>
      <c r="L36" s="231">
        <v>492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280</v>
      </c>
      <c r="S36" s="231">
        <v>168</v>
      </c>
      <c r="T36" s="231">
        <v>0</v>
      </c>
      <c r="U36" s="231">
        <v>0</v>
      </c>
      <c r="V36" s="231">
        <v>0</v>
      </c>
      <c r="W36" s="231">
        <v>820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1708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184</v>
      </c>
      <c r="AU36" s="231">
        <v>0</v>
      </c>
      <c r="AV36" s="231">
        <v>0</v>
      </c>
      <c r="AW36" s="231">
        <v>20</v>
      </c>
    </row>
    <row r="37" spans="3:49" x14ac:dyDescent="0.3">
      <c r="C37" s="231">
        <v>28</v>
      </c>
      <c r="D37" s="231">
        <v>5</v>
      </c>
      <c r="E37" s="231">
        <v>3</v>
      </c>
      <c r="F37" s="231">
        <v>30</v>
      </c>
      <c r="G37" s="231">
        <v>0</v>
      </c>
      <c r="H37" s="231">
        <v>0</v>
      </c>
      <c r="I37" s="231">
        <v>0</v>
      </c>
      <c r="J37" s="231">
        <v>10</v>
      </c>
      <c r="K37" s="231">
        <v>0</v>
      </c>
      <c r="L37" s="231">
        <v>10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10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  <row r="38" spans="3:49" x14ac:dyDescent="0.3">
      <c r="C38" s="231">
        <v>28</v>
      </c>
      <c r="D38" s="231">
        <v>5</v>
      </c>
      <c r="E38" s="231">
        <v>5</v>
      </c>
      <c r="F38" s="231">
        <v>25</v>
      </c>
      <c r="G38" s="231">
        <v>0</v>
      </c>
      <c r="H38" s="231">
        <v>0</v>
      </c>
      <c r="I38" s="231">
        <v>0</v>
      </c>
      <c r="J38" s="231">
        <v>0</v>
      </c>
      <c r="K38" s="231">
        <v>0</v>
      </c>
      <c r="L38" s="231">
        <v>25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  <c r="AO38" s="231">
        <v>0</v>
      </c>
      <c r="AP38" s="231">
        <v>0</v>
      </c>
      <c r="AQ38" s="231">
        <v>0</v>
      </c>
      <c r="AR38" s="231">
        <v>0</v>
      </c>
      <c r="AS38" s="231">
        <v>0</v>
      </c>
      <c r="AT38" s="231">
        <v>0</v>
      </c>
      <c r="AU38" s="231">
        <v>0</v>
      </c>
      <c r="AV38" s="231">
        <v>0</v>
      </c>
      <c r="AW38" s="231">
        <v>0</v>
      </c>
    </row>
    <row r="39" spans="3:49" x14ac:dyDescent="0.3">
      <c r="C39" s="231">
        <v>28</v>
      </c>
      <c r="D39" s="231">
        <v>5</v>
      </c>
      <c r="E39" s="231">
        <v>6</v>
      </c>
      <c r="F39" s="231">
        <v>1050965</v>
      </c>
      <c r="G39" s="231">
        <v>0</v>
      </c>
      <c r="H39" s="231">
        <v>0</v>
      </c>
      <c r="I39" s="231">
        <v>45909</v>
      </c>
      <c r="J39" s="231">
        <v>114167</v>
      </c>
      <c r="K39" s="231">
        <v>0</v>
      </c>
      <c r="L39" s="231">
        <v>219132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66322</v>
      </c>
      <c r="S39" s="231">
        <v>51039</v>
      </c>
      <c r="T39" s="231">
        <v>0</v>
      </c>
      <c r="U39" s="231">
        <v>0</v>
      </c>
      <c r="V39" s="231">
        <v>0</v>
      </c>
      <c r="W39" s="231">
        <v>134846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399107</v>
      </c>
      <c r="AM39" s="231">
        <v>0</v>
      </c>
      <c r="AN39" s="231">
        <v>0</v>
      </c>
      <c r="AO39" s="231">
        <v>0</v>
      </c>
      <c r="AP39" s="231">
        <v>0</v>
      </c>
      <c r="AQ39" s="231">
        <v>0</v>
      </c>
      <c r="AR39" s="231">
        <v>0</v>
      </c>
      <c r="AS39" s="231">
        <v>0</v>
      </c>
      <c r="AT39" s="231">
        <v>18550</v>
      </c>
      <c r="AU39" s="231">
        <v>0</v>
      </c>
      <c r="AV39" s="231">
        <v>0</v>
      </c>
      <c r="AW39" s="231">
        <v>1893</v>
      </c>
    </row>
    <row r="40" spans="3:49" x14ac:dyDescent="0.3">
      <c r="C40" s="231">
        <v>28</v>
      </c>
      <c r="D40" s="231">
        <v>5</v>
      </c>
      <c r="E40" s="231">
        <v>10</v>
      </c>
      <c r="F40" s="231">
        <v>8100</v>
      </c>
      <c r="G40" s="231">
        <v>4100</v>
      </c>
      <c r="H40" s="231">
        <v>0</v>
      </c>
      <c r="I40" s="231">
        <v>0</v>
      </c>
      <c r="J40" s="231">
        <v>4000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</row>
    <row r="41" spans="3:49" x14ac:dyDescent="0.3">
      <c r="C41" s="231">
        <v>28</v>
      </c>
      <c r="D41" s="231">
        <v>5</v>
      </c>
      <c r="E41" s="231">
        <v>11</v>
      </c>
      <c r="F41" s="231">
        <v>4783.9803821503083</v>
      </c>
      <c r="G41" s="231">
        <v>1242.3137154836415</v>
      </c>
      <c r="H41" s="231">
        <v>833.33333333333337</v>
      </c>
      <c r="I41" s="231">
        <v>0</v>
      </c>
      <c r="J41" s="231">
        <v>2708.3333333333335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</row>
    <row r="42" spans="3:49" x14ac:dyDescent="0.3">
      <c r="C42" s="231">
        <v>28</v>
      </c>
      <c r="D42" s="231">
        <v>6</v>
      </c>
      <c r="E42" s="231">
        <v>1</v>
      </c>
      <c r="F42" s="231">
        <v>27.850000000000005</v>
      </c>
      <c r="G42" s="231">
        <v>0</v>
      </c>
      <c r="H42" s="231">
        <v>0</v>
      </c>
      <c r="I42" s="231">
        <v>1.8</v>
      </c>
      <c r="J42" s="231">
        <v>3.8000000000000003</v>
      </c>
      <c r="K42" s="231">
        <v>0.1</v>
      </c>
      <c r="L42" s="231">
        <v>2.6500000000000004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1.8</v>
      </c>
      <c r="S42" s="231">
        <v>1</v>
      </c>
      <c r="T42" s="231">
        <v>0</v>
      </c>
      <c r="U42" s="231">
        <v>0</v>
      </c>
      <c r="V42" s="231">
        <v>0</v>
      </c>
      <c r="W42" s="231">
        <v>4.8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10.8</v>
      </c>
      <c r="AM42" s="231">
        <v>0</v>
      </c>
      <c r="AN42" s="231">
        <v>0</v>
      </c>
      <c r="AO42" s="231">
        <v>0</v>
      </c>
      <c r="AP42" s="231">
        <v>0</v>
      </c>
      <c r="AQ42" s="231">
        <v>0</v>
      </c>
      <c r="AR42" s="231">
        <v>0</v>
      </c>
      <c r="AS42" s="231">
        <v>0</v>
      </c>
      <c r="AT42" s="231">
        <v>1</v>
      </c>
      <c r="AU42" s="231">
        <v>0</v>
      </c>
      <c r="AV42" s="231">
        <v>0</v>
      </c>
      <c r="AW42" s="231">
        <v>0.1</v>
      </c>
    </row>
    <row r="43" spans="3:49" x14ac:dyDescent="0.3">
      <c r="C43" s="231">
        <v>28</v>
      </c>
      <c r="D43" s="231">
        <v>6</v>
      </c>
      <c r="E43" s="231">
        <v>2</v>
      </c>
      <c r="F43" s="231">
        <v>4153.6000000000004</v>
      </c>
      <c r="G43" s="231">
        <v>0</v>
      </c>
      <c r="H43" s="231">
        <v>0</v>
      </c>
      <c r="I43" s="231">
        <v>262.39999999999998</v>
      </c>
      <c r="J43" s="231">
        <v>411.2</v>
      </c>
      <c r="K43" s="231">
        <v>16</v>
      </c>
      <c r="L43" s="231">
        <v>464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248</v>
      </c>
      <c r="S43" s="231">
        <v>176</v>
      </c>
      <c r="T43" s="231">
        <v>0</v>
      </c>
      <c r="U43" s="231">
        <v>0</v>
      </c>
      <c r="V43" s="231">
        <v>0</v>
      </c>
      <c r="W43" s="231">
        <v>764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1644</v>
      </c>
      <c r="AM43" s="231">
        <v>0</v>
      </c>
      <c r="AN43" s="231">
        <v>0</v>
      </c>
      <c r="AO43" s="231">
        <v>0</v>
      </c>
      <c r="AP43" s="231">
        <v>0</v>
      </c>
      <c r="AQ43" s="231">
        <v>0</v>
      </c>
      <c r="AR43" s="231">
        <v>0</v>
      </c>
      <c r="AS43" s="231">
        <v>0</v>
      </c>
      <c r="AT43" s="231">
        <v>152</v>
      </c>
      <c r="AU43" s="231">
        <v>0</v>
      </c>
      <c r="AV43" s="231">
        <v>0</v>
      </c>
      <c r="AW43" s="231">
        <v>16</v>
      </c>
    </row>
    <row r="44" spans="3:49" x14ac:dyDescent="0.3">
      <c r="C44" s="231">
        <v>28</v>
      </c>
      <c r="D44" s="231">
        <v>6</v>
      </c>
      <c r="E44" s="231">
        <v>3</v>
      </c>
      <c r="F44" s="231">
        <v>22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10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12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  <c r="AU44" s="231">
        <v>0</v>
      </c>
      <c r="AV44" s="231">
        <v>0</v>
      </c>
      <c r="AW44" s="231">
        <v>0</v>
      </c>
    </row>
    <row r="45" spans="3:49" x14ac:dyDescent="0.3">
      <c r="C45" s="231">
        <v>28</v>
      </c>
      <c r="D45" s="231">
        <v>6</v>
      </c>
      <c r="E45" s="231">
        <v>5</v>
      </c>
      <c r="F45" s="231">
        <v>25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25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  <c r="AP45" s="231">
        <v>0</v>
      </c>
      <c r="AQ45" s="231">
        <v>0</v>
      </c>
      <c r="AR45" s="231">
        <v>0</v>
      </c>
      <c r="AS45" s="231">
        <v>0</v>
      </c>
      <c r="AT45" s="231">
        <v>0</v>
      </c>
      <c r="AU45" s="231">
        <v>0</v>
      </c>
      <c r="AV45" s="231">
        <v>0</v>
      </c>
      <c r="AW45" s="231">
        <v>0</v>
      </c>
    </row>
    <row r="46" spans="3:49" x14ac:dyDescent="0.3">
      <c r="C46" s="231">
        <v>28</v>
      </c>
      <c r="D46" s="231">
        <v>6</v>
      </c>
      <c r="E46" s="231">
        <v>6</v>
      </c>
      <c r="F46" s="231">
        <v>1096566</v>
      </c>
      <c r="G46" s="231">
        <v>0</v>
      </c>
      <c r="H46" s="231">
        <v>0</v>
      </c>
      <c r="I46" s="231">
        <v>47346</v>
      </c>
      <c r="J46" s="231">
        <v>136873</v>
      </c>
      <c r="K46" s="231">
        <v>6322</v>
      </c>
      <c r="L46" s="231">
        <v>210831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66253</v>
      </c>
      <c r="S46" s="231">
        <v>51270</v>
      </c>
      <c r="T46" s="231">
        <v>0</v>
      </c>
      <c r="U46" s="231">
        <v>0</v>
      </c>
      <c r="V46" s="231">
        <v>0</v>
      </c>
      <c r="W46" s="231">
        <v>140349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416648</v>
      </c>
      <c r="AM46" s="231">
        <v>0</v>
      </c>
      <c r="AN46" s="231">
        <v>0</v>
      </c>
      <c r="AO46" s="231">
        <v>0</v>
      </c>
      <c r="AP46" s="231">
        <v>0</v>
      </c>
      <c r="AQ46" s="231">
        <v>0</v>
      </c>
      <c r="AR46" s="231">
        <v>0</v>
      </c>
      <c r="AS46" s="231">
        <v>0</v>
      </c>
      <c r="AT46" s="231">
        <v>18781</v>
      </c>
      <c r="AU46" s="231">
        <v>0</v>
      </c>
      <c r="AV46" s="231">
        <v>0</v>
      </c>
      <c r="AW46" s="231">
        <v>1893</v>
      </c>
    </row>
    <row r="47" spans="3:49" x14ac:dyDescent="0.3">
      <c r="C47" s="231">
        <v>28</v>
      </c>
      <c r="D47" s="231">
        <v>6</v>
      </c>
      <c r="E47" s="231">
        <v>9</v>
      </c>
      <c r="F47" s="231">
        <v>4538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4538</v>
      </c>
      <c r="AM47" s="231">
        <v>0</v>
      </c>
      <c r="AN47" s="231">
        <v>0</v>
      </c>
      <c r="AO47" s="231">
        <v>0</v>
      </c>
      <c r="AP47" s="231">
        <v>0</v>
      </c>
      <c r="AQ47" s="231">
        <v>0</v>
      </c>
      <c r="AR47" s="231">
        <v>0</v>
      </c>
      <c r="AS47" s="231">
        <v>0</v>
      </c>
      <c r="AT47" s="231">
        <v>0</v>
      </c>
      <c r="AU47" s="231">
        <v>0</v>
      </c>
      <c r="AV47" s="231">
        <v>0</v>
      </c>
      <c r="AW47" s="231">
        <v>0</v>
      </c>
    </row>
    <row r="48" spans="3:49" x14ac:dyDescent="0.3">
      <c r="C48" s="231">
        <v>28</v>
      </c>
      <c r="D48" s="231">
        <v>6</v>
      </c>
      <c r="E48" s="231">
        <v>11</v>
      </c>
      <c r="F48" s="231">
        <v>4783.9803821503083</v>
      </c>
      <c r="G48" s="231">
        <v>1242.3137154836415</v>
      </c>
      <c r="H48" s="231">
        <v>833.33333333333337</v>
      </c>
      <c r="I48" s="231">
        <v>0</v>
      </c>
      <c r="J48" s="231">
        <v>2708.3333333333335</v>
      </c>
      <c r="K48" s="231">
        <v>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  <c r="AO48" s="231">
        <v>0</v>
      </c>
      <c r="AP48" s="231">
        <v>0</v>
      </c>
      <c r="AQ48" s="231">
        <v>0</v>
      </c>
      <c r="AR48" s="231">
        <v>0</v>
      </c>
      <c r="AS48" s="231">
        <v>0</v>
      </c>
      <c r="AT48" s="231">
        <v>0</v>
      </c>
      <c r="AU48" s="231">
        <v>0</v>
      </c>
      <c r="AV48" s="231">
        <v>0</v>
      </c>
      <c r="AW48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29" t="s">
        <v>995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</row>
    <row r="2" spans="1:28" ht="14.4" customHeight="1" thickBot="1" x14ac:dyDescent="0.35">
      <c r="A2" s="235" t="s">
        <v>258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24727629.189999998</v>
      </c>
      <c r="C3" s="222">
        <f t="shared" ref="C3:Z3" si="0">SUBTOTAL(9,C6:C1048576)</f>
        <v>8</v>
      </c>
      <c r="D3" s="222"/>
      <c r="E3" s="222">
        <f>SUBTOTAL(9,E6:E1048576)/4</f>
        <v>58472976.75</v>
      </c>
      <c r="F3" s="222"/>
      <c r="G3" s="222">
        <f t="shared" si="0"/>
        <v>9</v>
      </c>
      <c r="H3" s="222">
        <f>SUBTOTAL(9,H6:H1048576)/4</f>
        <v>38577270.700000003</v>
      </c>
      <c r="I3" s="225">
        <f>IF(B3&lt;&gt;0,H3/B3,"")</f>
        <v>1.5600877222633573</v>
      </c>
      <c r="J3" s="223">
        <f>IF(E3&lt;&gt;0,H3/E3,"")</f>
        <v>0.65974528481654571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0" t="s">
        <v>219</v>
      </c>
      <c r="B4" s="431" t="s">
        <v>99</v>
      </c>
      <c r="C4" s="432"/>
      <c r="D4" s="433"/>
      <c r="E4" s="432"/>
      <c r="F4" s="433"/>
      <c r="G4" s="432"/>
      <c r="H4" s="432"/>
      <c r="I4" s="433"/>
      <c r="J4" s="434"/>
      <c r="K4" s="431" t="s">
        <v>100</v>
      </c>
      <c r="L4" s="433"/>
      <c r="M4" s="432"/>
      <c r="N4" s="432"/>
      <c r="O4" s="433"/>
      <c r="P4" s="432"/>
      <c r="Q4" s="432"/>
      <c r="R4" s="433"/>
      <c r="S4" s="434"/>
      <c r="T4" s="431" t="s">
        <v>101</v>
      </c>
      <c r="U4" s="433"/>
      <c r="V4" s="432"/>
      <c r="W4" s="432"/>
      <c r="X4" s="433"/>
      <c r="Y4" s="432"/>
      <c r="Z4" s="432"/>
      <c r="AA4" s="433"/>
      <c r="AB4" s="434"/>
    </row>
    <row r="5" spans="1:28" ht="14.4" customHeight="1" thickBot="1" x14ac:dyDescent="0.35">
      <c r="A5" s="590"/>
      <c r="B5" s="591">
        <v>2015</v>
      </c>
      <c r="C5" s="592"/>
      <c r="D5" s="592"/>
      <c r="E5" s="592">
        <v>2016</v>
      </c>
      <c r="F5" s="592"/>
      <c r="G5" s="592"/>
      <c r="H5" s="592">
        <v>2017</v>
      </c>
      <c r="I5" s="593" t="s">
        <v>245</v>
      </c>
      <c r="J5" s="594" t="s">
        <v>2</v>
      </c>
      <c r="K5" s="591">
        <v>2015</v>
      </c>
      <c r="L5" s="592"/>
      <c r="M5" s="592"/>
      <c r="N5" s="592">
        <v>2016</v>
      </c>
      <c r="O5" s="592"/>
      <c r="P5" s="592"/>
      <c r="Q5" s="592">
        <v>2017</v>
      </c>
      <c r="R5" s="593" t="s">
        <v>245</v>
      </c>
      <c r="S5" s="594" t="s">
        <v>2</v>
      </c>
      <c r="T5" s="591">
        <v>2015</v>
      </c>
      <c r="U5" s="592"/>
      <c r="V5" s="592"/>
      <c r="W5" s="592">
        <v>2016</v>
      </c>
      <c r="X5" s="592"/>
      <c r="Y5" s="592"/>
      <c r="Z5" s="592">
        <v>2017</v>
      </c>
      <c r="AA5" s="593" t="s">
        <v>245</v>
      </c>
      <c r="AB5" s="594" t="s">
        <v>2</v>
      </c>
    </row>
    <row r="6" spans="1:28" ht="14.4" customHeight="1" x14ac:dyDescent="0.3">
      <c r="A6" s="595" t="s">
        <v>991</v>
      </c>
      <c r="B6" s="596">
        <v>24727629.190000001</v>
      </c>
      <c r="C6" s="597">
        <v>1</v>
      </c>
      <c r="D6" s="597">
        <v>0.42288986407725515</v>
      </c>
      <c r="E6" s="596">
        <v>58472976.75</v>
      </c>
      <c r="F6" s="597">
        <v>2.3646818827923388</v>
      </c>
      <c r="G6" s="597">
        <v>1</v>
      </c>
      <c r="H6" s="596">
        <v>38577270.700000003</v>
      </c>
      <c r="I6" s="597">
        <v>1.5600877222633571</v>
      </c>
      <c r="J6" s="597">
        <v>0.65974528481654571</v>
      </c>
      <c r="K6" s="596"/>
      <c r="L6" s="597"/>
      <c r="M6" s="597"/>
      <c r="N6" s="596"/>
      <c r="O6" s="597"/>
      <c r="P6" s="597"/>
      <c r="Q6" s="596"/>
      <c r="R6" s="597"/>
      <c r="S6" s="597"/>
      <c r="T6" s="596"/>
      <c r="U6" s="597"/>
      <c r="V6" s="597"/>
      <c r="W6" s="596"/>
      <c r="X6" s="597"/>
      <c r="Y6" s="597"/>
      <c r="Z6" s="596"/>
      <c r="AA6" s="597"/>
      <c r="AB6" s="598"/>
    </row>
    <row r="7" spans="1:28" ht="14.4" customHeight="1" x14ac:dyDescent="0.3">
      <c r="A7" s="605" t="s">
        <v>992</v>
      </c>
      <c r="B7" s="599"/>
      <c r="C7" s="600"/>
      <c r="D7" s="600"/>
      <c r="E7" s="599">
        <v>185</v>
      </c>
      <c r="F7" s="600"/>
      <c r="G7" s="600">
        <v>1</v>
      </c>
      <c r="H7" s="599">
        <v>37</v>
      </c>
      <c r="I7" s="600"/>
      <c r="J7" s="600">
        <v>0.2</v>
      </c>
      <c r="K7" s="599"/>
      <c r="L7" s="600"/>
      <c r="M7" s="600"/>
      <c r="N7" s="599"/>
      <c r="O7" s="600"/>
      <c r="P7" s="600"/>
      <c r="Q7" s="599"/>
      <c r="R7" s="600"/>
      <c r="S7" s="600"/>
      <c r="T7" s="599"/>
      <c r="U7" s="600"/>
      <c r="V7" s="600"/>
      <c r="W7" s="599"/>
      <c r="X7" s="600"/>
      <c r="Y7" s="600"/>
      <c r="Z7" s="599"/>
      <c r="AA7" s="600"/>
      <c r="AB7" s="601"/>
    </row>
    <row r="8" spans="1:28" ht="14.4" customHeight="1" x14ac:dyDescent="0.3">
      <c r="A8" s="605" t="s">
        <v>993</v>
      </c>
      <c r="B8" s="599">
        <v>2053625.1900000011</v>
      </c>
      <c r="C8" s="600">
        <v>1</v>
      </c>
      <c r="D8" s="600">
        <v>0.59260777045098978</v>
      </c>
      <c r="E8" s="599">
        <v>3465403.7500000033</v>
      </c>
      <c r="F8" s="600">
        <v>1.6874567797836573</v>
      </c>
      <c r="G8" s="600">
        <v>1</v>
      </c>
      <c r="H8" s="599">
        <v>3777641.7000000039</v>
      </c>
      <c r="I8" s="600">
        <v>1.8394991054818537</v>
      </c>
      <c r="J8" s="600">
        <v>1.0901014636461914</v>
      </c>
      <c r="K8" s="599"/>
      <c r="L8" s="600"/>
      <c r="M8" s="600"/>
      <c r="N8" s="599"/>
      <c r="O8" s="600"/>
      <c r="P8" s="600"/>
      <c r="Q8" s="599"/>
      <c r="R8" s="600"/>
      <c r="S8" s="600"/>
      <c r="T8" s="599"/>
      <c r="U8" s="600"/>
      <c r="V8" s="600"/>
      <c r="W8" s="599"/>
      <c r="X8" s="600"/>
      <c r="Y8" s="600"/>
      <c r="Z8" s="599"/>
      <c r="AA8" s="600"/>
      <c r="AB8" s="601"/>
    </row>
    <row r="9" spans="1:28" ht="14.4" customHeight="1" thickBot="1" x14ac:dyDescent="0.35">
      <c r="A9" s="606" t="s">
        <v>994</v>
      </c>
      <c r="B9" s="602">
        <v>22674004</v>
      </c>
      <c r="C9" s="603">
        <v>1</v>
      </c>
      <c r="D9" s="603">
        <v>0.4121992485809361</v>
      </c>
      <c r="E9" s="602">
        <v>55007388</v>
      </c>
      <c r="F9" s="603">
        <v>2.4260112153107145</v>
      </c>
      <c r="G9" s="603">
        <v>1</v>
      </c>
      <c r="H9" s="602">
        <v>34799592</v>
      </c>
      <c r="I9" s="603">
        <v>1.5347793005593542</v>
      </c>
      <c r="J9" s="603">
        <v>0.63263487442814048</v>
      </c>
      <c r="K9" s="602"/>
      <c r="L9" s="603"/>
      <c r="M9" s="603"/>
      <c r="N9" s="602"/>
      <c r="O9" s="603"/>
      <c r="P9" s="603"/>
      <c r="Q9" s="602"/>
      <c r="R9" s="603"/>
      <c r="S9" s="603"/>
      <c r="T9" s="602"/>
      <c r="U9" s="603"/>
      <c r="V9" s="603"/>
      <c r="W9" s="602"/>
      <c r="X9" s="603"/>
      <c r="Y9" s="603"/>
      <c r="Z9" s="602"/>
      <c r="AA9" s="603"/>
      <c r="AB9" s="604"/>
    </row>
    <row r="10" spans="1:28" ht="14.4" customHeight="1" thickBot="1" x14ac:dyDescent="0.35"/>
    <row r="11" spans="1:28" ht="14.4" customHeight="1" x14ac:dyDescent="0.3">
      <c r="A11" s="595" t="s">
        <v>453</v>
      </c>
      <c r="B11" s="596">
        <v>2053625.1900000011</v>
      </c>
      <c r="C11" s="597">
        <v>1</v>
      </c>
      <c r="D11" s="597">
        <v>0.59256348298748907</v>
      </c>
      <c r="E11" s="596">
        <v>3465662.7500000023</v>
      </c>
      <c r="F11" s="597">
        <v>1.6875828982210723</v>
      </c>
      <c r="G11" s="597">
        <v>1</v>
      </c>
      <c r="H11" s="596">
        <v>3777678.7000000034</v>
      </c>
      <c r="I11" s="597">
        <v>1.8395171224014844</v>
      </c>
      <c r="J11" s="598">
        <v>1.0900306730653468</v>
      </c>
    </row>
    <row r="12" spans="1:28" ht="14.4" customHeight="1" x14ac:dyDescent="0.3">
      <c r="A12" s="605" t="s">
        <v>996</v>
      </c>
      <c r="B12" s="599">
        <v>2019808.1900000011</v>
      </c>
      <c r="C12" s="600">
        <v>1</v>
      </c>
      <c r="D12" s="600">
        <v>0.58286798135597628</v>
      </c>
      <c r="E12" s="599">
        <v>3465292.7500000023</v>
      </c>
      <c r="F12" s="600">
        <v>1.7156543711212502</v>
      </c>
      <c r="G12" s="600">
        <v>1</v>
      </c>
      <c r="H12" s="599">
        <v>3776457.7000000034</v>
      </c>
      <c r="I12" s="600">
        <v>1.8697110540976674</v>
      </c>
      <c r="J12" s="601">
        <v>1.0897947078208619</v>
      </c>
    </row>
    <row r="13" spans="1:28" ht="14.4" customHeight="1" x14ac:dyDescent="0.3">
      <c r="A13" s="605" t="s">
        <v>997</v>
      </c>
      <c r="B13" s="599">
        <v>33817</v>
      </c>
      <c r="C13" s="600">
        <v>1</v>
      </c>
      <c r="D13" s="600">
        <v>91.3972972972973</v>
      </c>
      <c r="E13" s="599">
        <v>370</v>
      </c>
      <c r="F13" s="600">
        <v>1.0941242570304877E-2</v>
      </c>
      <c r="G13" s="600">
        <v>1</v>
      </c>
      <c r="H13" s="599">
        <v>1221</v>
      </c>
      <c r="I13" s="600">
        <v>3.610610048200609E-2</v>
      </c>
      <c r="J13" s="601">
        <v>3.3</v>
      </c>
    </row>
    <row r="14" spans="1:28" ht="14.4" customHeight="1" x14ac:dyDescent="0.3">
      <c r="A14" s="607" t="s">
        <v>458</v>
      </c>
      <c r="B14" s="608">
        <v>22674004</v>
      </c>
      <c r="C14" s="609">
        <v>1</v>
      </c>
      <c r="D14" s="609">
        <v>0.41219980310254739</v>
      </c>
      <c r="E14" s="608">
        <v>55007314</v>
      </c>
      <c r="F14" s="609">
        <v>2.4260079516612945</v>
      </c>
      <c r="G14" s="609">
        <v>1</v>
      </c>
      <c r="H14" s="608">
        <v>34799592</v>
      </c>
      <c r="I14" s="609">
        <v>1.5347793005593542</v>
      </c>
      <c r="J14" s="610">
        <v>0.63263572549643121</v>
      </c>
    </row>
    <row r="15" spans="1:28" ht="14.4" customHeight="1" thickBot="1" x14ac:dyDescent="0.35">
      <c r="A15" s="606" t="s">
        <v>996</v>
      </c>
      <c r="B15" s="602">
        <v>22674004</v>
      </c>
      <c r="C15" s="603">
        <v>1</v>
      </c>
      <c r="D15" s="603">
        <v>0.41219980310254739</v>
      </c>
      <c r="E15" s="602">
        <v>55007314</v>
      </c>
      <c r="F15" s="603">
        <v>2.4260079516612945</v>
      </c>
      <c r="G15" s="603">
        <v>1</v>
      </c>
      <c r="H15" s="602">
        <v>34799592</v>
      </c>
      <c r="I15" s="603">
        <v>1.5347793005593542</v>
      </c>
      <c r="J15" s="604">
        <v>0.63263572549643121</v>
      </c>
    </row>
    <row r="16" spans="1:28" ht="14.4" customHeight="1" x14ac:dyDescent="0.3">
      <c r="A16" s="535" t="s">
        <v>489</v>
      </c>
    </row>
    <row r="17" spans="1:1" ht="14.4" customHeight="1" x14ac:dyDescent="0.3">
      <c r="A17" s="536" t="s">
        <v>490</v>
      </c>
    </row>
    <row r="18" spans="1:1" ht="14.4" customHeight="1" x14ac:dyDescent="0.3">
      <c r="A18" s="535" t="s">
        <v>998</v>
      </c>
    </row>
    <row r="19" spans="1:1" ht="14.4" customHeight="1" x14ac:dyDescent="0.3">
      <c r="A19" s="535" t="s">
        <v>999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56" t="s">
        <v>121</v>
      </c>
      <c r="B1" s="356"/>
      <c r="C1" s="357"/>
      <c r="D1" s="357"/>
      <c r="E1" s="357"/>
    </row>
    <row r="2" spans="1:5" ht="14.4" customHeight="1" thickBot="1" x14ac:dyDescent="0.35">
      <c r="A2" s="235" t="s">
        <v>258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12480.545294109344</v>
      </c>
      <c r="D4" s="160">
        <f ca="1">IF(ISERROR(VLOOKUP("Náklady celkem",INDIRECT("HI!$A:$G"),5,0)),0,VLOOKUP("Náklady celkem",INDIRECT("HI!$A:$G"),5,0))</f>
        <v>12255.855119999998</v>
      </c>
      <c r="E4" s="161">
        <f ca="1">IF(C4=0,0,D4/C4)</f>
        <v>0.98199676626185584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25.101300582885742</v>
      </c>
      <c r="D7" s="168">
        <f>IF(ISERROR(HI!E5),"",HI!E5)</f>
        <v>17.505310000000001</v>
      </c>
      <c r="E7" s="165">
        <f t="shared" ref="E7:E14" si="0">IF(C7=0,0,D7/C7)</f>
        <v>0.69738657334493881</v>
      </c>
    </row>
    <row r="8" spans="1:5" ht="14.4" customHeight="1" x14ac:dyDescent="0.3">
      <c r="A8" s="308" t="str">
        <f>HYPERLINK("#'LŽ Statim'!A1","Podíl statimových žádanek (max. 30%)")</f>
        <v>Podíl statimových žádanek (max. 30%)</v>
      </c>
      <c r="B8" s="306" t="s">
        <v>215</v>
      </c>
      <c r="C8" s="307">
        <v>0.3</v>
      </c>
      <c r="D8" s="307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30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30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0.81716908000193</v>
      </c>
      <c r="E11" s="165">
        <f t="shared" si="0"/>
        <v>1.0214613500024123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2380.8252134552004</v>
      </c>
      <c r="D14" s="168">
        <f>IF(ISERROR(HI!E6),"",HI!E6)</f>
        <v>2147.0012299999999</v>
      </c>
      <c r="E14" s="165">
        <f t="shared" si="0"/>
        <v>0.90178868144803426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8567.5</v>
      </c>
      <c r="D15" s="164">
        <f ca="1">IF(ISERROR(VLOOKUP("Osobní náklady (Kč) *",INDIRECT("HI!$A:$G"),5,0)),0,VLOOKUP("Osobní náklady (Kč) *",INDIRECT("HI!$A:$G"),5,0))</f>
        <v>8700.7510000000002</v>
      </c>
      <c r="E15" s="165">
        <f ca="1">IF(C15=0,0,D15/C15)</f>
        <v>1.0155530784943099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58472.976750000002</v>
      </c>
      <c r="D17" s="183">
        <f ca="1">IF(ISERROR(VLOOKUP("Výnosy celkem",INDIRECT("HI!$A:$G"),5,0)),0,VLOOKUP("Výnosy celkem",INDIRECT("HI!$A:$G"),5,0))</f>
        <v>38577.270700000001</v>
      </c>
      <c r="E17" s="184">
        <f t="shared" ref="E17:E22" ca="1" si="1">IF(C17=0,0,D17/C17)</f>
        <v>0.6597452848165456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58472.976750000002</v>
      </c>
      <c r="D18" s="164">
        <f ca="1">IF(ISERROR(VLOOKUP("Ambulance *",INDIRECT("HI!$A:$G"),5,0)),0,VLOOKUP("Ambulance *",INDIRECT("HI!$A:$G"),5,0))</f>
        <v>38577.270700000001</v>
      </c>
      <c r="E18" s="165">
        <f t="shared" ca="1" si="1"/>
        <v>0.6597452848165456</v>
      </c>
    </row>
    <row r="19" spans="1:5" ht="14.4" customHeight="1" x14ac:dyDescent="0.3">
      <c r="A19" s="317" t="str">
        <f>HYPERLINK("#'ZV Vykáz.-A'!A1","Zdravotní výkony vykázané u ambulantních pacientů (min. 100 % 2016)")</f>
        <v>Zdravotní výkony vykázané u ambulantních pacientů (min. 100 % 2016)</v>
      </c>
      <c r="B19" s="318" t="s">
        <v>123</v>
      </c>
      <c r="C19" s="169">
        <v>1</v>
      </c>
      <c r="D19" s="169">
        <f>IF(ISERROR(VLOOKUP("Celkem:",'ZV Vykáz.-A'!$A:$AB,10,0)),"",VLOOKUP("Celkem:",'ZV Vykáz.-A'!$A:$AB,10,0))</f>
        <v>0.65974528481654571</v>
      </c>
      <c r="E19" s="165">
        <f t="shared" si="1"/>
        <v>0.65974528481654571</v>
      </c>
    </row>
    <row r="20" spans="1:5" ht="14.4" customHeight="1" x14ac:dyDescent="0.3">
      <c r="A20" s="316" t="str">
        <f>HYPERLINK("#'ZV Vykáz.-A'!A1","Specializovaná ambulantní péče")</f>
        <v>Specializovaná ambulantní péče</v>
      </c>
      <c r="B20" s="318" t="s">
        <v>123</v>
      </c>
      <c r="C20" s="169">
        <v>1</v>
      </c>
      <c r="D20" s="307">
        <f>IF(ISERROR(VLOOKUP("Specializovaná ambulantní péče",'ZV Vykáz.-A'!$A:$AB,10,0)),"",VLOOKUP("Specializovaná ambulantní péče",'ZV Vykáz.-A'!$A:$AB,10,0))</f>
        <v>0.65974528481654571</v>
      </c>
      <c r="E20" s="165">
        <f t="shared" si="1"/>
        <v>0.65974528481654571</v>
      </c>
    </row>
    <row r="21" spans="1:5" ht="14.4" customHeight="1" x14ac:dyDescent="0.3">
      <c r="A21" s="316" t="str">
        <f>HYPERLINK("#'ZV Vykáz.-A'!A1","Ambulantní péče ve vyjmenovaných odbornostech (§9)")</f>
        <v>Ambulantní péče ve vyjmenovaných odbornostech (§9)</v>
      </c>
      <c r="B21" s="318" t="s">
        <v>123</v>
      </c>
      <c r="C21" s="169">
        <v>1</v>
      </c>
      <c r="D21" s="307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18" t="s">
        <v>125</v>
      </c>
      <c r="C22" s="169">
        <v>0.85</v>
      </c>
      <c r="D22" s="169">
        <f>IF(ISERROR(VLOOKUP("Celkem:",'ZV Vykáz.-H'!$A:$S,7,0)),"",VLOOKUP("Celkem:",'ZV Vykáz.-H'!$A:$S,7,0))</f>
        <v>0.47783752075338154</v>
      </c>
      <c r="E22" s="165">
        <f t="shared" si="1"/>
        <v>0.5621617891216254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29" t="s">
        <v>1002</v>
      </c>
      <c r="B1" s="356"/>
      <c r="C1" s="356"/>
      <c r="D1" s="356"/>
      <c r="E1" s="356"/>
      <c r="F1" s="356"/>
      <c r="G1" s="356"/>
    </row>
    <row r="2" spans="1:7" ht="14.4" customHeight="1" thickBot="1" x14ac:dyDescent="0.35">
      <c r="A2" s="235" t="s">
        <v>258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27" t="s">
        <v>128</v>
      </c>
      <c r="B3" s="310">
        <f t="shared" ref="B3:G3" si="0">SUBTOTAL(9,B6:B1048576)</f>
        <v>14054</v>
      </c>
      <c r="C3" s="311">
        <f t="shared" si="0"/>
        <v>32011</v>
      </c>
      <c r="D3" s="326">
        <f t="shared" si="0"/>
        <v>20133</v>
      </c>
      <c r="E3" s="224">
        <f t="shared" si="0"/>
        <v>24727629.189999968</v>
      </c>
      <c r="F3" s="222">
        <f t="shared" si="0"/>
        <v>58472976.749999925</v>
      </c>
      <c r="G3" s="312">
        <f t="shared" si="0"/>
        <v>38577270.699999906</v>
      </c>
    </row>
    <row r="4" spans="1:7" ht="14.4" customHeight="1" x14ac:dyDescent="0.3">
      <c r="A4" s="430" t="s">
        <v>135</v>
      </c>
      <c r="B4" s="435" t="s">
        <v>217</v>
      </c>
      <c r="C4" s="433"/>
      <c r="D4" s="436"/>
      <c r="E4" s="435" t="s">
        <v>99</v>
      </c>
      <c r="F4" s="433"/>
      <c r="G4" s="436"/>
    </row>
    <row r="5" spans="1:7" ht="14.4" customHeight="1" thickBot="1" x14ac:dyDescent="0.35">
      <c r="A5" s="590"/>
      <c r="B5" s="591">
        <v>2015</v>
      </c>
      <c r="C5" s="592">
        <v>2016</v>
      </c>
      <c r="D5" s="611">
        <v>2017</v>
      </c>
      <c r="E5" s="591">
        <v>2015</v>
      </c>
      <c r="F5" s="592">
        <v>2016</v>
      </c>
      <c r="G5" s="611">
        <v>2017</v>
      </c>
    </row>
    <row r="6" spans="1:7" ht="14.4" customHeight="1" x14ac:dyDescent="0.3">
      <c r="A6" s="580" t="s">
        <v>996</v>
      </c>
      <c r="B6" s="116">
        <v>13954</v>
      </c>
      <c r="C6" s="116">
        <v>32004</v>
      </c>
      <c r="D6" s="116">
        <v>20106</v>
      </c>
      <c r="E6" s="612">
        <v>24693812.189999968</v>
      </c>
      <c r="F6" s="612">
        <v>58472606.749999925</v>
      </c>
      <c r="G6" s="613">
        <v>38576049.699999906</v>
      </c>
    </row>
    <row r="7" spans="1:7" ht="14.4" customHeight="1" x14ac:dyDescent="0.3">
      <c r="A7" s="581" t="s">
        <v>1000</v>
      </c>
      <c r="B7" s="501">
        <v>1</v>
      </c>
      <c r="C7" s="501"/>
      <c r="D7" s="501"/>
      <c r="E7" s="614">
        <v>327</v>
      </c>
      <c r="F7" s="614"/>
      <c r="G7" s="615"/>
    </row>
    <row r="8" spans="1:7" ht="14.4" customHeight="1" x14ac:dyDescent="0.3">
      <c r="A8" s="581" t="s">
        <v>494</v>
      </c>
      <c r="B8" s="501">
        <v>2</v>
      </c>
      <c r="C8" s="501"/>
      <c r="D8" s="501"/>
      <c r="E8" s="614">
        <v>1771</v>
      </c>
      <c r="F8" s="614"/>
      <c r="G8" s="615"/>
    </row>
    <row r="9" spans="1:7" ht="14.4" customHeight="1" x14ac:dyDescent="0.3">
      <c r="A9" s="581" t="s">
        <v>1001</v>
      </c>
      <c r="B9" s="501"/>
      <c r="C9" s="501">
        <v>7</v>
      </c>
      <c r="D9" s="501">
        <v>27</v>
      </c>
      <c r="E9" s="614"/>
      <c r="F9" s="614">
        <v>370</v>
      </c>
      <c r="G9" s="615">
        <v>1221</v>
      </c>
    </row>
    <row r="10" spans="1:7" ht="14.4" customHeight="1" thickBot="1" x14ac:dyDescent="0.35">
      <c r="A10" s="618" t="s">
        <v>495</v>
      </c>
      <c r="B10" s="508">
        <v>97</v>
      </c>
      <c r="C10" s="508"/>
      <c r="D10" s="508"/>
      <c r="E10" s="616">
        <v>31719</v>
      </c>
      <c r="F10" s="616"/>
      <c r="G10" s="617"/>
    </row>
    <row r="11" spans="1:7" ht="14.4" customHeight="1" x14ac:dyDescent="0.3">
      <c r="A11" s="535" t="s">
        <v>489</v>
      </c>
    </row>
    <row r="12" spans="1:7" ht="14.4" customHeight="1" x14ac:dyDescent="0.3">
      <c r="A12" s="536" t="s">
        <v>490</v>
      </c>
    </row>
    <row r="13" spans="1:7" ht="14.4" customHeight="1" x14ac:dyDescent="0.3">
      <c r="A13" s="535" t="s">
        <v>998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56" t="s">
        <v>1069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2" spans="1:18" ht="14.4" customHeight="1" thickBot="1" x14ac:dyDescent="0.35">
      <c r="A2" s="235" t="s">
        <v>258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14054</v>
      </c>
      <c r="H3" s="103">
        <f t="shared" si="0"/>
        <v>24727629.190000001</v>
      </c>
      <c r="I3" s="74"/>
      <c r="J3" s="74"/>
      <c r="K3" s="103">
        <f t="shared" si="0"/>
        <v>32011</v>
      </c>
      <c r="L3" s="103">
        <f t="shared" si="0"/>
        <v>58472976.75</v>
      </c>
      <c r="M3" s="74"/>
      <c r="N3" s="74"/>
      <c r="O3" s="103">
        <f t="shared" si="0"/>
        <v>20133</v>
      </c>
      <c r="P3" s="103">
        <f t="shared" si="0"/>
        <v>38577270.700000003</v>
      </c>
      <c r="Q3" s="75">
        <f>IF(L3=0,0,P3/L3)</f>
        <v>0.65974528481654571</v>
      </c>
      <c r="R3" s="104">
        <f>IF(O3=0,0,P3/O3)</f>
        <v>1916.1213281676851</v>
      </c>
    </row>
    <row r="4" spans="1:18" ht="14.4" customHeight="1" x14ac:dyDescent="0.3">
      <c r="A4" s="437" t="s">
        <v>246</v>
      </c>
      <c r="B4" s="437" t="s">
        <v>95</v>
      </c>
      <c r="C4" s="445" t="s">
        <v>0</v>
      </c>
      <c r="D4" s="439" t="s">
        <v>96</v>
      </c>
      <c r="E4" s="444" t="s">
        <v>71</v>
      </c>
      <c r="F4" s="440" t="s">
        <v>70</v>
      </c>
      <c r="G4" s="441">
        <v>2015</v>
      </c>
      <c r="H4" s="442"/>
      <c r="I4" s="101"/>
      <c r="J4" s="101"/>
      <c r="K4" s="441">
        <v>2016</v>
      </c>
      <c r="L4" s="442"/>
      <c r="M4" s="101"/>
      <c r="N4" s="101"/>
      <c r="O4" s="441">
        <v>2017</v>
      </c>
      <c r="P4" s="442"/>
      <c r="Q4" s="443" t="s">
        <v>2</v>
      </c>
      <c r="R4" s="438" t="s">
        <v>98</v>
      </c>
    </row>
    <row r="5" spans="1:18" ht="14.4" customHeight="1" thickBot="1" x14ac:dyDescent="0.35">
      <c r="A5" s="619"/>
      <c r="B5" s="619"/>
      <c r="C5" s="620"/>
      <c r="D5" s="621"/>
      <c r="E5" s="622"/>
      <c r="F5" s="623"/>
      <c r="G5" s="624" t="s">
        <v>72</v>
      </c>
      <c r="H5" s="625" t="s">
        <v>14</v>
      </c>
      <c r="I5" s="626"/>
      <c r="J5" s="626"/>
      <c r="K5" s="624" t="s">
        <v>72</v>
      </c>
      <c r="L5" s="625" t="s">
        <v>14</v>
      </c>
      <c r="M5" s="626"/>
      <c r="N5" s="626"/>
      <c r="O5" s="624" t="s">
        <v>72</v>
      </c>
      <c r="P5" s="625" t="s">
        <v>14</v>
      </c>
      <c r="Q5" s="627"/>
      <c r="R5" s="628"/>
    </row>
    <row r="6" spans="1:18" ht="14.4" customHeight="1" x14ac:dyDescent="0.3">
      <c r="A6" s="555" t="s">
        <v>1003</v>
      </c>
      <c r="B6" s="556" t="s">
        <v>1004</v>
      </c>
      <c r="C6" s="556" t="s">
        <v>453</v>
      </c>
      <c r="D6" s="556" t="s">
        <v>1005</v>
      </c>
      <c r="E6" s="556" t="s">
        <v>1006</v>
      </c>
      <c r="F6" s="556" t="s">
        <v>1007</v>
      </c>
      <c r="G6" s="116"/>
      <c r="H6" s="116"/>
      <c r="I6" s="556"/>
      <c r="J6" s="556"/>
      <c r="K6" s="116">
        <v>3</v>
      </c>
      <c r="L6" s="116">
        <v>111</v>
      </c>
      <c r="M6" s="556">
        <v>1</v>
      </c>
      <c r="N6" s="556">
        <v>37</v>
      </c>
      <c r="O6" s="116">
        <v>1</v>
      </c>
      <c r="P6" s="116">
        <v>37</v>
      </c>
      <c r="Q6" s="561">
        <v>0.33333333333333331</v>
      </c>
      <c r="R6" s="572">
        <v>37</v>
      </c>
    </row>
    <row r="7" spans="1:18" ht="14.4" customHeight="1" x14ac:dyDescent="0.3">
      <c r="A7" s="496" t="s">
        <v>1003</v>
      </c>
      <c r="B7" s="497" t="s">
        <v>1004</v>
      </c>
      <c r="C7" s="497" t="s">
        <v>453</v>
      </c>
      <c r="D7" s="497" t="s">
        <v>1005</v>
      </c>
      <c r="E7" s="497" t="s">
        <v>1008</v>
      </c>
      <c r="F7" s="497" t="s">
        <v>1009</v>
      </c>
      <c r="G7" s="501"/>
      <c r="H7" s="501"/>
      <c r="I7" s="497"/>
      <c r="J7" s="497"/>
      <c r="K7" s="501">
        <v>1</v>
      </c>
      <c r="L7" s="501">
        <v>74</v>
      </c>
      <c r="M7" s="497">
        <v>1</v>
      </c>
      <c r="N7" s="497">
        <v>74</v>
      </c>
      <c r="O7" s="501"/>
      <c r="P7" s="501"/>
      <c r="Q7" s="518"/>
      <c r="R7" s="502"/>
    </row>
    <row r="8" spans="1:18" ht="14.4" customHeight="1" x14ac:dyDescent="0.3">
      <c r="A8" s="496" t="s">
        <v>1003</v>
      </c>
      <c r="B8" s="497" t="s">
        <v>1010</v>
      </c>
      <c r="C8" s="497" t="s">
        <v>453</v>
      </c>
      <c r="D8" s="497" t="s">
        <v>1005</v>
      </c>
      <c r="E8" s="497" t="s">
        <v>1011</v>
      </c>
      <c r="F8" s="497" t="s">
        <v>1012</v>
      </c>
      <c r="G8" s="501">
        <v>48</v>
      </c>
      <c r="H8" s="501">
        <v>3072</v>
      </c>
      <c r="I8" s="497">
        <v>0.61244019138755978</v>
      </c>
      <c r="J8" s="497">
        <v>64</v>
      </c>
      <c r="K8" s="501">
        <v>76</v>
      </c>
      <c r="L8" s="501">
        <v>5016</v>
      </c>
      <c r="M8" s="497">
        <v>1</v>
      </c>
      <c r="N8" s="497">
        <v>66</v>
      </c>
      <c r="O8" s="501">
        <v>59</v>
      </c>
      <c r="P8" s="501">
        <v>3894</v>
      </c>
      <c r="Q8" s="518">
        <v>0.77631578947368418</v>
      </c>
      <c r="R8" s="502">
        <v>66</v>
      </c>
    </row>
    <row r="9" spans="1:18" ht="14.4" customHeight="1" x14ac:dyDescent="0.3">
      <c r="A9" s="496" t="s">
        <v>1003</v>
      </c>
      <c r="B9" s="497" t="s">
        <v>1010</v>
      </c>
      <c r="C9" s="497" t="s">
        <v>453</v>
      </c>
      <c r="D9" s="497" t="s">
        <v>1005</v>
      </c>
      <c r="E9" s="497" t="s">
        <v>1006</v>
      </c>
      <c r="F9" s="497" t="s">
        <v>1007</v>
      </c>
      <c r="G9" s="501"/>
      <c r="H9" s="501"/>
      <c r="I9" s="497"/>
      <c r="J9" s="497"/>
      <c r="K9" s="501">
        <v>178</v>
      </c>
      <c r="L9" s="501">
        <v>6586</v>
      </c>
      <c r="M9" s="497">
        <v>1</v>
      </c>
      <c r="N9" s="497">
        <v>37</v>
      </c>
      <c r="O9" s="501">
        <v>167</v>
      </c>
      <c r="P9" s="501">
        <v>6179</v>
      </c>
      <c r="Q9" s="518">
        <v>0.9382022471910112</v>
      </c>
      <c r="R9" s="502">
        <v>37</v>
      </c>
    </row>
    <row r="10" spans="1:18" ht="14.4" customHeight="1" x14ac:dyDescent="0.3">
      <c r="A10" s="496" t="s">
        <v>1003</v>
      </c>
      <c r="B10" s="497" t="s">
        <v>1010</v>
      </c>
      <c r="C10" s="497" t="s">
        <v>453</v>
      </c>
      <c r="D10" s="497" t="s">
        <v>1005</v>
      </c>
      <c r="E10" s="497" t="s">
        <v>1013</v>
      </c>
      <c r="F10" s="497" t="s">
        <v>1014</v>
      </c>
      <c r="G10" s="501">
        <v>238</v>
      </c>
      <c r="H10" s="501">
        <v>555968</v>
      </c>
      <c r="I10" s="497">
        <v>0.44782750882415961</v>
      </c>
      <c r="J10" s="497">
        <v>2336</v>
      </c>
      <c r="K10" s="501">
        <v>501</v>
      </c>
      <c r="L10" s="501">
        <v>1241478</v>
      </c>
      <c r="M10" s="497">
        <v>1</v>
      </c>
      <c r="N10" s="497">
        <v>2478</v>
      </c>
      <c r="O10" s="501">
        <v>581</v>
      </c>
      <c r="P10" s="501">
        <v>1440880</v>
      </c>
      <c r="Q10" s="518">
        <v>1.1606166198676093</v>
      </c>
      <c r="R10" s="502">
        <v>2480</v>
      </c>
    </row>
    <row r="11" spans="1:18" ht="14.4" customHeight="1" x14ac:dyDescent="0.3">
      <c r="A11" s="496" t="s">
        <v>1003</v>
      </c>
      <c r="B11" s="497" t="s">
        <v>1010</v>
      </c>
      <c r="C11" s="497" t="s">
        <v>453</v>
      </c>
      <c r="D11" s="497" t="s">
        <v>1005</v>
      </c>
      <c r="E11" s="497" t="s">
        <v>1015</v>
      </c>
      <c r="F11" s="497" t="s">
        <v>1016</v>
      </c>
      <c r="G11" s="501">
        <v>104</v>
      </c>
      <c r="H11" s="501">
        <v>33592</v>
      </c>
      <c r="I11" s="497">
        <v>6.0679190751445082</v>
      </c>
      <c r="J11" s="497">
        <v>323</v>
      </c>
      <c r="K11" s="501">
        <v>16</v>
      </c>
      <c r="L11" s="501">
        <v>5536</v>
      </c>
      <c r="M11" s="497">
        <v>1</v>
      </c>
      <c r="N11" s="497">
        <v>346</v>
      </c>
      <c r="O11" s="501">
        <v>8</v>
      </c>
      <c r="P11" s="501">
        <v>2776</v>
      </c>
      <c r="Q11" s="518">
        <v>0.50144508670520227</v>
      </c>
      <c r="R11" s="502">
        <v>347</v>
      </c>
    </row>
    <row r="12" spans="1:18" ht="14.4" customHeight="1" x14ac:dyDescent="0.3">
      <c r="A12" s="496" t="s">
        <v>1003</v>
      </c>
      <c r="B12" s="497" t="s">
        <v>1010</v>
      </c>
      <c r="C12" s="497" t="s">
        <v>453</v>
      </c>
      <c r="D12" s="497" t="s">
        <v>1005</v>
      </c>
      <c r="E12" s="497" t="s">
        <v>1017</v>
      </c>
      <c r="F12" s="497" t="s">
        <v>1018</v>
      </c>
      <c r="G12" s="501">
        <v>824</v>
      </c>
      <c r="H12" s="501">
        <v>269448</v>
      </c>
      <c r="I12" s="497">
        <v>0.75401707009934238</v>
      </c>
      <c r="J12" s="497">
        <v>327</v>
      </c>
      <c r="K12" s="501">
        <v>1021</v>
      </c>
      <c r="L12" s="501">
        <v>357350</v>
      </c>
      <c r="M12" s="497">
        <v>1</v>
      </c>
      <c r="N12" s="497">
        <v>350</v>
      </c>
      <c r="O12" s="501">
        <v>1040</v>
      </c>
      <c r="P12" s="501">
        <v>365040</v>
      </c>
      <c r="Q12" s="518">
        <v>1.0215195186791661</v>
      </c>
      <c r="R12" s="502">
        <v>351</v>
      </c>
    </row>
    <row r="13" spans="1:18" ht="14.4" customHeight="1" x14ac:dyDescent="0.3">
      <c r="A13" s="496" t="s">
        <v>1003</v>
      </c>
      <c r="B13" s="497" t="s">
        <v>1010</v>
      </c>
      <c r="C13" s="497" t="s">
        <v>453</v>
      </c>
      <c r="D13" s="497" t="s">
        <v>1005</v>
      </c>
      <c r="E13" s="497" t="s">
        <v>1019</v>
      </c>
      <c r="F13" s="497" t="s">
        <v>1020</v>
      </c>
      <c r="G13" s="501">
        <v>1565</v>
      </c>
      <c r="H13" s="501">
        <v>28033.190000000017</v>
      </c>
      <c r="I13" s="497">
        <v>0.3948350522360991</v>
      </c>
      <c r="J13" s="497">
        <v>17.912581469648572</v>
      </c>
      <c r="K13" s="501">
        <v>2130</v>
      </c>
      <c r="L13" s="501">
        <v>70999.750000000102</v>
      </c>
      <c r="M13" s="497">
        <v>1</v>
      </c>
      <c r="N13" s="497">
        <v>33.333215962441365</v>
      </c>
      <c r="O13" s="501">
        <v>2325</v>
      </c>
      <c r="P13" s="501">
        <v>77499.700000000143</v>
      </c>
      <c r="Q13" s="518">
        <v>1.0915489139046268</v>
      </c>
      <c r="R13" s="502">
        <v>33.333204301075327</v>
      </c>
    </row>
    <row r="14" spans="1:18" ht="14.4" customHeight="1" x14ac:dyDescent="0.3">
      <c r="A14" s="496" t="s">
        <v>1003</v>
      </c>
      <c r="B14" s="497" t="s">
        <v>1010</v>
      </c>
      <c r="C14" s="497" t="s">
        <v>453</v>
      </c>
      <c r="D14" s="497" t="s">
        <v>1005</v>
      </c>
      <c r="E14" s="497" t="s">
        <v>1021</v>
      </c>
      <c r="F14" s="497" t="s">
        <v>1022</v>
      </c>
      <c r="G14" s="501">
        <v>782</v>
      </c>
      <c r="H14" s="501">
        <v>1132336</v>
      </c>
      <c r="I14" s="497">
        <v>0.65505124891387478</v>
      </c>
      <c r="J14" s="497">
        <v>1448</v>
      </c>
      <c r="K14" s="501">
        <v>1138</v>
      </c>
      <c r="L14" s="501">
        <v>1728622</v>
      </c>
      <c r="M14" s="497">
        <v>1</v>
      </c>
      <c r="N14" s="497">
        <v>1519</v>
      </c>
      <c r="O14" s="501">
        <v>1204</v>
      </c>
      <c r="P14" s="501">
        <v>1830080</v>
      </c>
      <c r="Q14" s="518">
        <v>1.058692993609939</v>
      </c>
      <c r="R14" s="502">
        <v>1520</v>
      </c>
    </row>
    <row r="15" spans="1:18" ht="14.4" customHeight="1" x14ac:dyDescent="0.3">
      <c r="A15" s="496" t="s">
        <v>1003</v>
      </c>
      <c r="B15" s="497" t="s">
        <v>1010</v>
      </c>
      <c r="C15" s="497" t="s">
        <v>453</v>
      </c>
      <c r="D15" s="497" t="s">
        <v>1005</v>
      </c>
      <c r="E15" s="497" t="s">
        <v>1023</v>
      </c>
      <c r="F15" s="497" t="s">
        <v>1024</v>
      </c>
      <c r="G15" s="501">
        <v>143</v>
      </c>
      <c r="H15" s="501">
        <v>15444</v>
      </c>
      <c r="I15" s="497">
        <v>0.53255172413793106</v>
      </c>
      <c r="J15" s="497">
        <v>108</v>
      </c>
      <c r="K15" s="501">
        <v>250</v>
      </c>
      <c r="L15" s="501">
        <v>29000</v>
      </c>
      <c r="M15" s="497">
        <v>1</v>
      </c>
      <c r="N15" s="497">
        <v>116</v>
      </c>
      <c r="O15" s="501">
        <v>239</v>
      </c>
      <c r="P15" s="501">
        <v>27724</v>
      </c>
      <c r="Q15" s="518">
        <v>0.95599999999999996</v>
      </c>
      <c r="R15" s="502">
        <v>116</v>
      </c>
    </row>
    <row r="16" spans="1:18" ht="14.4" customHeight="1" x14ac:dyDescent="0.3">
      <c r="A16" s="496" t="s">
        <v>1003</v>
      </c>
      <c r="B16" s="497" t="s">
        <v>1010</v>
      </c>
      <c r="C16" s="497" t="s">
        <v>453</v>
      </c>
      <c r="D16" s="497" t="s">
        <v>1005</v>
      </c>
      <c r="E16" s="497" t="s">
        <v>1025</v>
      </c>
      <c r="F16" s="497" t="s">
        <v>1026</v>
      </c>
      <c r="G16" s="501">
        <v>437</v>
      </c>
      <c r="H16" s="501">
        <v>15732</v>
      </c>
      <c r="I16" s="497">
        <v>0.78016364988842057</v>
      </c>
      <c r="J16" s="497">
        <v>36</v>
      </c>
      <c r="K16" s="501">
        <v>545</v>
      </c>
      <c r="L16" s="501">
        <v>20165</v>
      </c>
      <c r="M16" s="497">
        <v>1</v>
      </c>
      <c r="N16" s="497">
        <v>37</v>
      </c>
      <c r="O16" s="501">
        <v>609</v>
      </c>
      <c r="P16" s="501">
        <v>22533</v>
      </c>
      <c r="Q16" s="518">
        <v>1.1174311926605505</v>
      </c>
      <c r="R16" s="502">
        <v>37</v>
      </c>
    </row>
    <row r="17" spans="1:18" ht="14.4" customHeight="1" x14ac:dyDescent="0.3">
      <c r="A17" s="496" t="s">
        <v>1003</v>
      </c>
      <c r="B17" s="497" t="s">
        <v>1010</v>
      </c>
      <c r="C17" s="497" t="s">
        <v>453</v>
      </c>
      <c r="D17" s="497" t="s">
        <v>1005</v>
      </c>
      <c r="E17" s="497" t="s">
        <v>1008</v>
      </c>
      <c r="F17" s="497" t="s">
        <v>1009</v>
      </c>
      <c r="G17" s="501"/>
      <c r="H17" s="501"/>
      <c r="I17" s="497"/>
      <c r="J17" s="497"/>
      <c r="K17" s="501">
        <v>8</v>
      </c>
      <c r="L17" s="501">
        <v>592</v>
      </c>
      <c r="M17" s="497">
        <v>1</v>
      </c>
      <c r="N17" s="497">
        <v>74</v>
      </c>
      <c r="O17" s="501">
        <v>14</v>
      </c>
      <c r="P17" s="501">
        <v>1036</v>
      </c>
      <c r="Q17" s="518">
        <v>1.75</v>
      </c>
      <c r="R17" s="502">
        <v>74</v>
      </c>
    </row>
    <row r="18" spans="1:18" ht="14.4" customHeight="1" x14ac:dyDescent="0.3">
      <c r="A18" s="496" t="s">
        <v>1003</v>
      </c>
      <c r="B18" s="497" t="s">
        <v>1010</v>
      </c>
      <c r="C18" s="497" t="s">
        <v>453</v>
      </c>
      <c r="D18" s="497" t="s">
        <v>1005</v>
      </c>
      <c r="E18" s="497" t="s">
        <v>1027</v>
      </c>
      <c r="F18" s="497" t="s">
        <v>1028</v>
      </c>
      <c r="G18" s="501"/>
      <c r="H18" s="501"/>
      <c r="I18" s="497"/>
      <c r="J18" s="497"/>
      <c r="K18" s="501">
        <v>1</v>
      </c>
      <c r="L18" s="501">
        <v>59</v>
      </c>
      <c r="M18" s="497">
        <v>1</v>
      </c>
      <c r="N18" s="497">
        <v>59</v>
      </c>
      <c r="O18" s="501"/>
      <c r="P18" s="501"/>
      <c r="Q18" s="518"/>
      <c r="R18" s="502"/>
    </row>
    <row r="19" spans="1:18" ht="14.4" customHeight="1" x14ac:dyDescent="0.3">
      <c r="A19" s="496" t="s">
        <v>1029</v>
      </c>
      <c r="B19" s="497" t="s">
        <v>1030</v>
      </c>
      <c r="C19" s="497" t="s">
        <v>453</v>
      </c>
      <c r="D19" s="497" t="s">
        <v>1005</v>
      </c>
      <c r="E19" s="497" t="s">
        <v>1008</v>
      </c>
      <c r="F19" s="497" t="s">
        <v>1009</v>
      </c>
      <c r="G19" s="501"/>
      <c r="H19" s="501"/>
      <c r="I19" s="497"/>
      <c r="J19" s="497"/>
      <c r="K19" s="501">
        <v>1</v>
      </c>
      <c r="L19" s="501">
        <v>74</v>
      </c>
      <c r="M19" s="497">
        <v>1</v>
      </c>
      <c r="N19" s="497">
        <v>74</v>
      </c>
      <c r="O19" s="501"/>
      <c r="P19" s="501"/>
      <c r="Q19" s="518"/>
      <c r="R19" s="502"/>
    </row>
    <row r="20" spans="1:18" ht="14.4" customHeight="1" x14ac:dyDescent="0.3">
      <c r="A20" s="496" t="s">
        <v>1029</v>
      </c>
      <c r="B20" s="497" t="s">
        <v>1030</v>
      </c>
      <c r="C20" s="497" t="s">
        <v>458</v>
      </c>
      <c r="D20" s="497" t="s">
        <v>1005</v>
      </c>
      <c r="E20" s="497" t="s">
        <v>1031</v>
      </c>
      <c r="F20" s="497" t="s">
        <v>1032</v>
      </c>
      <c r="G20" s="501">
        <v>34</v>
      </c>
      <c r="H20" s="501">
        <v>364310</v>
      </c>
      <c r="I20" s="497">
        <v>0.74151645417094103</v>
      </c>
      <c r="J20" s="497">
        <v>10715</v>
      </c>
      <c r="K20" s="501">
        <v>44</v>
      </c>
      <c r="L20" s="501">
        <v>491304</v>
      </c>
      <c r="M20" s="497">
        <v>1</v>
      </c>
      <c r="N20" s="497">
        <v>11166</v>
      </c>
      <c r="O20" s="501">
        <v>43</v>
      </c>
      <c r="P20" s="501">
        <v>480482</v>
      </c>
      <c r="Q20" s="518">
        <v>0.97797290475957854</v>
      </c>
      <c r="R20" s="502">
        <v>11174</v>
      </c>
    </row>
    <row r="21" spans="1:18" ht="14.4" customHeight="1" x14ac:dyDescent="0.3">
      <c r="A21" s="496" t="s">
        <v>1029</v>
      </c>
      <c r="B21" s="497" t="s">
        <v>1030</v>
      </c>
      <c r="C21" s="497" t="s">
        <v>458</v>
      </c>
      <c r="D21" s="497" t="s">
        <v>1005</v>
      </c>
      <c r="E21" s="497" t="s">
        <v>1033</v>
      </c>
      <c r="F21" s="497" t="s">
        <v>1034</v>
      </c>
      <c r="G21" s="501">
        <v>334</v>
      </c>
      <c r="H21" s="501">
        <v>101202</v>
      </c>
      <c r="I21" s="497">
        <v>0.87581348656881752</v>
      </c>
      <c r="J21" s="497">
        <v>303</v>
      </c>
      <c r="K21" s="501">
        <v>368</v>
      </c>
      <c r="L21" s="501">
        <v>115552</v>
      </c>
      <c r="M21" s="497">
        <v>1</v>
      </c>
      <c r="N21" s="497">
        <v>314</v>
      </c>
      <c r="O21" s="501">
        <v>543</v>
      </c>
      <c r="P21" s="501">
        <v>171045</v>
      </c>
      <c r="Q21" s="518">
        <v>1.4802426613126558</v>
      </c>
      <c r="R21" s="502">
        <v>315</v>
      </c>
    </row>
    <row r="22" spans="1:18" ht="14.4" customHeight="1" x14ac:dyDescent="0.3">
      <c r="A22" s="496" t="s">
        <v>1029</v>
      </c>
      <c r="B22" s="497" t="s">
        <v>1030</v>
      </c>
      <c r="C22" s="497" t="s">
        <v>458</v>
      </c>
      <c r="D22" s="497" t="s">
        <v>1005</v>
      </c>
      <c r="E22" s="497" t="s">
        <v>1035</v>
      </c>
      <c r="F22" s="497" t="s">
        <v>1036</v>
      </c>
      <c r="G22" s="501">
        <v>750</v>
      </c>
      <c r="H22" s="501">
        <v>951000</v>
      </c>
      <c r="I22" s="497">
        <v>0.81097537056713698</v>
      </c>
      <c r="J22" s="497">
        <v>1268</v>
      </c>
      <c r="K22" s="501">
        <v>914</v>
      </c>
      <c r="L22" s="501">
        <v>1172662</v>
      </c>
      <c r="M22" s="497">
        <v>1</v>
      </c>
      <c r="N22" s="497">
        <v>1283</v>
      </c>
      <c r="O22" s="501">
        <v>986</v>
      </c>
      <c r="P22" s="501">
        <v>1267010</v>
      </c>
      <c r="Q22" s="518">
        <v>1.0804562610539099</v>
      </c>
      <c r="R22" s="502">
        <v>1285</v>
      </c>
    </row>
    <row r="23" spans="1:18" ht="14.4" customHeight="1" x14ac:dyDescent="0.3">
      <c r="A23" s="496" t="s">
        <v>1029</v>
      </c>
      <c r="B23" s="497" t="s">
        <v>1030</v>
      </c>
      <c r="C23" s="497" t="s">
        <v>458</v>
      </c>
      <c r="D23" s="497" t="s">
        <v>1005</v>
      </c>
      <c r="E23" s="497" t="s">
        <v>1037</v>
      </c>
      <c r="F23" s="497" t="s">
        <v>1038</v>
      </c>
      <c r="G23" s="501">
        <v>21</v>
      </c>
      <c r="H23" s="501">
        <v>198366</v>
      </c>
      <c r="I23" s="497">
        <v>0.38375420044920866</v>
      </c>
      <c r="J23" s="497">
        <v>9446</v>
      </c>
      <c r="K23" s="501">
        <v>53</v>
      </c>
      <c r="L23" s="501">
        <v>516909</v>
      </c>
      <c r="M23" s="497">
        <v>1</v>
      </c>
      <c r="N23" s="497">
        <v>9753</v>
      </c>
      <c r="O23" s="501">
        <v>33</v>
      </c>
      <c r="P23" s="501">
        <v>322146</v>
      </c>
      <c r="Q23" s="518">
        <v>0.6232160786521419</v>
      </c>
      <c r="R23" s="502">
        <v>9762</v>
      </c>
    </row>
    <row r="24" spans="1:18" ht="14.4" customHeight="1" x14ac:dyDescent="0.3">
      <c r="A24" s="496" t="s">
        <v>1029</v>
      </c>
      <c r="B24" s="497" t="s">
        <v>1030</v>
      </c>
      <c r="C24" s="497" t="s">
        <v>458</v>
      </c>
      <c r="D24" s="497" t="s">
        <v>1005</v>
      </c>
      <c r="E24" s="497" t="s">
        <v>1039</v>
      </c>
      <c r="F24" s="497" t="s">
        <v>1040</v>
      </c>
      <c r="G24" s="501"/>
      <c r="H24" s="501"/>
      <c r="I24" s="497"/>
      <c r="J24" s="497"/>
      <c r="K24" s="501">
        <v>2782</v>
      </c>
      <c r="L24" s="501">
        <v>1210170</v>
      </c>
      <c r="M24" s="497">
        <v>1</v>
      </c>
      <c r="N24" s="497">
        <v>435</v>
      </c>
      <c r="O24" s="501"/>
      <c r="P24" s="501"/>
      <c r="Q24" s="518"/>
      <c r="R24" s="502"/>
    </row>
    <row r="25" spans="1:18" ht="14.4" customHeight="1" x14ac:dyDescent="0.3">
      <c r="A25" s="496" t="s">
        <v>1029</v>
      </c>
      <c r="B25" s="497" t="s">
        <v>1030</v>
      </c>
      <c r="C25" s="497" t="s">
        <v>458</v>
      </c>
      <c r="D25" s="497" t="s">
        <v>1005</v>
      </c>
      <c r="E25" s="497" t="s">
        <v>1041</v>
      </c>
      <c r="F25" s="497" t="s">
        <v>1042</v>
      </c>
      <c r="G25" s="501">
        <v>28</v>
      </c>
      <c r="H25" s="501">
        <v>28224</v>
      </c>
      <c r="I25" s="497">
        <v>0.11583781720575742</v>
      </c>
      <c r="J25" s="497">
        <v>1008</v>
      </c>
      <c r="K25" s="501">
        <v>241</v>
      </c>
      <c r="L25" s="501">
        <v>243651</v>
      </c>
      <c r="M25" s="497">
        <v>1</v>
      </c>
      <c r="N25" s="497">
        <v>1011</v>
      </c>
      <c r="O25" s="501">
        <v>208</v>
      </c>
      <c r="P25" s="501">
        <v>210496</v>
      </c>
      <c r="Q25" s="518">
        <v>0.86392421947785969</v>
      </c>
      <c r="R25" s="502">
        <v>1012</v>
      </c>
    </row>
    <row r="26" spans="1:18" ht="14.4" customHeight="1" x14ac:dyDescent="0.3">
      <c r="A26" s="496" t="s">
        <v>1029</v>
      </c>
      <c r="B26" s="497" t="s">
        <v>1030</v>
      </c>
      <c r="C26" s="497" t="s">
        <v>458</v>
      </c>
      <c r="D26" s="497" t="s">
        <v>1005</v>
      </c>
      <c r="E26" s="497" t="s">
        <v>1043</v>
      </c>
      <c r="F26" s="497" t="s">
        <v>1044</v>
      </c>
      <c r="G26" s="501">
        <v>8317</v>
      </c>
      <c r="H26" s="501">
        <v>18829688</v>
      </c>
      <c r="I26" s="497">
        <v>0.38605181323524818</v>
      </c>
      <c r="J26" s="497">
        <v>2264</v>
      </c>
      <c r="K26" s="501">
        <v>21262</v>
      </c>
      <c r="L26" s="501">
        <v>48775028</v>
      </c>
      <c r="M26" s="497">
        <v>1</v>
      </c>
      <c r="N26" s="497">
        <v>2294</v>
      </c>
      <c r="O26" s="501">
        <v>11468</v>
      </c>
      <c r="P26" s="501">
        <v>26341996</v>
      </c>
      <c r="Q26" s="518">
        <v>0.54007136602771399</v>
      </c>
      <c r="R26" s="502">
        <v>2297</v>
      </c>
    </row>
    <row r="27" spans="1:18" ht="14.4" customHeight="1" x14ac:dyDescent="0.3">
      <c r="A27" s="496" t="s">
        <v>1029</v>
      </c>
      <c r="B27" s="497" t="s">
        <v>1030</v>
      </c>
      <c r="C27" s="497" t="s">
        <v>458</v>
      </c>
      <c r="D27" s="497" t="s">
        <v>1005</v>
      </c>
      <c r="E27" s="497" t="s">
        <v>1045</v>
      </c>
      <c r="F27" s="497" t="s">
        <v>1046</v>
      </c>
      <c r="G27" s="501"/>
      <c r="H27" s="501"/>
      <c r="I27" s="497"/>
      <c r="J27" s="497"/>
      <c r="K27" s="501"/>
      <c r="L27" s="501"/>
      <c r="M27" s="497"/>
      <c r="N27" s="497"/>
      <c r="O27" s="501">
        <v>1</v>
      </c>
      <c r="P27" s="501">
        <v>374</v>
      </c>
      <c r="Q27" s="518"/>
      <c r="R27" s="502">
        <v>374</v>
      </c>
    </row>
    <row r="28" spans="1:18" ht="14.4" customHeight="1" x14ac:dyDescent="0.3">
      <c r="A28" s="496" t="s">
        <v>1029</v>
      </c>
      <c r="B28" s="497" t="s">
        <v>1030</v>
      </c>
      <c r="C28" s="497" t="s">
        <v>458</v>
      </c>
      <c r="D28" s="497" t="s">
        <v>1005</v>
      </c>
      <c r="E28" s="497" t="s">
        <v>1047</v>
      </c>
      <c r="F28" s="497" t="s">
        <v>1048</v>
      </c>
      <c r="G28" s="501">
        <v>34</v>
      </c>
      <c r="H28" s="501">
        <v>17102</v>
      </c>
      <c r="I28" s="497">
        <v>0.71978114478114474</v>
      </c>
      <c r="J28" s="497">
        <v>503</v>
      </c>
      <c r="K28" s="501">
        <v>45</v>
      </c>
      <c r="L28" s="501">
        <v>23760</v>
      </c>
      <c r="M28" s="497">
        <v>1</v>
      </c>
      <c r="N28" s="497">
        <v>528</v>
      </c>
      <c r="O28" s="501">
        <v>45</v>
      </c>
      <c r="P28" s="501">
        <v>23760</v>
      </c>
      <c r="Q28" s="518">
        <v>1</v>
      </c>
      <c r="R28" s="502">
        <v>528</v>
      </c>
    </row>
    <row r="29" spans="1:18" ht="14.4" customHeight="1" x14ac:dyDescent="0.3">
      <c r="A29" s="496" t="s">
        <v>1029</v>
      </c>
      <c r="B29" s="497" t="s">
        <v>1030</v>
      </c>
      <c r="C29" s="497" t="s">
        <v>458</v>
      </c>
      <c r="D29" s="497" t="s">
        <v>1005</v>
      </c>
      <c r="E29" s="497" t="s">
        <v>1049</v>
      </c>
      <c r="F29" s="497" t="s">
        <v>1050</v>
      </c>
      <c r="G29" s="501">
        <v>79</v>
      </c>
      <c r="H29" s="501">
        <v>69915</v>
      </c>
      <c r="I29" s="497">
        <v>0.92216682494460267</v>
      </c>
      <c r="J29" s="497">
        <v>885</v>
      </c>
      <c r="K29" s="501">
        <v>81</v>
      </c>
      <c r="L29" s="501">
        <v>75816</v>
      </c>
      <c r="M29" s="497">
        <v>1</v>
      </c>
      <c r="N29" s="497">
        <v>936</v>
      </c>
      <c r="O29" s="501">
        <v>88</v>
      </c>
      <c r="P29" s="501">
        <v>82456</v>
      </c>
      <c r="Q29" s="518">
        <v>1.0875804579508284</v>
      </c>
      <c r="R29" s="502">
        <v>937</v>
      </c>
    </row>
    <row r="30" spans="1:18" ht="14.4" customHeight="1" x14ac:dyDescent="0.3">
      <c r="A30" s="496" t="s">
        <v>1029</v>
      </c>
      <c r="B30" s="497" t="s">
        <v>1030</v>
      </c>
      <c r="C30" s="497" t="s">
        <v>458</v>
      </c>
      <c r="D30" s="497" t="s">
        <v>1005</v>
      </c>
      <c r="E30" s="497" t="s">
        <v>1051</v>
      </c>
      <c r="F30" s="497" t="s">
        <v>1052</v>
      </c>
      <c r="G30" s="501">
        <v>255</v>
      </c>
      <c r="H30" s="501">
        <v>1680960</v>
      </c>
      <c r="I30" s="497">
        <v>0.84812157539430266</v>
      </c>
      <c r="J30" s="497">
        <v>6592</v>
      </c>
      <c r="K30" s="501">
        <v>286</v>
      </c>
      <c r="L30" s="501">
        <v>1981980</v>
      </c>
      <c r="M30" s="497">
        <v>1</v>
      </c>
      <c r="N30" s="497">
        <v>6930</v>
      </c>
      <c r="O30" s="501">
        <v>270</v>
      </c>
      <c r="P30" s="501">
        <v>1872720</v>
      </c>
      <c r="Q30" s="518">
        <v>0.94487330850967211</v>
      </c>
      <c r="R30" s="502">
        <v>6936</v>
      </c>
    </row>
    <row r="31" spans="1:18" ht="14.4" customHeight="1" x14ac:dyDescent="0.3">
      <c r="A31" s="496" t="s">
        <v>1029</v>
      </c>
      <c r="B31" s="497" t="s">
        <v>1030</v>
      </c>
      <c r="C31" s="497" t="s">
        <v>458</v>
      </c>
      <c r="D31" s="497" t="s">
        <v>1005</v>
      </c>
      <c r="E31" s="497" t="s">
        <v>1053</v>
      </c>
      <c r="F31" s="497" t="s">
        <v>1054</v>
      </c>
      <c r="G31" s="501">
        <v>7</v>
      </c>
      <c r="H31" s="501">
        <v>23527</v>
      </c>
      <c r="I31" s="497">
        <v>0.60096043321668502</v>
      </c>
      <c r="J31" s="497">
        <v>3361</v>
      </c>
      <c r="K31" s="501">
        <v>11</v>
      </c>
      <c r="L31" s="501">
        <v>39149</v>
      </c>
      <c r="M31" s="497">
        <v>1</v>
      </c>
      <c r="N31" s="497">
        <v>3559</v>
      </c>
      <c r="O31" s="501">
        <v>8</v>
      </c>
      <c r="P31" s="501">
        <v>28496</v>
      </c>
      <c r="Q31" s="518">
        <v>0.72788576975146235</v>
      </c>
      <c r="R31" s="502">
        <v>3562</v>
      </c>
    </row>
    <row r="32" spans="1:18" ht="14.4" customHeight="1" x14ac:dyDescent="0.3">
      <c r="A32" s="496" t="s">
        <v>1029</v>
      </c>
      <c r="B32" s="497" t="s">
        <v>1030</v>
      </c>
      <c r="C32" s="497" t="s">
        <v>458</v>
      </c>
      <c r="D32" s="497" t="s">
        <v>1005</v>
      </c>
      <c r="E32" s="497" t="s">
        <v>1055</v>
      </c>
      <c r="F32" s="497" t="s">
        <v>1056</v>
      </c>
      <c r="G32" s="501">
        <v>42</v>
      </c>
      <c r="H32" s="501">
        <v>360444</v>
      </c>
      <c r="I32" s="497">
        <v>1.1523329976502181</v>
      </c>
      <c r="J32" s="497">
        <v>8582</v>
      </c>
      <c r="K32" s="501">
        <v>35</v>
      </c>
      <c r="L32" s="501">
        <v>312795</v>
      </c>
      <c r="M32" s="497">
        <v>1</v>
      </c>
      <c r="N32" s="497">
        <v>8937</v>
      </c>
      <c r="O32" s="501">
        <v>43</v>
      </c>
      <c r="P32" s="501">
        <v>384592</v>
      </c>
      <c r="Q32" s="518">
        <v>1.2295337201681613</v>
      </c>
      <c r="R32" s="502">
        <v>8944</v>
      </c>
    </row>
    <row r="33" spans="1:18" ht="14.4" customHeight="1" x14ac:dyDescent="0.3">
      <c r="A33" s="496" t="s">
        <v>1029</v>
      </c>
      <c r="B33" s="497" t="s">
        <v>1030</v>
      </c>
      <c r="C33" s="497" t="s">
        <v>458</v>
      </c>
      <c r="D33" s="497" t="s">
        <v>1005</v>
      </c>
      <c r="E33" s="497" t="s">
        <v>1057</v>
      </c>
      <c r="F33" s="497" t="s">
        <v>1058</v>
      </c>
      <c r="G33" s="501">
        <v>4</v>
      </c>
      <c r="H33" s="501">
        <v>41912</v>
      </c>
      <c r="I33" s="497">
        <v>1.2783115259096594</v>
      </c>
      <c r="J33" s="497">
        <v>10478</v>
      </c>
      <c r="K33" s="501">
        <v>3</v>
      </c>
      <c r="L33" s="501">
        <v>32787</v>
      </c>
      <c r="M33" s="497">
        <v>1</v>
      </c>
      <c r="N33" s="497">
        <v>10929</v>
      </c>
      <c r="O33" s="501">
        <v>3</v>
      </c>
      <c r="P33" s="501">
        <v>32811</v>
      </c>
      <c r="Q33" s="518">
        <v>1.0007319974380089</v>
      </c>
      <c r="R33" s="502">
        <v>10937</v>
      </c>
    </row>
    <row r="34" spans="1:18" ht="14.4" customHeight="1" x14ac:dyDescent="0.3">
      <c r="A34" s="496" t="s">
        <v>1029</v>
      </c>
      <c r="B34" s="497" t="s">
        <v>1030</v>
      </c>
      <c r="C34" s="497" t="s">
        <v>458</v>
      </c>
      <c r="D34" s="497" t="s">
        <v>1005</v>
      </c>
      <c r="E34" s="497" t="s">
        <v>1059</v>
      </c>
      <c r="F34" s="497" t="s">
        <v>1060</v>
      </c>
      <c r="G34" s="501">
        <v>6</v>
      </c>
      <c r="H34" s="501">
        <v>6216</v>
      </c>
      <c r="I34" s="497">
        <v>0.51232176708151322</v>
      </c>
      <c r="J34" s="497">
        <v>1036</v>
      </c>
      <c r="K34" s="501">
        <v>11</v>
      </c>
      <c r="L34" s="501">
        <v>12133</v>
      </c>
      <c r="M34" s="497">
        <v>1</v>
      </c>
      <c r="N34" s="497">
        <v>1103</v>
      </c>
      <c r="O34" s="501">
        <v>2</v>
      </c>
      <c r="P34" s="501">
        <v>2208</v>
      </c>
      <c r="Q34" s="518">
        <v>0.18198302151158</v>
      </c>
      <c r="R34" s="502">
        <v>1104</v>
      </c>
    </row>
    <row r="35" spans="1:18" ht="14.4" customHeight="1" x14ac:dyDescent="0.3">
      <c r="A35" s="496" t="s">
        <v>1029</v>
      </c>
      <c r="B35" s="497" t="s">
        <v>1030</v>
      </c>
      <c r="C35" s="497" t="s">
        <v>458</v>
      </c>
      <c r="D35" s="497" t="s">
        <v>1005</v>
      </c>
      <c r="E35" s="497" t="s">
        <v>1061</v>
      </c>
      <c r="F35" s="497" t="s">
        <v>1062</v>
      </c>
      <c r="G35" s="501">
        <v>2</v>
      </c>
      <c r="H35" s="501">
        <v>1138</v>
      </c>
      <c r="I35" s="497">
        <v>0.31453841901603097</v>
      </c>
      <c r="J35" s="497">
        <v>569</v>
      </c>
      <c r="K35" s="501">
        <v>6</v>
      </c>
      <c r="L35" s="501">
        <v>3618</v>
      </c>
      <c r="M35" s="497">
        <v>1</v>
      </c>
      <c r="N35" s="497">
        <v>603</v>
      </c>
      <c r="O35" s="501">
        <v>4</v>
      </c>
      <c r="P35" s="501">
        <v>2412</v>
      </c>
      <c r="Q35" s="518">
        <v>0.66666666666666663</v>
      </c>
      <c r="R35" s="502">
        <v>603</v>
      </c>
    </row>
    <row r="36" spans="1:18" ht="14.4" customHeight="1" x14ac:dyDescent="0.3">
      <c r="A36" s="496" t="s">
        <v>1029</v>
      </c>
      <c r="B36" s="497" t="s">
        <v>1030</v>
      </c>
      <c r="C36" s="497" t="s">
        <v>458</v>
      </c>
      <c r="D36" s="497" t="s">
        <v>1005</v>
      </c>
      <c r="E36" s="497" t="s">
        <v>1063</v>
      </c>
      <c r="F36" s="497"/>
      <c r="G36" s="501"/>
      <c r="H36" s="501"/>
      <c r="I36" s="497"/>
      <c r="J36" s="497"/>
      <c r="K36" s="501"/>
      <c r="L36" s="501"/>
      <c r="M36" s="497"/>
      <c r="N36" s="497"/>
      <c r="O36" s="501">
        <v>64</v>
      </c>
      <c r="P36" s="501">
        <v>0</v>
      </c>
      <c r="Q36" s="518"/>
      <c r="R36" s="502">
        <v>0</v>
      </c>
    </row>
    <row r="37" spans="1:18" ht="14.4" customHeight="1" x14ac:dyDescent="0.3">
      <c r="A37" s="496" t="s">
        <v>1029</v>
      </c>
      <c r="B37" s="497" t="s">
        <v>1030</v>
      </c>
      <c r="C37" s="497" t="s">
        <v>458</v>
      </c>
      <c r="D37" s="497" t="s">
        <v>1005</v>
      </c>
      <c r="E37" s="497" t="s">
        <v>1064</v>
      </c>
      <c r="F37" s="497" t="s">
        <v>1065</v>
      </c>
      <c r="G37" s="501"/>
      <c r="H37" s="501"/>
      <c r="I37" s="497"/>
      <c r="J37" s="497"/>
      <c r="K37" s="501"/>
      <c r="L37" s="501"/>
      <c r="M37" s="497"/>
      <c r="N37" s="497"/>
      <c r="O37" s="501">
        <v>54</v>
      </c>
      <c r="P37" s="501">
        <v>3247128</v>
      </c>
      <c r="Q37" s="518"/>
      <c r="R37" s="502">
        <v>60132</v>
      </c>
    </row>
    <row r="38" spans="1:18" ht="14.4" customHeight="1" x14ac:dyDescent="0.3">
      <c r="A38" s="496" t="s">
        <v>1029</v>
      </c>
      <c r="B38" s="497" t="s">
        <v>1030</v>
      </c>
      <c r="C38" s="497" t="s">
        <v>458</v>
      </c>
      <c r="D38" s="497" t="s">
        <v>1005</v>
      </c>
      <c r="E38" s="497" t="s">
        <v>1066</v>
      </c>
      <c r="F38" s="497"/>
      <c r="G38" s="501"/>
      <c r="H38" s="501"/>
      <c r="I38" s="497"/>
      <c r="J38" s="497"/>
      <c r="K38" s="501"/>
      <c r="L38" s="501"/>
      <c r="M38" s="497"/>
      <c r="N38" s="497"/>
      <c r="O38" s="501">
        <v>6</v>
      </c>
      <c r="P38" s="501">
        <v>0</v>
      </c>
      <c r="Q38" s="518"/>
      <c r="R38" s="502">
        <v>0</v>
      </c>
    </row>
    <row r="39" spans="1:18" ht="14.4" customHeight="1" thickBot="1" x14ac:dyDescent="0.35">
      <c r="A39" s="503" t="s">
        <v>1029</v>
      </c>
      <c r="B39" s="504" t="s">
        <v>1030</v>
      </c>
      <c r="C39" s="504" t="s">
        <v>458</v>
      </c>
      <c r="D39" s="504" t="s">
        <v>1005</v>
      </c>
      <c r="E39" s="504" t="s">
        <v>1067</v>
      </c>
      <c r="F39" s="504" t="s">
        <v>1068</v>
      </c>
      <c r="G39" s="508"/>
      <c r="H39" s="508"/>
      <c r="I39" s="504"/>
      <c r="J39" s="504"/>
      <c r="K39" s="508"/>
      <c r="L39" s="508"/>
      <c r="M39" s="504"/>
      <c r="N39" s="504"/>
      <c r="O39" s="508">
        <v>17</v>
      </c>
      <c r="P39" s="508">
        <v>329460</v>
      </c>
      <c r="Q39" s="520"/>
      <c r="R39" s="509">
        <v>19380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56" t="s">
        <v>1070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19" ht="14.4" customHeight="1" thickBot="1" x14ac:dyDescent="0.35">
      <c r="A2" s="235" t="s">
        <v>258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14054</v>
      </c>
      <c r="I3" s="103">
        <f t="shared" si="0"/>
        <v>24727629.190000001</v>
      </c>
      <c r="J3" s="74"/>
      <c r="K3" s="74"/>
      <c r="L3" s="103">
        <f t="shared" si="0"/>
        <v>32011</v>
      </c>
      <c r="M3" s="103">
        <f t="shared" si="0"/>
        <v>58472976.75</v>
      </c>
      <c r="N3" s="74"/>
      <c r="O3" s="74"/>
      <c r="P3" s="103">
        <f t="shared" si="0"/>
        <v>20133</v>
      </c>
      <c r="Q3" s="103">
        <f t="shared" si="0"/>
        <v>38577270.700000003</v>
      </c>
      <c r="R3" s="75">
        <f>IF(M3=0,0,Q3/M3)</f>
        <v>0.65974528481654571</v>
      </c>
      <c r="S3" s="104">
        <f>IF(P3=0,0,Q3/P3)</f>
        <v>1916.1213281676851</v>
      </c>
    </row>
    <row r="4" spans="1:19" ht="14.4" customHeight="1" x14ac:dyDescent="0.3">
      <c r="A4" s="437" t="s">
        <v>246</v>
      </c>
      <c r="B4" s="437" t="s">
        <v>95</v>
      </c>
      <c r="C4" s="445" t="s">
        <v>0</v>
      </c>
      <c r="D4" s="319" t="s">
        <v>135</v>
      </c>
      <c r="E4" s="439" t="s">
        <v>96</v>
      </c>
      <c r="F4" s="444" t="s">
        <v>71</v>
      </c>
      <c r="G4" s="440" t="s">
        <v>70</v>
      </c>
      <c r="H4" s="441">
        <v>2015</v>
      </c>
      <c r="I4" s="442"/>
      <c r="J4" s="101"/>
      <c r="K4" s="101"/>
      <c r="L4" s="441">
        <v>2016</v>
      </c>
      <c r="M4" s="442"/>
      <c r="N4" s="101"/>
      <c r="O4" s="101"/>
      <c r="P4" s="441">
        <v>2017</v>
      </c>
      <c r="Q4" s="442"/>
      <c r="R4" s="443" t="s">
        <v>2</v>
      </c>
      <c r="S4" s="438" t="s">
        <v>98</v>
      </c>
    </row>
    <row r="5" spans="1:19" ht="14.4" customHeight="1" thickBot="1" x14ac:dyDescent="0.35">
      <c r="A5" s="619"/>
      <c r="B5" s="619"/>
      <c r="C5" s="620"/>
      <c r="D5" s="629"/>
      <c r="E5" s="621"/>
      <c r="F5" s="622"/>
      <c r="G5" s="623"/>
      <c r="H5" s="624" t="s">
        <v>72</v>
      </c>
      <c r="I5" s="625" t="s">
        <v>14</v>
      </c>
      <c r="J5" s="626"/>
      <c r="K5" s="626"/>
      <c r="L5" s="624" t="s">
        <v>72</v>
      </c>
      <c r="M5" s="625" t="s">
        <v>14</v>
      </c>
      <c r="N5" s="626"/>
      <c r="O5" s="626"/>
      <c r="P5" s="624" t="s">
        <v>72</v>
      </c>
      <c r="Q5" s="625" t="s">
        <v>14</v>
      </c>
      <c r="R5" s="627"/>
      <c r="S5" s="628"/>
    </row>
    <row r="6" spans="1:19" ht="14.4" customHeight="1" x14ac:dyDescent="0.3">
      <c r="A6" s="555" t="s">
        <v>1003</v>
      </c>
      <c r="B6" s="556" t="s">
        <v>1004</v>
      </c>
      <c r="C6" s="556" t="s">
        <v>453</v>
      </c>
      <c r="D6" s="556" t="s">
        <v>1001</v>
      </c>
      <c r="E6" s="556" t="s">
        <v>1005</v>
      </c>
      <c r="F6" s="556" t="s">
        <v>1006</v>
      </c>
      <c r="G6" s="556" t="s">
        <v>1007</v>
      </c>
      <c r="H6" s="116"/>
      <c r="I6" s="116"/>
      <c r="J6" s="556"/>
      <c r="K6" s="556"/>
      <c r="L6" s="116">
        <v>3</v>
      </c>
      <c r="M6" s="116">
        <v>111</v>
      </c>
      <c r="N6" s="556">
        <v>1</v>
      </c>
      <c r="O6" s="556">
        <v>37</v>
      </c>
      <c r="P6" s="116">
        <v>1</v>
      </c>
      <c r="Q6" s="116">
        <v>37</v>
      </c>
      <c r="R6" s="561">
        <v>0.33333333333333331</v>
      </c>
      <c r="S6" s="572">
        <v>37</v>
      </c>
    </row>
    <row r="7" spans="1:19" ht="14.4" customHeight="1" x14ac:dyDescent="0.3">
      <c r="A7" s="496" t="s">
        <v>1003</v>
      </c>
      <c r="B7" s="497" t="s">
        <v>1004</v>
      </c>
      <c r="C7" s="497" t="s">
        <v>453</v>
      </c>
      <c r="D7" s="497" t="s">
        <v>1001</v>
      </c>
      <c r="E7" s="497" t="s">
        <v>1005</v>
      </c>
      <c r="F7" s="497" t="s">
        <v>1008</v>
      </c>
      <c r="G7" s="497" t="s">
        <v>1009</v>
      </c>
      <c r="H7" s="501"/>
      <c r="I7" s="501"/>
      <c r="J7" s="497"/>
      <c r="K7" s="497"/>
      <c r="L7" s="501">
        <v>1</v>
      </c>
      <c r="M7" s="501">
        <v>74</v>
      </c>
      <c r="N7" s="497">
        <v>1</v>
      </c>
      <c r="O7" s="497">
        <v>74</v>
      </c>
      <c r="P7" s="501"/>
      <c r="Q7" s="501"/>
      <c r="R7" s="518"/>
      <c r="S7" s="502"/>
    </row>
    <row r="8" spans="1:19" ht="14.4" customHeight="1" x14ac:dyDescent="0.3">
      <c r="A8" s="496" t="s">
        <v>1003</v>
      </c>
      <c r="B8" s="497" t="s">
        <v>1010</v>
      </c>
      <c r="C8" s="497" t="s">
        <v>453</v>
      </c>
      <c r="D8" s="497" t="s">
        <v>996</v>
      </c>
      <c r="E8" s="497" t="s">
        <v>1005</v>
      </c>
      <c r="F8" s="497" t="s">
        <v>1011</v>
      </c>
      <c r="G8" s="497" t="s">
        <v>1012</v>
      </c>
      <c r="H8" s="501">
        <v>48</v>
      </c>
      <c r="I8" s="501">
        <v>3072</v>
      </c>
      <c r="J8" s="497">
        <v>0.61244019138755978</v>
      </c>
      <c r="K8" s="497">
        <v>64</v>
      </c>
      <c r="L8" s="501">
        <v>76</v>
      </c>
      <c r="M8" s="501">
        <v>5016</v>
      </c>
      <c r="N8" s="497">
        <v>1</v>
      </c>
      <c r="O8" s="497">
        <v>66</v>
      </c>
      <c r="P8" s="501">
        <v>59</v>
      </c>
      <c r="Q8" s="501">
        <v>3894</v>
      </c>
      <c r="R8" s="518">
        <v>0.77631578947368418</v>
      </c>
      <c r="S8" s="502">
        <v>66</v>
      </c>
    </row>
    <row r="9" spans="1:19" ht="14.4" customHeight="1" x14ac:dyDescent="0.3">
      <c r="A9" s="496" t="s">
        <v>1003</v>
      </c>
      <c r="B9" s="497" t="s">
        <v>1010</v>
      </c>
      <c r="C9" s="497" t="s">
        <v>453</v>
      </c>
      <c r="D9" s="497" t="s">
        <v>996</v>
      </c>
      <c r="E9" s="497" t="s">
        <v>1005</v>
      </c>
      <c r="F9" s="497" t="s">
        <v>1006</v>
      </c>
      <c r="G9" s="497" t="s">
        <v>1007</v>
      </c>
      <c r="H9" s="501"/>
      <c r="I9" s="501"/>
      <c r="J9" s="497"/>
      <c r="K9" s="497"/>
      <c r="L9" s="501">
        <v>177</v>
      </c>
      <c r="M9" s="501">
        <v>6549</v>
      </c>
      <c r="N9" s="497">
        <v>1</v>
      </c>
      <c r="O9" s="497">
        <v>37</v>
      </c>
      <c r="P9" s="501">
        <v>147</v>
      </c>
      <c r="Q9" s="501">
        <v>5439</v>
      </c>
      <c r="R9" s="518">
        <v>0.83050847457627119</v>
      </c>
      <c r="S9" s="502">
        <v>37</v>
      </c>
    </row>
    <row r="10" spans="1:19" ht="14.4" customHeight="1" x14ac:dyDescent="0.3">
      <c r="A10" s="496" t="s">
        <v>1003</v>
      </c>
      <c r="B10" s="497" t="s">
        <v>1010</v>
      </c>
      <c r="C10" s="497" t="s">
        <v>453</v>
      </c>
      <c r="D10" s="497" t="s">
        <v>996</v>
      </c>
      <c r="E10" s="497" t="s">
        <v>1005</v>
      </c>
      <c r="F10" s="497" t="s">
        <v>1013</v>
      </c>
      <c r="G10" s="497" t="s">
        <v>1014</v>
      </c>
      <c r="H10" s="501">
        <v>238</v>
      </c>
      <c r="I10" s="501">
        <v>555968</v>
      </c>
      <c r="J10" s="497">
        <v>0.44782750882415961</v>
      </c>
      <c r="K10" s="497">
        <v>2336</v>
      </c>
      <c r="L10" s="501">
        <v>501</v>
      </c>
      <c r="M10" s="501">
        <v>1241478</v>
      </c>
      <c r="N10" s="497">
        <v>1</v>
      </c>
      <c r="O10" s="497">
        <v>2478</v>
      </c>
      <c r="P10" s="501">
        <v>581</v>
      </c>
      <c r="Q10" s="501">
        <v>1440880</v>
      </c>
      <c r="R10" s="518">
        <v>1.1606166198676093</v>
      </c>
      <c r="S10" s="502">
        <v>2480</v>
      </c>
    </row>
    <row r="11" spans="1:19" ht="14.4" customHeight="1" x14ac:dyDescent="0.3">
      <c r="A11" s="496" t="s">
        <v>1003</v>
      </c>
      <c r="B11" s="497" t="s">
        <v>1010</v>
      </c>
      <c r="C11" s="497" t="s">
        <v>453</v>
      </c>
      <c r="D11" s="497" t="s">
        <v>996</v>
      </c>
      <c r="E11" s="497" t="s">
        <v>1005</v>
      </c>
      <c r="F11" s="497" t="s">
        <v>1015</v>
      </c>
      <c r="G11" s="497" t="s">
        <v>1016</v>
      </c>
      <c r="H11" s="501">
        <v>103</v>
      </c>
      <c r="I11" s="501">
        <v>33269</v>
      </c>
      <c r="J11" s="497">
        <v>6.0095736994219653</v>
      </c>
      <c r="K11" s="497">
        <v>323</v>
      </c>
      <c r="L11" s="501">
        <v>16</v>
      </c>
      <c r="M11" s="501">
        <v>5536</v>
      </c>
      <c r="N11" s="497">
        <v>1</v>
      </c>
      <c r="O11" s="497">
        <v>346</v>
      </c>
      <c r="P11" s="501">
        <v>8</v>
      </c>
      <c r="Q11" s="501">
        <v>2776</v>
      </c>
      <c r="R11" s="518">
        <v>0.50144508670520227</v>
      </c>
      <c r="S11" s="502">
        <v>347</v>
      </c>
    </row>
    <row r="12" spans="1:19" ht="14.4" customHeight="1" x14ac:dyDescent="0.3">
      <c r="A12" s="496" t="s">
        <v>1003</v>
      </c>
      <c r="B12" s="497" t="s">
        <v>1010</v>
      </c>
      <c r="C12" s="497" t="s">
        <v>453</v>
      </c>
      <c r="D12" s="497" t="s">
        <v>996</v>
      </c>
      <c r="E12" s="497" t="s">
        <v>1005</v>
      </c>
      <c r="F12" s="497" t="s">
        <v>1017</v>
      </c>
      <c r="G12" s="497" t="s">
        <v>1018</v>
      </c>
      <c r="H12" s="501">
        <v>726</v>
      </c>
      <c r="I12" s="501">
        <v>237402</v>
      </c>
      <c r="J12" s="497">
        <v>0.66434028263607103</v>
      </c>
      <c r="K12" s="497">
        <v>327</v>
      </c>
      <c r="L12" s="501">
        <v>1021</v>
      </c>
      <c r="M12" s="501">
        <v>357350</v>
      </c>
      <c r="N12" s="497">
        <v>1</v>
      </c>
      <c r="O12" s="497">
        <v>350</v>
      </c>
      <c r="P12" s="501">
        <v>1040</v>
      </c>
      <c r="Q12" s="501">
        <v>365040</v>
      </c>
      <c r="R12" s="518">
        <v>1.0215195186791661</v>
      </c>
      <c r="S12" s="502">
        <v>351</v>
      </c>
    </row>
    <row r="13" spans="1:19" ht="14.4" customHeight="1" x14ac:dyDescent="0.3">
      <c r="A13" s="496" t="s">
        <v>1003</v>
      </c>
      <c r="B13" s="497" t="s">
        <v>1010</v>
      </c>
      <c r="C13" s="497" t="s">
        <v>453</v>
      </c>
      <c r="D13" s="497" t="s">
        <v>996</v>
      </c>
      <c r="E13" s="497" t="s">
        <v>1005</v>
      </c>
      <c r="F13" s="497" t="s">
        <v>1019</v>
      </c>
      <c r="G13" s="497" t="s">
        <v>1020</v>
      </c>
      <c r="H13" s="501">
        <v>1565</v>
      </c>
      <c r="I13" s="501">
        <v>28033.190000000017</v>
      </c>
      <c r="J13" s="497">
        <v>0.3948350522360991</v>
      </c>
      <c r="K13" s="497">
        <v>17.912581469648572</v>
      </c>
      <c r="L13" s="501">
        <v>2130</v>
      </c>
      <c r="M13" s="501">
        <v>70999.750000000102</v>
      </c>
      <c r="N13" s="497">
        <v>1</v>
      </c>
      <c r="O13" s="497">
        <v>33.333215962441365</v>
      </c>
      <c r="P13" s="501">
        <v>2325</v>
      </c>
      <c r="Q13" s="501">
        <v>77499.700000000143</v>
      </c>
      <c r="R13" s="518">
        <v>1.0915489139046268</v>
      </c>
      <c r="S13" s="502">
        <v>33.333204301075327</v>
      </c>
    </row>
    <row r="14" spans="1:19" ht="14.4" customHeight="1" x14ac:dyDescent="0.3">
      <c r="A14" s="496" t="s">
        <v>1003</v>
      </c>
      <c r="B14" s="497" t="s">
        <v>1010</v>
      </c>
      <c r="C14" s="497" t="s">
        <v>453</v>
      </c>
      <c r="D14" s="497" t="s">
        <v>996</v>
      </c>
      <c r="E14" s="497" t="s">
        <v>1005</v>
      </c>
      <c r="F14" s="497" t="s">
        <v>1021</v>
      </c>
      <c r="G14" s="497" t="s">
        <v>1022</v>
      </c>
      <c r="H14" s="501">
        <v>781</v>
      </c>
      <c r="I14" s="501">
        <v>1130888</v>
      </c>
      <c r="J14" s="497">
        <v>0.65421358747025082</v>
      </c>
      <c r="K14" s="497">
        <v>1448</v>
      </c>
      <c r="L14" s="501">
        <v>1138</v>
      </c>
      <c r="M14" s="501">
        <v>1728622</v>
      </c>
      <c r="N14" s="497">
        <v>1</v>
      </c>
      <c r="O14" s="497">
        <v>1519</v>
      </c>
      <c r="P14" s="501">
        <v>1204</v>
      </c>
      <c r="Q14" s="501">
        <v>1830080</v>
      </c>
      <c r="R14" s="518">
        <v>1.058692993609939</v>
      </c>
      <c r="S14" s="502">
        <v>1520</v>
      </c>
    </row>
    <row r="15" spans="1:19" ht="14.4" customHeight="1" x14ac:dyDescent="0.3">
      <c r="A15" s="496" t="s">
        <v>1003</v>
      </c>
      <c r="B15" s="497" t="s">
        <v>1010</v>
      </c>
      <c r="C15" s="497" t="s">
        <v>453</v>
      </c>
      <c r="D15" s="497" t="s">
        <v>996</v>
      </c>
      <c r="E15" s="497" t="s">
        <v>1005</v>
      </c>
      <c r="F15" s="497" t="s">
        <v>1023</v>
      </c>
      <c r="G15" s="497" t="s">
        <v>1024</v>
      </c>
      <c r="H15" s="501">
        <v>143</v>
      </c>
      <c r="I15" s="501">
        <v>15444</v>
      </c>
      <c r="J15" s="497">
        <v>0.53255172413793106</v>
      </c>
      <c r="K15" s="497">
        <v>108</v>
      </c>
      <c r="L15" s="501">
        <v>250</v>
      </c>
      <c r="M15" s="501">
        <v>29000</v>
      </c>
      <c r="N15" s="497">
        <v>1</v>
      </c>
      <c r="O15" s="497">
        <v>116</v>
      </c>
      <c r="P15" s="501">
        <v>239</v>
      </c>
      <c r="Q15" s="501">
        <v>27724</v>
      </c>
      <c r="R15" s="518">
        <v>0.95599999999999996</v>
      </c>
      <c r="S15" s="502">
        <v>116</v>
      </c>
    </row>
    <row r="16" spans="1:19" ht="14.4" customHeight="1" x14ac:dyDescent="0.3">
      <c r="A16" s="496" t="s">
        <v>1003</v>
      </c>
      <c r="B16" s="497" t="s">
        <v>1010</v>
      </c>
      <c r="C16" s="497" t="s">
        <v>453</v>
      </c>
      <c r="D16" s="497" t="s">
        <v>996</v>
      </c>
      <c r="E16" s="497" t="s">
        <v>1005</v>
      </c>
      <c r="F16" s="497" t="s">
        <v>1025</v>
      </c>
      <c r="G16" s="497" t="s">
        <v>1026</v>
      </c>
      <c r="H16" s="501">
        <v>437</v>
      </c>
      <c r="I16" s="501">
        <v>15732</v>
      </c>
      <c r="J16" s="497">
        <v>0.78016364988842057</v>
      </c>
      <c r="K16" s="497">
        <v>36</v>
      </c>
      <c r="L16" s="501">
        <v>545</v>
      </c>
      <c r="M16" s="501">
        <v>20165</v>
      </c>
      <c r="N16" s="497">
        <v>1</v>
      </c>
      <c r="O16" s="497">
        <v>37</v>
      </c>
      <c r="P16" s="501">
        <v>609</v>
      </c>
      <c r="Q16" s="501">
        <v>22533</v>
      </c>
      <c r="R16" s="518">
        <v>1.1174311926605505</v>
      </c>
      <c r="S16" s="502">
        <v>37</v>
      </c>
    </row>
    <row r="17" spans="1:19" ht="14.4" customHeight="1" x14ac:dyDescent="0.3">
      <c r="A17" s="496" t="s">
        <v>1003</v>
      </c>
      <c r="B17" s="497" t="s">
        <v>1010</v>
      </c>
      <c r="C17" s="497" t="s">
        <v>453</v>
      </c>
      <c r="D17" s="497" t="s">
        <v>996</v>
      </c>
      <c r="E17" s="497" t="s">
        <v>1005</v>
      </c>
      <c r="F17" s="497" t="s">
        <v>1008</v>
      </c>
      <c r="G17" s="497" t="s">
        <v>1009</v>
      </c>
      <c r="H17" s="501"/>
      <c r="I17" s="501"/>
      <c r="J17" s="497"/>
      <c r="K17" s="497"/>
      <c r="L17" s="501">
        <v>7</v>
      </c>
      <c r="M17" s="501">
        <v>518</v>
      </c>
      <c r="N17" s="497">
        <v>1</v>
      </c>
      <c r="O17" s="497">
        <v>74</v>
      </c>
      <c r="P17" s="501">
        <v>8</v>
      </c>
      <c r="Q17" s="501">
        <v>592</v>
      </c>
      <c r="R17" s="518">
        <v>1.1428571428571428</v>
      </c>
      <c r="S17" s="502">
        <v>74</v>
      </c>
    </row>
    <row r="18" spans="1:19" ht="14.4" customHeight="1" x14ac:dyDescent="0.3">
      <c r="A18" s="496" t="s">
        <v>1003</v>
      </c>
      <c r="B18" s="497" t="s">
        <v>1010</v>
      </c>
      <c r="C18" s="497" t="s">
        <v>453</v>
      </c>
      <c r="D18" s="497" t="s">
        <v>996</v>
      </c>
      <c r="E18" s="497" t="s">
        <v>1005</v>
      </c>
      <c r="F18" s="497" t="s">
        <v>1027</v>
      </c>
      <c r="G18" s="497" t="s">
        <v>1028</v>
      </c>
      <c r="H18" s="501"/>
      <c r="I18" s="501"/>
      <c r="J18" s="497"/>
      <c r="K18" s="497"/>
      <c r="L18" s="501">
        <v>1</v>
      </c>
      <c r="M18" s="501">
        <v>59</v>
      </c>
      <c r="N18" s="497">
        <v>1</v>
      </c>
      <c r="O18" s="497">
        <v>59</v>
      </c>
      <c r="P18" s="501"/>
      <c r="Q18" s="501"/>
      <c r="R18" s="518"/>
      <c r="S18" s="502"/>
    </row>
    <row r="19" spans="1:19" ht="14.4" customHeight="1" x14ac:dyDescent="0.3">
      <c r="A19" s="496" t="s">
        <v>1003</v>
      </c>
      <c r="B19" s="497" t="s">
        <v>1010</v>
      </c>
      <c r="C19" s="497" t="s">
        <v>453</v>
      </c>
      <c r="D19" s="497" t="s">
        <v>1000</v>
      </c>
      <c r="E19" s="497" t="s">
        <v>1005</v>
      </c>
      <c r="F19" s="497" t="s">
        <v>1017</v>
      </c>
      <c r="G19" s="497" t="s">
        <v>1018</v>
      </c>
      <c r="H19" s="501">
        <v>1</v>
      </c>
      <c r="I19" s="501">
        <v>327</v>
      </c>
      <c r="J19" s="497"/>
      <c r="K19" s="497">
        <v>327</v>
      </c>
      <c r="L19" s="501"/>
      <c r="M19" s="501"/>
      <c r="N19" s="497"/>
      <c r="O19" s="497"/>
      <c r="P19" s="501"/>
      <c r="Q19" s="501"/>
      <c r="R19" s="518"/>
      <c r="S19" s="502"/>
    </row>
    <row r="20" spans="1:19" ht="14.4" customHeight="1" x14ac:dyDescent="0.3">
      <c r="A20" s="496" t="s">
        <v>1003</v>
      </c>
      <c r="B20" s="497" t="s">
        <v>1010</v>
      </c>
      <c r="C20" s="497" t="s">
        <v>453</v>
      </c>
      <c r="D20" s="497" t="s">
        <v>494</v>
      </c>
      <c r="E20" s="497" t="s">
        <v>1005</v>
      </c>
      <c r="F20" s="497" t="s">
        <v>1015</v>
      </c>
      <c r="G20" s="497" t="s">
        <v>1016</v>
      </c>
      <c r="H20" s="501">
        <v>1</v>
      </c>
      <c r="I20" s="501">
        <v>323</v>
      </c>
      <c r="J20" s="497"/>
      <c r="K20" s="497">
        <v>323</v>
      </c>
      <c r="L20" s="501"/>
      <c r="M20" s="501"/>
      <c r="N20" s="497"/>
      <c r="O20" s="497"/>
      <c r="P20" s="501"/>
      <c r="Q20" s="501"/>
      <c r="R20" s="518"/>
      <c r="S20" s="502"/>
    </row>
    <row r="21" spans="1:19" ht="14.4" customHeight="1" x14ac:dyDescent="0.3">
      <c r="A21" s="496" t="s">
        <v>1003</v>
      </c>
      <c r="B21" s="497" t="s">
        <v>1010</v>
      </c>
      <c r="C21" s="497" t="s">
        <v>453</v>
      </c>
      <c r="D21" s="497" t="s">
        <v>494</v>
      </c>
      <c r="E21" s="497" t="s">
        <v>1005</v>
      </c>
      <c r="F21" s="497" t="s">
        <v>1021</v>
      </c>
      <c r="G21" s="497" t="s">
        <v>1022</v>
      </c>
      <c r="H21" s="501">
        <v>1</v>
      </c>
      <c r="I21" s="501">
        <v>1448</v>
      </c>
      <c r="J21" s="497"/>
      <c r="K21" s="497">
        <v>1448</v>
      </c>
      <c r="L21" s="501"/>
      <c r="M21" s="501"/>
      <c r="N21" s="497"/>
      <c r="O21" s="497"/>
      <c r="P21" s="501"/>
      <c r="Q21" s="501"/>
      <c r="R21" s="518"/>
      <c r="S21" s="502"/>
    </row>
    <row r="22" spans="1:19" ht="14.4" customHeight="1" x14ac:dyDescent="0.3">
      <c r="A22" s="496" t="s">
        <v>1003</v>
      </c>
      <c r="B22" s="497" t="s">
        <v>1010</v>
      </c>
      <c r="C22" s="497" t="s">
        <v>453</v>
      </c>
      <c r="D22" s="497" t="s">
        <v>1001</v>
      </c>
      <c r="E22" s="497" t="s">
        <v>1005</v>
      </c>
      <c r="F22" s="497" t="s">
        <v>1006</v>
      </c>
      <c r="G22" s="497" t="s">
        <v>1007</v>
      </c>
      <c r="H22" s="501"/>
      <c r="I22" s="501"/>
      <c r="J22" s="497"/>
      <c r="K22" s="497"/>
      <c r="L22" s="501">
        <v>1</v>
      </c>
      <c r="M22" s="501">
        <v>37</v>
      </c>
      <c r="N22" s="497">
        <v>1</v>
      </c>
      <c r="O22" s="497">
        <v>37</v>
      </c>
      <c r="P22" s="501">
        <v>20</v>
      </c>
      <c r="Q22" s="501">
        <v>740</v>
      </c>
      <c r="R22" s="518">
        <v>20</v>
      </c>
      <c r="S22" s="502">
        <v>37</v>
      </c>
    </row>
    <row r="23" spans="1:19" ht="14.4" customHeight="1" x14ac:dyDescent="0.3">
      <c r="A23" s="496" t="s">
        <v>1003</v>
      </c>
      <c r="B23" s="497" t="s">
        <v>1010</v>
      </c>
      <c r="C23" s="497" t="s">
        <v>453</v>
      </c>
      <c r="D23" s="497" t="s">
        <v>1001</v>
      </c>
      <c r="E23" s="497" t="s">
        <v>1005</v>
      </c>
      <c r="F23" s="497" t="s">
        <v>1008</v>
      </c>
      <c r="G23" s="497" t="s">
        <v>1009</v>
      </c>
      <c r="H23" s="501"/>
      <c r="I23" s="501"/>
      <c r="J23" s="497"/>
      <c r="K23" s="497"/>
      <c r="L23" s="501">
        <v>1</v>
      </c>
      <c r="M23" s="501">
        <v>74</v>
      </c>
      <c r="N23" s="497">
        <v>1</v>
      </c>
      <c r="O23" s="497">
        <v>74</v>
      </c>
      <c r="P23" s="501">
        <v>6</v>
      </c>
      <c r="Q23" s="501">
        <v>444</v>
      </c>
      <c r="R23" s="518">
        <v>6</v>
      </c>
      <c r="S23" s="502">
        <v>74</v>
      </c>
    </row>
    <row r="24" spans="1:19" ht="14.4" customHeight="1" x14ac:dyDescent="0.3">
      <c r="A24" s="496" t="s">
        <v>1003</v>
      </c>
      <c r="B24" s="497" t="s">
        <v>1010</v>
      </c>
      <c r="C24" s="497" t="s">
        <v>453</v>
      </c>
      <c r="D24" s="497" t="s">
        <v>495</v>
      </c>
      <c r="E24" s="497" t="s">
        <v>1005</v>
      </c>
      <c r="F24" s="497" t="s">
        <v>1017</v>
      </c>
      <c r="G24" s="497" t="s">
        <v>1018</v>
      </c>
      <c r="H24" s="501">
        <v>97</v>
      </c>
      <c r="I24" s="501">
        <v>31719</v>
      </c>
      <c r="J24" s="497"/>
      <c r="K24" s="497">
        <v>327</v>
      </c>
      <c r="L24" s="501"/>
      <c r="M24" s="501"/>
      <c r="N24" s="497"/>
      <c r="O24" s="497"/>
      <c r="P24" s="501"/>
      <c r="Q24" s="501"/>
      <c r="R24" s="518"/>
      <c r="S24" s="502"/>
    </row>
    <row r="25" spans="1:19" ht="14.4" customHeight="1" x14ac:dyDescent="0.3">
      <c r="A25" s="496" t="s">
        <v>1029</v>
      </c>
      <c r="B25" s="497" t="s">
        <v>1030</v>
      </c>
      <c r="C25" s="497" t="s">
        <v>453</v>
      </c>
      <c r="D25" s="497" t="s">
        <v>1001</v>
      </c>
      <c r="E25" s="497" t="s">
        <v>1005</v>
      </c>
      <c r="F25" s="497" t="s">
        <v>1008</v>
      </c>
      <c r="G25" s="497" t="s">
        <v>1009</v>
      </c>
      <c r="H25" s="501"/>
      <c r="I25" s="501"/>
      <c r="J25" s="497"/>
      <c r="K25" s="497"/>
      <c r="L25" s="501">
        <v>1</v>
      </c>
      <c r="M25" s="501">
        <v>74</v>
      </c>
      <c r="N25" s="497">
        <v>1</v>
      </c>
      <c r="O25" s="497">
        <v>74</v>
      </c>
      <c r="P25" s="501"/>
      <c r="Q25" s="501"/>
      <c r="R25" s="518"/>
      <c r="S25" s="502"/>
    </row>
    <row r="26" spans="1:19" ht="14.4" customHeight="1" x14ac:dyDescent="0.3">
      <c r="A26" s="496" t="s">
        <v>1029</v>
      </c>
      <c r="B26" s="497" t="s">
        <v>1030</v>
      </c>
      <c r="C26" s="497" t="s">
        <v>458</v>
      </c>
      <c r="D26" s="497" t="s">
        <v>996</v>
      </c>
      <c r="E26" s="497" t="s">
        <v>1005</v>
      </c>
      <c r="F26" s="497" t="s">
        <v>1031</v>
      </c>
      <c r="G26" s="497" t="s">
        <v>1032</v>
      </c>
      <c r="H26" s="501">
        <v>34</v>
      </c>
      <c r="I26" s="501">
        <v>364310</v>
      </c>
      <c r="J26" s="497">
        <v>0.74151645417094103</v>
      </c>
      <c r="K26" s="497">
        <v>10715</v>
      </c>
      <c r="L26" s="501">
        <v>44</v>
      </c>
      <c r="M26" s="501">
        <v>491304</v>
      </c>
      <c r="N26" s="497">
        <v>1</v>
      </c>
      <c r="O26" s="497">
        <v>11166</v>
      </c>
      <c r="P26" s="501">
        <v>43</v>
      </c>
      <c r="Q26" s="501">
        <v>480482</v>
      </c>
      <c r="R26" s="518">
        <v>0.97797290475957854</v>
      </c>
      <c r="S26" s="502">
        <v>11174</v>
      </c>
    </row>
    <row r="27" spans="1:19" ht="14.4" customHeight="1" x14ac:dyDescent="0.3">
      <c r="A27" s="496" t="s">
        <v>1029</v>
      </c>
      <c r="B27" s="497" t="s">
        <v>1030</v>
      </c>
      <c r="C27" s="497" t="s">
        <v>458</v>
      </c>
      <c r="D27" s="497" t="s">
        <v>996</v>
      </c>
      <c r="E27" s="497" t="s">
        <v>1005</v>
      </c>
      <c r="F27" s="497" t="s">
        <v>1033</v>
      </c>
      <c r="G27" s="497" t="s">
        <v>1034</v>
      </c>
      <c r="H27" s="501">
        <v>334</v>
      </c>
      <c r="I27" s="501">
        <v>101202</v>
      </c>
      <c r="J27" s="497">
        <v>0.87581348656881752</v>
      </c>
      <c r="K27" s="497">
        <v>303</v>
      </c>
      <c r="L27" s="501">
        <v>368</v>
      </c>
      <c r="M27" s="501">
        <v>115552</v>
      </c>
      <c r="N27" s="497">
        <v>1</v>
      </c>
      <c r="O27" s="497">
        <v>314</v>
      </c>
      <c r="P27" s="501">
        <v>543</v>
      </c>
      <c r="Q27" s="501">
        <v>171045</v>
      </c>
      <c r="R27" s="518">
        <v>1.4802426613126558</v>
      </c>
      <c r="S27" s="502">
        <v>315</v>
      </c>
    </row>
    <row r="28" spans="1:19" ht="14.4" customHeight="1" x14ac:dyDescent="0.3">
      <c r="A28" s="496" t="s">
        <v>1029</v>
      </c>
      <c r="B28" s="497" t="s">
        <v>1030</v>
      </c>
      <c r="C28" s="497" t="s">
        <v>458</v>
      </c>
      <c r="D28" s="497" t="s">
        <v>996</v>
      </c>
      <c r="E28" s="497" t="s">
        <v>1005</v>
      </c>
      <c r="F28" s="497" t="s">
        <v>1035</v>
      </c>
      <c r="G28" s="497" t="s">
        <v>1036</v>
      </c>
      <c r="H28" s="501">
        <v>750</v>
      </c>
      <c r="I28" s="501">
        <v>951000</v>
      </c>
      <c r="J28" s="497">
        <v>0.81097537056713698</v>
      </c>
      <c r="K28" s="497">
        <v>1268</v>
      </c>
      <c r="L28" s="501">
        <v>914</v>
      </c>
      <c r="M28" s="501">
        <v>1172662</v>
      </c>
      <c r="N28" s="497">
        <v>1</v>
      </c>
      <c r="O28" s="497">
        <v>1283</v>
      </c>
      <c r="P28" s="501">
        <v>986</v>
      </c>
      <c r="Q28" s="501">
        <v>1267010</v>
      </c>
      <c r="R28" s="518">
        <v>1.0804562610539099</v>
      </c>
      <c r="S28" s="502">
        <v>1285</v>
      </c>
    </row>
    <row r="29" spans="1:19" ht="14.4" customHeight="1" x14ac:dyDescent="0.3">
      <c r="A29" s="496" t="s">
        <v>1029</v>
      </c>
      <c r="B29" s="497" t="s">
        <v>1030</v>
      </c>
      <c r="C29" s="497" t="s">
        <v>458</v>
      </c>
      <c r="D29" s="497" t="s">
        <v>996</v>
      </c>
      <c r="E29" s="497" t="s">
        <v>1005</v>
      </c>
      <c r="F29" s="497" t="s">
        <v>1037</v>
      </c>
      <c r="G29" s="497" t="s">
        <v>1038</v>
      </c>
      <c r="H29" s="501">
        <v>21</v>
      </c>
      <c r="I29" s="501">
        <v>198366</v>
      </c>
      <c r="J29" s="497">
        <v>0.38375420044920866</v>
      </c>
      <c r="K29" s="497">
        <v>9446</v>
      </c>
      <c r="L29" s="501">
        <v>53</v>
      </c>
      <c r="M29" s="501">
        <v>516909</v>
      </c>
      <c r="N29" s="497">
        <v>1</v>
      </c>
      <c r="O29" s="497">
        <v>9753</v>
      </c>
      <c r="P29" s="501">
        <v>33</v>
      </c>
      <c r="Q29" s="501">
        <v>322146</v>
      </c>
      <c r="R29" s="518">
        <v>0.6232160786521419</v>
      </c>
      <c r="S29" s="502">
        <v>9762</v>
      </c>
    </row>
    <row r="30" spans="1:19" ht="14.4" customHeight="1" x14ac:dyDescent="0.3">
      <c r="A30" s="496" t="s">
        <v>1029</v>
      </c>
      <c r="B30" s="497" t="s">
        <v>1030</v>
      </c>
      <c r="C30" s="497" t="s">
        <v>458</v>
      </c>
      <c r="D30" s="497" t="s">
        <v>996</v>
      </c>
      <c r="E30" s="497" t="s">
        <v>1005</v>
      </c>
      <c r="F30" s="497" t="s">
        <v>1039</v>
      </c>
      <c r="G30" s="497" t="s">
        <v>1040</v>
      </c>
      <c r="H30" s="501"/>
      <c r="I30" s="501"/>
      <c r="J30" s="497"/>
      <c r="K30" s="497"/>
      <c r="L30" s="501">
        <v>2782</v>
      </c>
      <c r="M30" s="501">
        <v>1210170</v>
      </c>
      <c r="N30" s="497">
        <v>1</v>
      </c>
      <c r="O30" s="497">
        <v>435</v>
      </c>
      <c r="P30" s="501"/>
      <c r="Q30" s="501"/>
      <c r="R30" s="518"/>
      <c r="S30" s="502"/>
    </row>
    <row r="31" spans="1:19" ht="14.4" customHeight="1" x14ac:dyDescent="0.3">
      <c r="A31" s="496" t="s">
        <v>1029</v>
      </c>
      <c r="B31" s="497" t="s">
        <v>1030</v>
      </c>
      <c r="C31" s="497" t="s">
        <v>458</v>
      </c>
      <c r="D31" s="497" t="s">
        <v>996</v>
      </c>
      <c r="E31" s="497" t="s">
        <v>1005</v>
      </c>
      <c r="F31" s="497" t="s">
        <v>1041</v>
      </c>
      <c r="G31" s="497" t="s">
        <v>1042</v>
      </c>
      <c r="H31" s="501">
        <v>28</v>
      </c>
      <c r="I31" s="501">
        <v>28224</v>
      </c>
      <c r="J31" s="497">
        <v>0.11583781720575742</v>
      </c>
      <c r="K31" s="497">
        <v>1008</v>
      </c>
      <c r="L31" s="501">
        <v>241</v>
      </c>
      <c r="M31" s="501">
        <v>243651</v>
      </c>
      <c r="N31" s="497">
        <v>1</v>
      </c>
      <c r="O31" s="497">
        <v>1011</v>
      </c>
      <c r="P31" s="501">
        <v>208</v>
      </c>
      <c r="Q31" s="501">
        <v>210496</v>
      </c>
      <c r="R31" s="518">
        <v>0.86392421947785969</v>
      </c>
      <c r="S31" s="502">
        <v>1012</v>
      </c>
    </row>
    <row r="32" spans="1:19" ht="14.4" customHeight="1" x14ac:dyDescent="0.3">
      <c r="A32" s="496" t="s">
        <v>1029</v>
      </c>
      <c r="B32" s="497" t="s">
        <v>1030</v>
      </c>
      <c r="C32" s="497" t="s">
        <v>458</v>
      </c>
      <c r="D32" s="497" t="s">
        <v>996</v>
      </c>
      <c r="E32" s="497" t="s">
        <v>1005</v>
      </c>
      <c r="F32" s="497" t="s">
        <v>1043</v>
      </c>
      <c r="G32" s="497" t="s">
        <v>1044</v>
      </c>
      <c r="H32" s="501">
        <v>8317</v>
      </c>
      <c r="I32" s="501">
        <v>18829688</v>
      </c>
      <c r="J32" s="497">
        <v>0.38605181323524818</v>
      </c>
      <c r="K32" s="497">
        <v>2264</v>
      </c>
      <c r="L32" s="501">
        <v>21262</v>
      </c>
      <c r="M32" s="501">
        <v>48775028</v>
      </c>
      <c r="N32" s="497">
        <v>1</v>
      </c>
      <c r="O32" s="497">
        <v>2294</v>
      </c>
      <c r="P32" s="501">
        <v>11468</v>
      </c>
      <c r="Q32" s="501">
        <v>26341996</v>
      </c>
      <c r="R32" s="518">
        <v>0.54007136602771399</v>
      </c>
      <c r="S32" s="502">
        <v>2297</v>
      </c>
    </row>
    <row r="33" spans="1:19" ht="14.4" customHeight="1" x14ac:dyDescent="0.3">
      <c r="A33" s="496" t="s">
        <v>1029</v>
      </c>
      <c r="B33" s="497" t="s">
        <v>1030</v>
      </c>
      <c r="C33" s="497" t="s">
        <v>458</v>
      </c>
      <c r="D33" s="497" t="s">
        <v>996</v>
      </c>
      <c r="E33" s="497" t="s">
        <v>1005</v>
      </c>
      <c r="F33" s="497" t="s">
        <v>1045</v>
      </c>
      <c r="G33" s="497" t="s">
        <v>1046</v>
      </c>
      <c r="H33" s="501"/>
      <c r="I33" s="501"/>
      <c r="J33" s="497"/>
      <c r="K33" s="497"/>
      <c r="L33" s="501"/>
      <c r="M33" s="501"/>
      <c r="N33" s="497"/>
      <c r="O33" s="497"/>
      <c r="P33" s="501">
        <v>1</v>
      </c>
      <c r="Q33" s="501">
        <v>374</v>
      </c>
      <c r="R33" s="518"/>
      <c r="S33" s="502">
        <v>374</v>
      </c>
    </row>
    <row r="34" spans="1:19" ht="14.4" customHeight="1" x14ac:dyDescent="0.3">
      <c r="A34" s="496" t="s">
        <v>1029</v>
      </c>
      <c r="B34" s="497" t="s">
        <v>1030</v>
      </c>
      <c r="C34" s="497" t="s">
        <v>458</v>
      </c>
      <c r="D34" s="497" t="s">
        <v>996</v>
      </c>
      <c r="E34" s="497" t="s">
        <v>1005</v>
      </c>
      <c r="F34" s="497" t="s">
        <v>1047</v>
      </c>
      <c r="G34" s="497" t="s">
        <v>1048</v>
      </c>
      <c r="H34" s="501">
        <v>34</v>
      </c>
      <c r="I34" s="501">
        <v>17102</v>
      </c>
      <c r="J34" s="497">
        <v>0.71978114478114474</v>
      </c>
      <c r="K34" s="497">
        <v>503</v>
      </c>
      <c r="L34" s="501">
        <v>45</v>
      </c>
      <c r="M34" s="501">
        <v>23760</v>
      </c>
      <c r="N34" s="497">
        <v>1</v>
      </c>
      <c r="O34" s="497">
        <v>528</v>
      </c>
      <c r="P34" s="501">
        <v>45</v>
      </c>
      <c r="Q34" s="501">
        <v>23760</v>
      </c>
      <c r="R34" s="518">
        <v>1</v>
      </c>
      <c r="S34" s="502">
        <v>528</v>
      </c>
    </row>
    <row r="35" spans="1:19" ht="14.4" customHeight="1" x14ac:dyDescent="0.3">
      <c r="A35" s="496" t="s">
        <v>1029</v>
      </c>
      <c r="B35" s="497" t="s">
        <v>1030</v>
      </c>
      <c r="C35" s="497" t="s">
        <v>458</v>
      </c>
      <c r="D35" s="497" t="s">
        <v>996</v>
      </c>
      <c r="E35" s="497" t="s">
        <v>1005</v>
      </c>
      <c r="F35" s="497" t="s">
        <v>1049</v>
      </c>
      <c r="G35" s="497" t="s">
        <v>1050</v>
      </c>
      <c r="H35" s="501">
        <v>79</v>
      </c>
      <c r="I35" s="501">
        <v>69915</v>
      </c>
      <c r="J35" s="497">
        <v>0.92216682494460267</v>
      </c>
      <c r="K35" s="497">
        <v>885</v>
      </c>
      <c r="L35" s="501">
        <v>81</v>
      </c>
      <c r="M35" s="501">
        <v>75816</v>
      </c>
      <c r="N35" s="497">
        <v>1</v>
      </c>
      <c r="O35" s="497">
        <v>936</v>
      </c>
      <c r="P35" s="501">
        <v>88</v>
      </c>
      <c r="Q35" s="501">
        <v>82456</v>
      </c>
      <c r="R35" s="518">
        <v>1.0875804579508284</v>
      </c>
      <c r="S35" s="502">
        <v>937</v>
      </c>
    </row>
    <row r="36" spans="1:19" ht="14.4" customHeight="1" x14ac:dyDescent="0.3">
      <c r="A36" s="496" t="s">
        <v>1029</v>
      </c>
      <c r="B36" s="497" t="s">
        <v>1030</v>
      </c>
      <c r="C36" s="497" t="s">
        <v>458</v>
      </c>
      <c r="D36" s="497" t="s">
        <v>996</v>
      </c>
      <c r="E36" s="497" t="s">
        <v>1005</v>
      </c>
      <c r="F36" s="497" t="s">
        <v>1051</v>
      </c>
      <c r="G36" s="497" t="s">
        <v>1052</v>
      </c>
      <c r="H36" s="501">
        <v>255</v>
      </c>
      <c r="I36" s="501">
        <v>1680960</v>
      </c>
      <c r="J36" s="497">
        <v>0.84812157539430266</v>
      </c>
      <c r="K36" s="497">
        <v>6592</v>
      </c>
      <c r="L36" s="501">
        <v>286</v>
      </c>
      <c r="M36" s="501">
        <v>1981980</v>
      </c>
      <c r="N36" s="497">
        <v>1</v>
      </c>
      <c r="O36" s="497">
        <v>6930</v>
      </c>
      <c r="P36" s="501">
        <v>270</v>
      </c>
      <c r="Q36" s="501">
        <v>1872720</v>
      </c>
      <c r="R36" s="518">
        <v>0.94487330850967211</v>
      </c>
      <c r="S36" s="502">
        <v>6936</v>
      </c>
    </row>
    <row r="37" spans="1:19" ht="14.4" customHeight="1" x14ac:dyDescent="0.3">
      <c r="A37" s="496" t="s">
        <v>1029</v>
      </c>
      <c r="B37" s="497" t="s">
        <v>1030</v>
      </c>
      <c r="C37" s="497" t="s">
        <v>458</v>
      </c>
      <c r="D37" s="497" t="s">
        <v>996</v>
      </c>
      <c r="E37" s="497" t="s">
        <v>1005</v>
      </c>
      <c r="F37" s="497" t="s">
        <v>1053</v>
      </c>
      <c r="G37" s="497" t="s">
        <v>1054</v>
      </c>
      <c r="H37" s="501">
        <v>7</v>
      </c>
      <c r="I37" s="501">
        <v>23527</v>
      </c>
      <c r="J37" s="497">
        <v>0.60096043321668502</v>
      </c>
      <c r="K37" s="497">
        <v>3361</v>
      </c>
      <c r="L37" s="501">
        <v>11</v>
      </c>
      <c r="M37" s="501">
        <v>39149</v>
      </c>
      <c r="N37" s="497">
        <v>1</v>
      </c>
      <c r="O37" s="497">
        <v>3559</v>
      </c>
      <c r="P37" s="501">
        <v>8</v>
      </c>
      <c r="Q37" s="501">
        <v>28496</v>
      </c>
      <c r="R37" s="518">
        <v>0.72788576975146235</v>
      </c>
      <c r="S37" s="502">
        <v>3562</v>
      </c>
    </row>
    <row r="38" spans="1:19" ht="14.4" customHeight="1" x14ac:dyDescent="0.3">
      <c r="A38" s="496" t="s">
        <v>1029</v>
      </c>
      <c r="B38" s="497" t="s">
        <v>1030</v>
      </c>
      <c r="C38" s="497" t="s">
        <v>458</v>
      </c>
      <c r="D38" s="497" t="s">
        <v>996</v>
      </c>
      <c r="E38" s="497" t="s">
        <v>1005</v>
      </c>
      <c r="F38" s="497" t="s">
        <v>1055</v>
      </c>
      <c r="G38" s="497" t="s">
        <v>1056</v>
      </c>
      <c r="H38" s="501">
        <v>42</v>
      </c>
      <c r="I38" s="501">
        <v>360444</v>
      </c>
      <c r="J38" s="497">
        <v>1.1523329976502181</v>
      </c>
      <c r="K38" s="497">
        <v>8582</v>
      </c>
      <c r="L38" s="501">
        <v>35</v>
      </c>
      <c r="M38" s="501">
        <v>312795</v>
      </c>
      <c r="N38" s="497">
        <v>1</v>
      </c>
      <c r="O38" s="497">
        <v>8937</v>
      </c>
      <c r="P38" s="501">
        <v>43</v>
      </c>
      <c r="Q38" s="501">
        <v>384592</v>
      </c>
      <c r="R38" s="518">
        <v>1.2295337201681613</v>
      </c>
      <c r="S38" s="502">
        <v>8944</v>
      </c>
    </row>
    <row r="39" spans="1:19" ht="14.4" customHeight="1" x14ac:dyDescent="0.3">
      <c r="A39" s="496" t="s">
        <v>1029</v>
      </c>
      <c r="B39" s="497" t="s">
        <v>1030</v>
      </c>
      <c r="C39" s="497" t="s">
        <v>458</v>
      </c>
      <c r="D39" s="497" t="s">
        <v>996</v>
      </c>
      <c r="E39" s="497" t="s">
        <v>1005</v>
      </c>
      <c r="F39" s="497" t="s">
        <v>1057</v>
      </c>
      <c r="G39" s="497" t="s">
        <v>1058</v>
      </c>
      <c r="H39" s="501">
        <v>4</v>
      </c>
      <c r="I39" s="501">
        <v>41912</v>
      </c>
      <c r="J39" s="497">
        <v>1.2783115259096594</v>
      </c>
      <c r="K39" s="497">
        <v>10478</v>
      </c>
      <c r="L39" s="501">
        <v>3</v>
      </c>
      <c r="M39" s="501">
        <v>32787</v>
      </c>
      <c r="N39" s="497">
        <v>1</v>
      </c>
      <c r="O39" s="497">
        <v>10929</v>
      </c>
      <c r="P39" s="501">
        <v>3</v>
      </c>
      <c r="Q39" s="501">
        <v>32811</v>
      </c>
      <c r="R39" s="518">
        <v>1.0007319974380089</v>
      </c>
      <c r="S39" s="502">
        <v>10937</v>
      </c>
    </row>
    <row r="40" spans="1:19" ht="14.4" customHeight="1" x14ac:dyDescent="0.3">
      <c r="A40" s="496" t="s">
        <v>1029</v>
      </c>
      <c r="B40" s="497" t="s">
        <v>1030</v>
      </c>
      <c r="C40" s="497" t="s">
        <v>458</v>
      </c>
      <c r="D40" s="497" t="s">
        <v>996</v>
      </c>
      <c r="E40" s="497" t="s">
        <v>1005</v>
      </c>
      <c r="F40" s="497" t="s">
        <v>1059</v>
      </c>
      <c r="G40" s="497" t="s">
        <v>1060</v>
      </c>
      <c r="H40" s="501">
        <v>6</v>
      </c>
      <c r="I40" s="501">
        <v>6216</v>
      </c>
      <c r="J40" s="497">
        <v>0.51232176708151322</v>
      </c>
      <c r="K40" s="497">
        <v>1036</v>
      </c>
      <c r="L40" s="501">
        <v>11</v>
      </c>
      <c r="M40" s="501">
        <v>12133</v>
      </c>
      <c r="N40" s="497">
        <v>1</v>
      </c>
      <c r="O40" s="497">
        <v>1103</v>
      </c>
      <c r="P40" s="501">
        <v>2</v>
      </c>
      <c r="Q40" s="501">
        <v>2208</v>
      </c>
      <c r="R40" s="518">
        <v>0.18198302151158</v>
      </c>
      <c r="S40" s="502">
        <v>1104</v>
      </c>
    </row>
    <row r="41" spans="1:19" ht="14.4" customHeight="1" x14ac:dyDescent="0.3">
      <c r="A41" s="496" t="s">
        <v>1029</v>
      </c>
      <c r="B41" s="497" t="s">
        <v>1030</v>
      </c>
      <c r="C41" s="497" t="s">
        <v>458</v>
      </c>
      <c r="D41" s="497" t="s">
        <v>996</v>
      </c>
      <c r="E41" s="497" t="s">
        <v>1005</v>
      </c>
      <c r="F41" s="497" t="s">
        <v>1061</v>
      </c>
      <c r="G41" s="497" t="s">
        <v>1062</v>
      </c>
      <c r="H41" s="501">
        <v>2</v>
      </c>
      <c r="I41" s="501">
        <v>1138</v>
      </c>
      <c r="J41" s="497">
        <v>0.31453841901603097</v>
      </c>
      <c r="K41" s="497">
        <v>569</v>
      </c>
      <c r="L41" s="501">
        <v>6</v>
      </c>
      <c r="M41" s="501">
        <v>3618</v>
      </c>
      <c r="N41" s="497">
        <v>1</v>
      </c>
      <c r="O41" s="497">
        <v>603</v>
      </c>
      <c r="P41" s="501">
        <v>4</v>
      </c>
      <c r="Q41" s="501">
        <v>2412</v>
      </c>
      <c r="R41" s="518">
        <v>0.66666666666666663</v>
      </c>
      <c r="S41" s="502">
        <v>603</v>
      </c>
    </row>
    <row r="42" spans="1:19" ht="14.4" customHeight="1" x14ac:dyDescent="0.3">
      <c r="A42" s="496" t="s">
        <v>1029</v>
      </c>
      <c r="B42" s="497" t="s">
        <v>1030</v>
      </c>
      <c r="C42" s="497" t="s">
        <v>458</v>
      </c>
      <c r="D42" s="497" t="s">
        <v>996</v>
      </c>
      <c r="E42" s="497" t="s">
        <v>1005</v>
      </c>
      <c r="F42" s="497" t="s">
        <v>1063</v>
      </c>
      <c r="G42" s="497"/>
      <c r="H42" s="501"/>
      <c r="I42" s="501"/>
      <c r="J42" s="497"/>
      <c r="K42" s="497"/>
      <c r="L42" s="501"/>
      <c r="M42" s="501"/>
      <c r="N42" s="497"/>
      <c r="O42" s="497"/>
      <c r="P42" s="501">
        <v>64</v>
      </c>
      <c r="Q42" s="501">
        <v>0</v>
      </c>
      <c r="R42" s="518"/>
      <c r="S42" s="502">
        <v>0</v>
      </c>
    </row>
    <row r="43" spans="1:19" ht="14.4" customHeight="1" x14ac:dyDescent="0.3">
      <c r="A43" s="496" t="s">
        <v>1029</v>
      </c>
      <c r="B43" s="497" t="s">
        <v>1030</v>
      </c>
      <c r="C43" s="497" t="s">
        <v>458</v>
      </c>
      <c r="D43" s="497" t="s">
        <v>996</v>
      </c>
      <c r="E43" s="497" t="s">
        <v>1005</v>
      </c>
      <c r="F43" s="497" t="s">
        <v>1064</v>
      </c>
      <c r="G43" s="497" t="s">
        <v>1065</v>
      </c>
      <c r="H43" s="501"/>
      <c r="I43" s="501"/>
      <c r="J43" s="497"/>
      <c r="K43" s="497"/>
      <c r="L43" s="501"/>
      <c r="M43" s="501"/>
      <c r="N43" s="497"/>
      <c r="O43" s="497"/>
      <c r="P43" s="501">
        <v>54</v>
      </c>
      <c r="Q43" s="501">
        <v>3247128</v>
      </c>
      <c r="R43" s="518"/>
      <c r="S43" s="502">
        <v>60132</v>
      </c>
    </row>
    <row r="44" spans="1:19" ht="14.4" customHeight="1" x14ac:dyDescent="0.3">
      <c r="A44" s="496" t="s">
        <v>1029</v>
      </c>
      <c r="B44" s="497" t="s">
        <v>1030</v>
      </c>
      <c r="C44" s="497" t="s">
        <v>458</v>
      </c>
      <c r="D44" s="497" t="s">
        <v>996</v>
      </c>
      <c r="E44" s="497" t="s">
        <v>1005</v>
      </c>
      <c r="F44" s="497" t="s">
        <v>1066</v>
      </c>
      <c r="G44" s="497"/>
      <c r="H44" s="501"/>
      <c r="I44" s="501"/>
      <c r="J44" s="497"/>
      <c r="K44" s="497"/>
      <c r="L44" s="501"/>
      <c r="M44" s="501"/>
      <c r="N44" s="497"/>
      <c r="O44" s="497"/>
      <c r="P44" s="501">
        <v>6</v>
      </c>
      <c r="Q44" s="501">
        <v>0</v>
      </c>
      <c r="R44" s="518"/>
      <c r="S44" s="502">
        <v>0</v>
      </c>
    </row>
    <row r="45" spans="1:19" ht="14.4" customHeight="1" thickBot="1" x14ac:dyDescent="0.35">
      <c r="A45" s="503" t="s">
        <v>1029</v>
      </c>
      <c r="B45" s="504" t="s">
        <v>1030</v>
      </c>
      <c r="C45" s="504" t="s">
        <v>458</v>
      </c>
      <c r="D45" s="504" t="s">
        <v>996</v>
      </c>
      <c r="E45" s="504" t="s">
        <v>1005</v>
      </c>
      <c r="F45" s="504" t="s">
        <v>1067</v>
      </c>
      <c r="G45" s="504" t="s">
        <v>1068</v>
      </c>
      <c r="H45" s="508"/>
      <c r="I45" s="508"/>
      <c r="J45" s="504"/>
      <c r="K45" s="504"/>
      <c r="L45" s="508"/>
      <c r="M45" s="508"/>
      <c r="N45" s="504"/>
      <c r="O45" s="504"/>
      <c r="P45" s="508">
        <v>17</v>
      </c>
      <c r="Q45" s="508">
        <v>329460</v>
      </c>
      <c r="R45" s="520"/>
      <c r="S45" s="509">
        <v>19380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68" t="s">
        <v>127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35" t="s">
        <v>258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383362</v>
      </c>
      <c r="C3" s="222">
        <f t="shared" ref="C3:R3" si="0">SUBTOTAL(9,C6:C1048576)</f>
        <v>2.9496220193668394</v>
      </c>
      <c r="D3" s="222">
        <f t="shared" si="0"/>
        <v>814379.33000000007</v>
      </c>
      <c r="E3" s="222">
        <f t="shared" si="0"/>
        <v>9</v>
      </c>
      <c r="F3" s="222">
        <f t="shared" si="0"/>
        <v>389141</v>
      </c>
      <c r="G3" s="225">
        <f>IF(D3&lt;&gt;0,F3/D3,"")</f>
        <v>0.47783752075338154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0" t="s">
        <v>105</v>
      </c>
      <c r="B4" s="431" t="s">
        <v>99</v>
      </c>
      <c r="C4" s="432"/>
      <c r="D4" s="432"/>
      <c r="E4" s="432"/>
      <c r="F4" s="432"/>
      <c r="G4" s="434"/>
      <c r="H4" s="431" t="s">
        <v>100</v>
      </c>
      <c r="I4" s="432"/>
      <c r="J4" s="432"/>
      <c r="K4" s="432"/>
      <c r="L4" s="432"/>
      <c r="M4" s="434"/>
      <c r="N4" s="431" t="s">
        <v>101</v>
      </c>
      <c r="O4" s="432"/>
      <c r="P4" s="432"/>
      <c r="Q4" s="432"/>
      <c r="R4" s="432"/>
      <c r="S4" s="434"/>
    </row>
    <row r="5" spans="1:19" ht="14.4" customHeight="1" thickBot="1" x14ac:dyDescent="0.35">
      <c r="A5" s="590"/>
      <c r="B5" s="591">
        <v>2015</v>
      </c>
      <c r="C5" s="592"/>
      <c r="D5" s="592">
        <v>2016</v>
      </c>
      <c r="E5" s="592"/>
      <c r="F5" s="592">
        <v>2017</v>
      </c>
      <c r="G5" s="630" t="s">
        <v>2</v>
      </c>
      <c r="H5" s="591">
        <v>2015</v>
      </c>
      <c r="I5" s="592"/>
      <c r="J5" s="592">
        <v>2016</v>
      </c>
      <c r="K5" s="592"/>
      <c r="L5" s="592">
        <v>2017</v>
      </c>
      <c r="M5" s="630" t="s">
        <v>2</v>
      </c>
      <c r="N5" s="591">
        <v>2015</v>
      </c>
      <c r="O5" s="592"/>
      <c r="P5" s="592">
        <v>2016</v>
      </c>
      <c r="Q5" s="592"/>
      <c r="R5" s="592">
        <v>2017</v>
      </c>
      <c r="S5" s="630" t="s">
        <v>2</v>
      </c>
    </row>
    <row r="6" spans="1:19" ht="14.4" customHeight="1" x14ac:dyDescent="0.3">
      <c r="A6" s="580" t="s">
        <v>1071</v>
      </c>
      <c r="B6" s="612">
        <v>1448</v>
      </c>
      <c r="C6" s="556"/>
      <c r="D6" s="612"/>
      <c r="E6" s="556"/>
      <c r="F6" s="612"/>
      <c r="G6" s="561"/>
      <c r="H6" s="612"/>
      <c r="I6" s="556"/>
      <c r="J6" s="612"/>
      <c r="K6" s="556"/>
      <c r="L6" s="612"/>
      <c r="M6" s="561"/>
      <c r="N6" s="612"/>
      <c r="O6" s="556"/>
      <c r="P6" s="612"/>
      <c r="Q6" s="556"/>
      <c r="R6" s="612"/>
      <c r="S6" s="122"/>
    </row>
    <row r="7" spans="1:19" ht="14.4" customHeight="1" x14ac:dyDescent="0.3">
      <c r="A7" s="581" t="s">
        <v>1072</v>
      </c>
      <c r="B7" s="614"/>
      <c r="C7" s="497"/>
      <c r="D7" s="614">
        <v>1519</v>
      </c>
      <c r="E7" s="497">
        <v>1</v>
      </c>
      <c r="F7" s="614">
        <v>62963</v>
      </c>
      <c r="G7" s="518">
        <v>41.45029624753127</v>
      </c>
      <c r="H7" s="614"/>
      <c r="I7" s="497"/>
      <c r="J7" s="614"/>
      <c r="K7" s="497"/>
      <c r="L7" s="614"/>
      <c r="M7" s="518"/>
      <c r="N7" s="614"/>
      <c r="O7" s="497"/>
      <c r="P7" s="614"/>
      <c r="Q7" s="497"/>
      <c r="R7" s="614"/>
      <c r="S7" s="519"/>
    </row>
    <row r="8" spans="1:19" ht="14.4" customHeight="1" x14ac:dyDescent="0.3">
      <c r="A8" s="581" t="s">
        <v>1073</v>
      </c>
      <c r="B8" s="614"/>
      <c r="C8" s="497"/>
      <c r="D8" s="614">
        <v>33.33</v>
      </c>
      <c r="E8" s="497">
        <v>1</v>
      </c>
      <c r="F8" s="614"/>
      <c r="G8" s="518"/>
      <c r="H8" s="614"/>
      <c r="I8" s="497"/>
      <c r="J8" s="614"/>
      <c r="K8" s="497"/>
      <c r="L8" s="614"/>
      <c r="M8" s="518"/>
      <c r="N8" s="614"/>
      <c r="O8" s="497"/>
      <c r="P8" s="614"/>
      <c r="Q8" s="497"/>
      <c r="R8" s="614"/>
      <c r="S8" s="519"/>
    </row>
    <row r="9" spans="1:19" ht="14.4" customHeight="1" x14ac:dyDescent="0.3">
      <c r="A9" s="581" t="s">
        <v>1074</v>
      </c>
      <c r="B9" s="614">
        <v>99113</v>
      </c>
      <c r="C9" s="497">
        <v>0.22028831535992746</v>
      </c>
      <c r="D9" s="614">
        <v>449924</v>
      </c>
      <c r="E9" s="497">
        <v>1</v>
      </c>
      <c r="F9" s="614">
        <v>85613</v>
      </c>
      <c r="G9" s="518">
        <v>0.19028324783741254</v>
      </c>
      <c r="H9" s="614"/>
      <c r="I9" s="497"/>
      <c r="J9" s="614"/>
      <c r="K9" s="497"/>
      <c r="L9" s="614"/>
      <c r="M9" s="518"/>
      <c r="N9" s="614"/>
      <c r="O9" s="497"/>
      <c r="P9" s="614"/>
      <c r="Q9" s="497"/>
      <c r="R9" s="614"/>
      <c r="S9" s="519"/>
    </row>
    <row r="10" spans="1:19" ht="14.4" customHeight="1" x14ac:dyDescent="0.3">
      <c r="A10" s="581" t="s">
        <v>1075</v>
      </c>
      <c r="B10" s="614">
        <v>250242</v>
      </c>
      <c r="C10" s="497">
        <v>0.91378888519669454</v>
      </c>
      <c r="D10" s="614">
        <v>273851</v>
      </c>
      <c r="E10" s="497">
        <v>1</v>
      </c>
      <c r="F10" s="614">
        <v>69993</v>
      </c>
      <c r="G10" s="518">
        <v>0.25558789268616877</v>
      </c>
      <c r="H10" s="614"/>
      <c r="I10" s="497"/>
      <c r="J10" s="614"/>
      <c r="K10" s="497"/>
      <c r="L10" s="614"/>
      <c r="M10" s="518"/>
      <c r="N10" s="614"/>
      <c r="O10" s="497"/>
      <c r="P10" s="614"/>
      <c r="Q10" s="497"/>
      <c r="R10" s="614"/>
      <c r="S10" s="519"/>
    </row>
    <row r="11" spans="1:19" ht="14.4" customHeight="1" x14ac:dyDescent="0.3">
      <c r="A11" s="581" t="s">
        <v>1076</v>
      </c>
      <c r="B11" s="614">
        <v>11044</v>
      </c>
      <c r="C11" s="497">
        <v>0.34604417985273384</v>
      </c>
      <c r="D11" s="614">
        <v>31915</v>
      </c>
      <c r="E11" s="497">
        <v>1</v>
      </c>
      <c r="F11" s="614">
        <v>108952</v>
      </c>
      <c r="G11" s="518">
        <v>3.4138179539401534</v>
      </c>
      <c r="H11" s="614"/>
      <c r="I11" s="497"/>
      <c r="J11" s="614"/>
      <c r="K11" s="497"/>
      <c r="L11" s="614"/>
      <c r="M11" s="518"/>
      <c r="N11" s="614"/>
      <c r="O11" s="497"/>
      <c r="P11" s="614"/>
      <c r="Q11" s="497"/>
      <c r="R11" s="614"/>
      <c r="S11" s="519"/>
    </row>
    <row r="12" spans="1:19" ht="14.4" customHeight="1" x14ac:dyDescent="0.3">
      <c r="A12" s="581" t="s">
        <v>1077</v>
      </c>
      <c r="B12" s="614">
        <v>18799</v>
      </c>
      <c r="C12" s="497">
        <v>0.37345544121737057</v>
      </c>
      <c r="D12" s="614">
        <v>50338</v>
      </c>
      <c r="E12" s="497">
        <v>1</v>
      </c>
      <c r="F12" s="614">
        <v>55775</v>
      </c>
      <c r="G12" s="518">
        <v>1.1080098533910763</v>
      </c>
      <c r="H12" s="614"/>
      <c r="I12" s="497"/>
      <c r="J12" s="614"/>
      <c r="K12" s="497"/>
      <c r="L12" s="614"/>
      <c r="M12" s="518"/>
      <c r="N12" s="614"/>
      <c r="O12" s="497"/>
      <c r="P12" s="614"/>
      <c r="Q12" s="497"/>
      <c r="R12" s="614"/>
      <c r="S12" s="519"/>
    </row>
    <row r="13" spans="1:19" ht="14.4" customHeight="1" x14ac:dyDescent="0.3">
      <c r="A13" s="581" t="s">
        <v>1078</v>
      </c>
      <c r="B13" s="614"/>
      <c r="C13" s="497"/>
      <c r="D13" s="614"/>
      <c r="E13" s="497"/>
      <c r="F13" s="614">
        <v>1520</v>
      </c>
      <c r="G13" s="518"/>
      <c r="H13" s="614"/>
      <c r="I13" s="497"/>
      <c r="J13" s="614"/>
      <c r="K13" s="497"/>
      <c r="L13" s="614"/>
      <c r="M13" s="518"/>
      <c r="N13" s="614"/>
      <c r="O13" s="497"/>
      <c r="P13" s="614"/>
      <c r="Q13" s="497"/>
      <c r="R13" s="614"/>
      <c r="S13" s="519"/>
    </row>
    <row r="14" spans="1:19" ht="14.4" customHeight="1" x14ac:dyDescent="0.3">
      <c r="A14" s="581" t="s">
        <v>1079</v>
      </c>
      <c r="B14" s="614"/>
      <c r="C14" s="497"/>
      <c r="D14" s="614">
        <v>1519</v>
      </c>
      <c r="E14" s="497">
        <v>1</v>
      </c>
      <c r="F14" s="614"/>
      <c r="G14" s="518"/>
      <c r="H14" s="614"/>
      <c r="I14" s="497"/>
      <c r="J14" s="614"/>
      <c r="K14" s="497"/>
      <c r="L14" s="614"/>
      <c r="M14" s="518"/>
      <c r="N14" s="614"/>
      <c r="O14" s="497"/>
      <c r="P14" s="614"/>
      <c r="Q14" s="497"/>
      <c r="R14" s="614"/>
      <c r="S14" s="519"/>
    </row>
    <row r="15" spans="1:19" ht="14.4" customHeight="1" x14ac:dyDescent="0.3">
      <c r="A15" s="581" t="s">
        <v>1080</v>
      </c>
      <c r="B15" s="614">
        <v>2716</v>
      </c>
      <c r="C15" s="497">
        <v>1.0960451977401129</v>
      </c>
      <c r="D15" s="614">
        <v>2478</v>
      </c>
      <c r="E15" s="497">
        <v>1</v>
      </c>
      <c r="F15" s="614">
        <v>4325</v>
      </c>
      <c r="G15" s="518">
        <v>1.7453591606133978</v>
      </c>
      <c r="H15" s="614"/>
      <c r="I15" s="497"/>
      <c r="J15" s="614"/>
      <c r="K15" s="497"/>
      <c r="L15" s="614"/>
      <c r="M15" s="518"/>
      <c r="N15" s="614"/>
      <c r="O15" s="497"/>
      <c r="P15" s="614"/>
      <c r="Q15" s="497"/>
      <c r="R15" s="614"/>
      <c r="S15" s="519"/>
    </row>
    <row r="16" spans="1:19" ht="14.4" customHeight="1" thickBot="1" x14ac:dyDescent="0.35">
      <c r="A16" s="618" t="s">
        <v>1081</v>
      </c>
      <c r="B16" s="616"/>
      <c r="C16" s="504"/>
      <c r="D16" s="616">
        <v>2802</v>
      </c>
      <c r="E16" s="504">
        <v>1</v>
      </c>
      <c r="F16" s="616"/>
      <c r="G16" s="520"/>
      <c r="H16" s="616"/>
      <c r="I16" s="504"/>
      <c r="J16" s="616"/>
      <c r="K16" s="504"/>
      <c r="L16" s="616"/>
      <c r="M16" s="520"/>
      <c r="N16" s="616"/>
      <c r="O16" s="504"/>
      <c r="P16" s="616"/>
      <c r="Q16" s="504"/>
      <c r="R16" s="616"/>
      <c r="S16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56" t="s">
        <v>1094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258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187</v>
      </c>
      <c r="G3" s="103">
        <f t="shared" si="0"/>
        <v>383362</v>
      </c>
      <c r="H3" s="103"/>
      <c r="I3" s="103"/>
      <c r="J3" s="103">
        <f t="shared" si="0"/>
        <v>393</v>
      </c>
      <c r="K3" s="103">
        <f t="shared" si="0"/>
        <v>814379.33000000007</v>
      </c>
      <c r="L3" s="103"/>
      <c r="M3" s="103"/>
      <c r="N3" s="103">
        <f t="shared" si="0"/>
        <v>188</v>
      </c>
      <c r="O3" s="103">
        <f t="shared" si="0"/>
        <v>389141</v>
      </c>
      <c r="P3" s="75">
        <f>IF(K3=0,0,O3/K3)</f>
        <v>0.47783752075338154</v>
      </c>
      <c r="Q3" s="104">
        <f>IF(N3=0,0,O3/N3)</f>
        <v>2069.8989361702129</v>
      </c>
    </row>
    <row r="4" spans="1:17" ht="14.4" customHeight="1" x14ac:dyDescent="0.3">
      <c r="A4" s="439" t="s">
        <v>69</v>
      </c>
      <c r="B4" s="437" t="s">
        <v>95</v>
      </c>
      <c r="C4" s="439" t="s">
        <v>96</v>
      </c>
      <c r="D4" s="448" t="s">
        <v>97</v>
      </c>
      <c r="E4" s="440" t="s">
        <v>70</v>
      </c>
      <c r="F4" s="446">
        <v>2015</v>
      </c>
      <c r="G4" s="447"/>
      <c r="H4" s="105"/>
      <c r="I4" s="105"/>
      <c r="J4" s="446">
        <v>2016</v>
      </c>
      <c r="K4" s="447"/>
      <c r="L4" s="105"/>
      <c r="M4" s="105"/>
      <c r="N4" s="446">
        <v>2017</v>
      </c>
      <c r="O4" s="447"/>
      <c r="P4" s="449" t="s">
        <v>2</v>
      </c>
      <c r="Q4" s="438" t="s">
        <v>98</v>
      </c>
    </row>
    <row r="5" spans="1:17" ht="14.4" customHeight="1" thickBot="1" x14ac:dyDescent="0.35">
      <c r="A5" s="621"/>
      <c r="B5" s="619"/>
      <c r="C5" s="621"/>
      <c r="D5" s="631"/>
      <c r="E5" s="623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28"/>
    </row>
    <row r="6" spans="1:17" ht="14.4" customHeight="1" x14ac:dyDescent="0.3">
      <c r="A6" s="555" t="s">
        <v>1082</v>
      </c>
      <c r="B6" s="556" t="s">
        <v>1010</v>
      </c>
      <c r="C6" s="556" t="s">
        <v>1005</v>
      </c>
      <c r="D6" s="556" t="s">
        <v>1021</v>
      </c>
      <c r="E6" s="556" t="s">
        <v>1022</v>
      </c>
      <c r="F6" s="116">
        <v>1</v>
      </c>
      <c r="G6" s="116">
        <v>1448</v>
      </c>
      <c r="H6" s="116"/>
      <c r="I6" s="116">
        <v>1448</v>
      </c>
      <c r="J6" s="116"/>
      <c r="K6" s="116"/>
      <c r="L6" s="116"/>
      <c r="M6" s="116"/>
      <c r="N6" s="116"/>
      <c r="O6" s="116"/>
      <c r="P6" s="561"/>
      <c r="Q6" s="572"/>
    </row>
    <row r="7" spans="1:17" ht="14.4" customHeight="1" x14ac:dyDescent="0.3">
      <c r="A7" s="496" t="s">
        <v>1083</v>
      </c>
      <c r="B7" s="497" t="s">
        <v>1010</v>
      </c>
      <c r="C7" s="497" t="s">
        <v>1005</v>
      </c>
      <c r="D7" s="497" t="s">
        <v>1013</v>
      </c>
      <c r="E7" s="497" t="s">
        <v>1014</v>
      </c>
      <c r="F7" s="501"/>
      <c r="G7" s="501"/>
      <c r="H7" s="501"/>
      <c r="I7" s="501"/>
      <c r="J7" s="501"/>
      <c r="K7" s="501"/>
      <c r="L7" s="501"/>
      <c r="M7" s="501"/>
      <c r="N7" s="501">
        <v>1</v>
      </c>
      <c r="O7" s="501">
        <v>2480</v>
      </c>
      <c r="P7" s="518"/>
      <c r="Q7" s="502">
        <v>2480</v>
      </c>
    </row>
    <row r="8" spans="1:17" ht="14.4" customHeight="1" x14ac:dyDescent="0.3">
      <c r="A8" s="496" t="s">
        <v>1083</v>
      </c>
      <c r="B8" s="497" t="s">
        <v>1010</v>
      </c>
      <c r="C8" s="497" t="s">
        <v>1005</v>
      </c>
      <c r="D8" s="497" t="s">
        <v>1017</v>
      </c>
      <c r="E8" s="497" t="s">
        <v>1018</v>
      </c>
      <c r="F8" s="501"/>
      <c r="G8" s="501"/>
      <c r="H8" s="501"/>
      <c r="I8" s="501"/>
      <c r="J8" s="501"/>
      <c r="K8" s="501"/>
      <c r="L8" s="501"/>
      <c r="M8" s="501"/>
      <c r="N8" s="501">
        <v>1</v>
      </c>
      <c r="O8" s="501">
        <v>351</v>
      </c>
      <c r="P8" s="518"/>
      <c r="Q8" s="502">
        <v>351</v>
      </c>
    </row>
    <row r="9" spans="1:17" ht="14.4" customHeight="1" x14ac:dyDescent="0.3">
      <c r="A9" s="496" t="s">
        <v>1083</v>
      </c>
      <c r="B9" s="497" t="s">
        <v>1010</v>
      </c>
      <c r="C9" s="497" t="s">
        <v>1005</v>
      </c>
      <c r="D9" s="497" t="s">
        <v>1021</v>
      </c>
      <c r="E9" s="497" t="s">
        <v>1022</v>
      </c>
      <c r="F9" s="501"/>
      <c r="G9" s="501"/>
      <c r="H9" s="501"/>
      <c r="I9" s="501"/>
      <c r="J9" s="501">
        <v>1</v>
      </c>
      <c r="K9" s="501">
        <v>1519</v>
      </c>
      <c r="L9" s="501">
        <v>1</v>
      </c>
      <c r="M9" s="501">
        <v>1519</v>
      </c>
      <c r="N9" s="501"/>
      <c r="O9" s="501"/>
      <c r="P9" s="518"/>
      <c r="Q9" s="502"/>
    </row>
    <row r="10" spans="1:17" ht="14.4" customHeight="1" x14ac:dyDescent="0.3">
      <c r="A10" s="496" t="s">
        <v>1083</v>
      </c>
      <c r="B10" s="497" t="s">
        <v>1030</v>
      </c>
      <c r="C10" s="497" t="s">
        <v>1005</v>
      </c>
      <c r="D10" s="497" t="s">
        <v>1063</v>
      </c>
      <c r="E10" s="497"/>
      <c r="F10" s="501"/>
      <c r="G10" s="501"/>
      <c r="H10" s="501"/>
      <c r="I10" s="501"/>
      <c r="J10" s="501"/>
      <c r="K10" s="501"/>
      <c r="L10" s="501"/>
      <c r="M10" s="501"/>
      <c r="N10" s="501">
        <v>1</v>
      </c>
      <c r="O10" s="501">
        <v>0</v>
      </c>
      <c r="P10" s="518"/>
      <c r="Q10" s="502">
        <v>0</v>
      </c>
    </row>
    <row r="11" spans="1:17" ht="14.4" customHeight="1" x14ac:dyDescent="0.3">
      <c r="A11" s="496" t="s">
        <v>1083</v>
      </c>
      <c r="B11" s="497" t="s">
        <v>1030</v>
      </c>
      <c r="C11" s="497" t="s">
        <v>1005</v>
      </c>
      <c r="D11" s="497" t="s">
        <v>1064</v>
      </c>
      <c r="E11" s="497" t="s">
        <v>1065</v>
      </c>
      <c r="F11" s="501"/>
      <c r="G11" s="501"/>
      <c r="H11" s="501"/>
      <c r="I11" s="501"/>
      <c r="J11" s="501"/>
      <c r="K11" s="501"/>
      <c r="L11" s="501"/>
      <c r="M11" s="501"/>
      <c r="N11" s="501">
        <v>1</v>
      </c>
      <c r="O11" s="501">
        <v>60132</v>
      </c>
      <c r="P11" s="518"/>
      <c r="Q11" s="502">
        <v>60132</v>
      </c>
    </row>
    <row r="12" spans="1:17" ht="14.4" customHeight="1" x14ac:dyDescent="0.3">
      <c r="A12" s="496" t="s">
        <v>1084</v>
      </c>
      <c r="B12" s="497" t="s">
        <v>1010</v>
      </c>
      <c r="C12" s="497" t="s">
        <v>1005</v>
      </c>
      <c r="D12" s="497" t="s">
        <v>1019</v>
      </c>
      <c r="E12" s="497" t="s">
        <v>1020</v>
      </c>
      <c r="F12" s="501"/>
      <c r="G12" s="501"/>
      <c r="H12" s="501"/>
      <c r="I12" s="501"/>
      <c r="J12" s="501">
        <v>1</v>
      </c>
      <c r="K12" s="501">
        <v>33.33</v>
      </c>
      <c r="L12" s="501">
        <v>1</v>
      </c>
      <c r="M12" s="501">
        <v>33.33</v>
      </c>
      <c r="N12" s="501"/>
      <c r="O12" s="501"/>
      <c r="P12" s="518"/>
      <c r="Q12" s="502"/>
    </row>
    <row r="13" spans="1:17" ht="14.4" customHeight="1" x14ac:dyDescent="0.3">
      <c r="A13" s="496" t="s">
        <v>1085</v>
      </c>
      <c r="B13" s="497" t="s">
        <v>1010</v>
      </c>
      <c r="C13" s="497" t="s">
        <v>1005</v>
      </c>
      <c r="D13" s="497" t="s">
        <v>1013</v>
      </c>
      <c r="E13" s="497" t="s">
        <v>1014</v>
      </c>
      <c r="F13" s="501"/>
      <c r="G13" s="501"/>
      <c r="H13" s="501"/>
      <c r="I13" s="501"/>
      <c r="J13" s="501">
        <v>2</v>
      </c>
      <c r="K13" s="501">
        <v>4956</v>
      </c>
      <c r="L13" s="501">
        <v>1</v>
      </c>
      <c r="M13" s="501">
        <v>2478</v>
      </c>
      <c r="N13" s="501"/>
      <c r="O13" s="501"/>
      <c r="P13" s="518"/>
      <c r="Q13" s="502"/>
    </row>
    <row r="14" spans="1:17" ht="14.4" customHeight="1" x14ac:dyDescent="0.3">
      <c r="A14" s="496" t="s">
        <v>1085</v>
      </c>
      <c r="B14" s="497" t="s">
        <v>1010</v>
      </c>
      <c r="C14" s="497" t="s">
        <v>1005</v>
      </c>
      <c r="D14" s="497" t="s">
        <v>1017</v>
      </c>
      <c r="E14" s="497" t="s">
        <v>1018</v>
      </c>
      <c r="F14" s="501">
        <v>3</v>
      </c>
      <c r="G14" s="501">
        <v>981</v>
      </c>
      <c r="H14" s="501">
        <v>0.40040816326530615</v>
      </c>
      <c r="I14" s="501">
        <v>327</v>
      </c>
      <c r="J14" s="501">
        <v>7</v>
      </c>
      <c r="K14" s="501">
        <v>2450</v>
      </c>
      <c r="L14" s="501">
        <v>1</v>
      </c>
      <c r="M14" s="501">
        <v>350</v>
      </c>
      <c r="N14" s="501">
        <v>1</v>
      </c>
      <c r="O14" s="501">
        <v>351</v>
      </c>
      <c r="P14" s="518">
        <v>0.14326530612244898</v>
      </c>
      <c r="Q14" s="502">
        <v>351</v>
      </c>
    </row>
    <row r="15" spans="1:17" ht="14.4" customHeight="1" x14ac:dyDescent="0.3">
      <c r="A15" s="496" t="s">
        <v>1085</v>
      </c>
      <c r="B15" s="497" t="s">
        <v>1010</v>
      </c>
      <c r="C15" s="497" t="s">
        <v>1005</v>
      </c>
      <c r="D15" s="497" t="s">
        <v>1021</v>
      </c>
      <c r="E15" s="497" t="s">
        <v>1022</v>
      </c>
      <c r="F15" s="501">
        <v>3</v>
      </c>
      <c r="G15" s="501">
        <v>4344</v>
      </c>
      <c r="H15" s="501">
        <v>0.47662936142198814</v>
      </c>
      <c r="I15" s="501">
        <v>1448</v>
      </c>
      <c r="J15" s="501">
        <v>6</v>
      </c>
      <c r="K15" s="501">
        <v>9114</v>
      </c>
      <c r="L15" s="501">
        <v>1</v>
      </c>
      <c r="M15" s="501">
        <v>1519</v>
      </c>
      <c r="N15" s="501"/>
      <c r="O15" s="501"/>
      <c r="P15" s="518"/>
      <c r="Q15" s="502"/>
    </row>
    <row r="16" spans="1:17" ht="14.4" customHeight="1" x14ac:dyDescent="0.3">
      <c r="A16" s="496" t="s">
        <v>1085</v>
      </c>
      <c r="B16" s="497" t="s">
        <v>1030</v>
      </c>
      <c r="C16" s="497" t="s">
        <v>1005</v>
      </c>
      <c r="D16" s="497" t="s">
        <v>1033</v>
      </c>
      <c r="E16" s="497" t="s">
        <v>1034</v>
      </c>
      <c r="F16" s="501">
        <v>2</v>
      </c>
      <c r="G16" s="501">
        <v>606</v>
      </c>
      <c r="H16" s="501">
        <v>0.96496815286624205</v>
      </c>
      <c r="I16" s="501">
        <v>303</v>
      </c>
      <c r="J16" s="501">
        <v>2</v>
      </c>
      <c r="K16" s="501">
        <v>628</v>
      </c>
      <c r="L16" s="501">
        <v>1</v>
      </c>
      <c r="M16" s="501">
        <v>314</v>
      </c>
      <c r="N16" s="501"/>
      <c r="O16" s="501"/>
      <c r="P16" s="518"/>
      <c r="Q16" s="502"/>
    </row>
    <row r="17" spans="1:17" ht="14.4" customHeight="1" x14ac:dyDescent="0.3">
      <c r="A17" s="496" t="s">
        <v>1085</v>
      </c>
      <c r="B17" s="497" t="s">
        <v>1030</v>
      </c>
      <c r="C17" s="497" t="s">
        <v>1005</v>
      </c>
      <c r="D17" s="497" t="s">
        <v>1035</v>
      </c>
      <c r="E17" s="497" t="s">
        <v>1036</v>
      </c>
      <c r="F17" s="501">
        <v>2</v>
      </c>
      <c r="G17" s="501">
        <v>2536</v>
      </c>
      <c r="H17" s="501">
        <v>0.17969248210869412</v>
      </c>
      <c r="I17" s="501">
        <v>1268</v>
      </c>
      <c r="J17" s="501">
        <v>11</v>
      </c>
      <c r="K17" s="501">
        <v>14113</v>
      </c>
      <c r="L17" s="501">
        <v>1</v>
      </c>
      <c r="M17" s="501">
        <v>1283</v>
      </c>
      <c r="N17" s="501">
        <v>2</v>
      </c>
      <c r="O17" s="501">
        <v>2570</v>
      </c>
      <c r="P17" s="518">
        <v>0.18210160844611351</v>
      </c>
      <c r="Q17" s="502">
        <v>1285</v>
      </c>
    </row>
    <row r="18" spans="1:17" ht="14.4" customHeight="1" x14ac:dyDescent="0.3">
      <c r="A18" s="496" t="s">
        <v>1085</v>
      </c>
      <c r="B18" s="497" t="s">
        <v>1030</v>
      </c>
      <c r="C18" s="497" t="s">
        <v>1005</v>
      </c>
      <c r="D18" s="497" t="s">
        <v>1043</v>
      </c>
      <c r="E18" s="497" t="s">
        <v>1044</v>
      </c>
      <c r="F18" s="501">
        <v>30</v>
      </c>
      <c r="G18" s="501">
        <v>67920</v>
      </c>
      <c r="H18" s="501">
        <v>0.17416277757833734</v>
      </c>
      <c r="I18" s="501">
        <v>2264</v>
      </c>
      <c r="J18" s="501">
        <v>170</v>
      </c>
      <c r="K18" s="501">
        <v>389980</v>
      </c>
      <c r="L18" s="501">
        <v>1</v>
      </c>
      <c r="M18" s="501">
        <v>2294</v>
      </c>
      <c r="N18" s="501">
        <v>36</v>
      </c>
      <c r="O18" s="501">
        <v>82692</v>
      </c>
      <c r="P18" s="518">
        <v>0.21204164316118776</v>
      </c>
      <c r="Q18" s="502">
        <v>2297</v>
      </c>
    </row>
    <row r="19" spans="1:17" ht="14.4" customHeight="1" x14ac:dyDescent="0.3">
      <c r="A19" s="496" t="s">
        <v>1085</v>
      </c>
      <c r="B19" s="497" t="s">
        <v>1030</v>
      </c>
      <c r="C19" s="497" t="s">
        <v>1005</v>
      </c>
      <c r="D19" s="497" t="s">
        <v>1049</v>
      </c>
      <c r="E19" s="497" t="s">
        <v>1050</v>
      </c>
      <c r="F19" s="501">
        <v>2</v>
      </c>
      <c r="G19" s="501">
        <v>1770</v>
      </c>
      <c r="H19" s="501">
        <v>0.94551282051282048</v>
      </c>
      <c r="I19" s="501">
        <v>885</v>
      </c>
      <c r="J19" s="501">
        <v>2</v>
      </c>
      <c r="K19" s="501">
        <v>1872</v>
      </c>
      <c r="L19" s="501">
        <v>1</v>
      </c>
      <c r="M19" s="501">
        <v>936</v>
      </c>
      <c r="N19" s="501"/>
      <c r="O19" s="501"/>
      <c r="P19" s="518"/>
      <c r="Q19" s="502"/>
    </row>
    <row r="20" spans="1:17" ht="14.4" customHeight="1" x14ac:dyDescent="0.3">
      <c r="A20" s="496" t="s">
        <v>1085</v>
      </c>
      <c r="B20" s="497" t="s">
        <v>1030</v>
      </c>
      <c r="C20" s="497" t="s">
        <v>1005</v>
      </c>
      <c r="D20" s="497" t="s">
        <v>1055</v>
      </c>
      <c r="E20" s="497" t="s">
        <v>1056</v>
      </c>
      <c r="F20" s="501"/>
      <c r="G20" s="501"/>
      <c r="H20" s="501"/>
      <c r="I20" s="501"/>
      <c r="J20" s="501">
        <v>3</v>
      </c>
      <c r="K20" s="501">
        <v>26811</v>
      </c>
      <c r="L20" s="501">
        <v>1</v>
      </c>
      <c r="M20" s="501">
        <v>8937</v>
      </c>
      <c r="N20" s="501"/>
      <c r="O20" s="501"/>
      <c r="P20" s="518"/>
      <c r="Q20" s="502"/>
    </row>
    <row r="21" spans="1:17" ht="14.4" customHeight="1" x14ac:dyDescent="0.3">
      <c r="A21" s="496" t="s">
        <v>1085</v>
      </c>
      <c r="B21" s="497" t="s">
        <v>1030</v>
      </c>
      <c r="C21" s="497" t="s">
        <v>1005</v>
      </c>
      <c r="D21" s="497" t="s">
        <v>1057</v>
      </c>
      <c r="E21" s="497" t="s">
        <v>1058</v>
      </c>
      <c r="F21" s="501">
        <v>2</v>
      </c>
      <c r="G21" s="501">
        <v>20956</v>
      </c>
      <c r="H21" s="501"/>
      <c r="I21" s="501">
        <v>10478</v>
      </c>
      <c r="J21" s="501"/>
      <c r="K21" s="501"/>
      <c r="L21" s="501"/>
      <c r="M21" s="501"/>
      <c r="N21" s="501"/>
      <c r="O21" s="501"/>
      <c r="P21" s="518"/>
      <c r="Q21" s="502"/>
    </row>
    <row r="22" spans="1:17" ht="14.4" customHeight="1" x14ac:dyDescent="0.3">
      <c r="A22" s="496" t="s">
        <v>1029</v>
      </c>
      <c r="B22" s="497" t="s">
        <v>1010</v>
      </c>
      <c r="C22" s="497" t="s">
        <v>1005</v>
      </c>
      <c r="D22" s="497" t="s">
        <v>1013</v>
      </c>
      <c r="E22" s="497" t="s">
        <v>1014</v>
      </c>
      <c r="F22" s="501">
        <v>4</v>
      </c>
      <c r="G22" s="501">
        <v>9344</v>
      </c>
      <c r="H22" s="501">
        <v>0.94269572235673926</v>
      </c>
      <c r="I22" s="501">
        <v>2336</v>
      </c>
      <c r="J22" s="501">
        <v>4</v>
      </c>
      <c r="K22" s="501">
        <v>9912</v>
      </c>
      <c r="L22" s="501">
        <v>1</v>
      </c>
      <c r="M22" s="501">
        <v>2478</v>
      </c>
      <c r="N22" s="501">
        <v>1</v>
      </c>
      <c r="O22" s="501">
        <v>2480</v>
      </c>
      <c r="P22" s="518">
        <v>0.25020177562550444</v>
      </c>
      <c r="Q22" s="502">
        <v>2480</v>
      </c>
    </row>
    <row r="23" spans="1:17" ht="14.4" customHeight="1" x14ac:dyDescent="0.3">
      <c r="A23" s="496" t="s">
        <v>1029</v>
      </c>
      <c r="B23" s="497" t="s">
        <v>1010</v>
      </c>
      <c r="C23" s="497" t="s">
        <v>1005</v>
      </c>
      <c r="D23" s="497" t="s">
        <v>1017</v>
      </c>
      <c r="E23" s="497" t="s">
        <v>1018</v>
      </c>
      <c r="F23" s="501">
        <v>12</v>
      </c>
      <c r="G23" s="501">
        <v>3924</v>
      </c>
      <c r="H23" s="501">
        <v>1.0192207792207792</v>
      </c>
      <c r="I23" s="501">
        <v>327</v>
      </c>
      <c r="J23" s="501">
        <v>11</v>
      </c>
      <c r="K23" s="501">
        <v>3850</v>
      </c>
      <c r="L23" s="501">
        <v>1</v>
      </c>
      <c r="M23" s="501">
        <v>350</v>
      </c>
      <c r="N23" s="501">
        <v>7</v>
      </c>
      <c r="O23" s="501">
        <v>2457</v>
      </c>
      <c r="P23" s="518">
        <v>0.63818181818181818</v>
      </c>
      <c r="Q23" s="502">
        <v>351</v>
      </c>
    </row>
    <row r="24" spans="1:17" ht="14.4" customHeight="1" x14ac:dyDescent="0.3">
      <c r="A24" s="496" t="s">
        <v>1029</v>
      </c>
      <c r="B24" s="497" t="s">
        <v>1010</v>
      </c>
      <c r="C24" s="497" t="s">
        <v>1005</v>
      </c>
      <c r="D24" s="497" t="s">
        <v>1021</v>
      </c>
      <c r="E24" s="497" t="s">
        <v>1022</v>
      </c>
      <c r="F24" s="501">
        <v>7</v>
      </c>
      <c r="G24" s="501">
        <v>10136</v>
      </c>
      <c r="H24" s="501">
        <v>0.41705069124423966</v>
      </c>
      <c r="I24" s="501">
        <v>1448</v>
      </c>
      <c r="J24" s="501">
        <v>16</v>
      </c>
      <c r="K24" s="501">
        <v>24304</v>
      </c>
      <c r="L24" s="501">
        <v>1</v>
      </c>
      <c r="M24" s="501">
        <v>1519</v>
      </c>
      <c r="N24" s="501">
        <v>9</v>
      </c>
      <c r="O24" s="501">
        <v>13680</v>
      </c>
      <c r="P24" s="518">
        <v>0.56287030941408822</v>
      </c>
      <c r="Q24" s="502">
        <v>1520</v>
      </c>
    </row>
    <row r="25" spans="1:17" ht="14.4" customHeight="1" x14ac:dyDescent="0.3">
      <c r="A25" s="496" t="s">
        <v>1029</v>
      </c>
      <c r="B25" s="497" t="s">
        <v>1030</v>
      </c>
      <c r="C25" s="497" t="s">
        <v>1005</v>
      </c>
      <c r="D25" s="497" t="s">
        <v>1033</v>
      </c>
      <c r="E25" s="497" t="s">
        <v>1034</v>
      </c>
      <c r="F25" s="501">
        <v>6</v>
      </c>
      <c r="G25" s="501">
        <v>1818</v>
      </c>
      <c r="H25" s="501">
        <v>1.447452229299363</v>
      </c>
      <c r="I25" s="501">
        <v>303</v>
      </c>
      <c r="J25" s="501">
        <v>4</v>
      </c>
      <c r="K25" s="501">
        <v>1256</v>
      </c>
      <c r="L25" s="501">
        <v>1</v>
      </c>
      <c r="M25" s="501">
        <v>314</v>
      </c>
      <c r="N25" s="501">
        <v>3</v>
      </c>
      <c r="O25" s="501">
        <v>945</v>
      </c>
      <c r="P25" s="518">
        <v>0.75238853503184711</v>
      </c>
      <c r="Q25" s="502">
        <v>315</v>
      </c>
    </row>
    <row r="26" spans="1:17" ht="14.4" customHeight="1" x14ac:dyDescent="0.3">
      <c r="A26" s="496" t="s">
        <v>1029</v>
      </c>
      <c r="B26" s="497" t="s">
        <v>1030</v>
      </c>
      <c r="C26" s="497" t="s">
        <v>1005</v>
      </c>
      <c r="D26" s="497" t="s">
        <v>1035</v>
      </c>
      <c r="E26" s="497" t="s">
        <v>1036</v>
      </c>
      <c r="F26" s="501">
        <v>7</v>
      </c>
      <c r="G26" s="501">
        <v>8876</v>
      </c>
      <c r="H26" s="501">
        <v>0.62892368738042936</v>
      </c>
      <c r="I26" s="501">
        <v>1268</v>
      </c>
      <c r="J26" s="501">
        <v>11</v>
      </c>
      <c r="K26" s="501">
        <v>14113</v>
      </c>
      <c r="L26" s="501">
        <v>1</v>
      </c>
      <c r="M26" s="501">
        <v>1283</v>
      </c>
      <c r="N26" s="501">
        <v>7</v>
      </c>
      <c r="O26" s="501">
        <v>8995</v>
      </c>
      <c r="P26" s="518">
        <v>0.63735562956139724</v>
      </c>
      <c r="Q26" s="502">
        <v>1285</v>
      </c>
    </row>
    <row r="27" spans="1:17" ht="14.4" customHeight="1" x14ac:dyDescent="0.3">
      <c r="A27" s="496" t="s">
        <v>1029</v>
      </c>
      <c r="B27" s="497" t="s">
        <v>1030</v>
      </c>
      <c r="C27" s="497" t="s">
        <v>1005</v>
      </c>
      <c r="D27" s="497" t="s">
        <v>1043</v>
      </c>
      <c r="E27" s="497" t="s">
        <v>1044</v>
      </c>
      <c r="F27" s="501">
        <v>78</v>
      </c>
      <c r="G27" s="501">
        <v>176592</v>
      </c>
      <c r="H27" s="501">
        <v>0.91642794868601318</v>
      </c>
      <c r="I27" s="501">
        <v>2264</v>
      </c>
      <c r="J27" s="501">
        <v>84</v>
      </c>
      <c r="K27" s="501">
        <v>192696</v>
      </c>
      <c r="L27" s="501">
        <v>1</v>
      </c>
      <c r="M27" s="501">
        <v>2294</v>
      </c>
      <c r="N27" s="501">
        <v>12</v>
      </c>
      <c r="O27" s="501">
        <v>27564</v>
      </c>
      <c r="P27" s="518">
        <v>0.14304396562461077</v>
      </c>
      <c r="Q27" s="502">
        <v>2297</v>
      </c>
    </row>
    <row r="28" spans="1:17" ht="14.4" customHeight="1" x14ac:dyDescent="0.3">
      <c r="A28" s="496" t="s">
        <v>1029</v>
      </c>
      <c r="B28" s="497" t="s">
        <v>1030</v>
      </c>
      <c r="C28" s="497" t="s">
        <v>1005</v>
      </c>
      <c r="D28" s="497" t="s">
        <v>1051</v>
      </c>
      <c r="E28" s="497" t="s">
        <v>1052</v>
      </c>
      <c r="F28" s="501">
        <v>6</v>
      </c>
      <c r="G28" s="501">
        <v>39552</v>
      </c>
      <c r="H28" s="501">
        <v>1.4268398268398268</v>
      </c>
      <c r="I28" s="501">
        <v>6592</v>
      </c>
      <c r="J28" s="501">
        <v>4</v>
      </c>
      <c r="K28" s="501">
        <v>27720</v>
      </c>
      <c r="L28" s="501">
        <v>1</v>
      </c>
      <c r="M28" s="501">
        <v>6930</v>
      </c>
      <c r="N28" s="501">
        <v>2</v>
      </c>
      <c r="O28" s="501">
        <v>13872</v>
      </c>
      <c r="P28" s="518">
        <v>0.50043290043290045</v>
      </c>
      <c r="Q28" s="502">
        <v>6936</v>
      </c>
    </row>
    <row r="29" spans="1:17" ht="14.4" customHeight="1" x14ac:dyDescent="0.3">
      <c r="A29" s="496" t="s">
        <v>1029</v>
      </c>
      <c r="B29" s="497" t="s">
        <v>1030</v>
      </c>
      <c r="C29" s="497" t="s">
        <v>1005</v>
      </c>
      <c r="D29" s="497" t="s">
        <v>1063</v>
      </c>
      <c r="E29" s="497"/>
      <c r="F29" s="501"/>
      <c r="G29" s="501"/>
      <c r="H29" s="501"/>
      <c r="I29" s="501"/>
      <c r="J29" s="501"/>
      <c r="K29" s="501"/>
      <c r="L29" s="501"/>
      <c r="M29" s="501"/>
      <c r="N29" s="501">
        <v>0</v>
      </c>
      <c r="O29" s="501">
        <v>0</v>
      </c>
      <c r="P29" s="518"/>
      <c r="Q29" s="502"/>
    </row>
    <row r="30" spans="1:17" ht="14.4" customHeight="1" x14ac:dyDescent="0.3">
      <c r="A30" s="496" t="s">
        <v>1029</v>
      </c>
      <c r="B30" s="497" t="s">
        <v>1030</v>
      </c>
      <c r="C30" s="497" t="s">
        <v>1005</v>
      </c>
      <c r="D30" s="497" t="s">
        <v>1067</v>
      </c>
      <c r="E30" s="497" t="s">
        <v>1068</v>
      </c>
      <c r="F30" s="501"/>
      <c r="G30" s="501"/>
      <c r="H30" s="501"/>
      <c r="I30" s="501"/>
      <c r="J30" s="501"/>
      <c r="K30" s="501"/>
      <c r="L30" s="501"/>
      <c r="M30" s="501"/>
      <c r="N30" s="501">
        <v>0</v>
      </c>
      <c r="O30" s="501">
        <v>0</v>
      </c>
      <c r="P30" s="518"/>
      <c r="Q30" s="502"/>
    </row>
    <row r="31" spans="1:17" ht="14.4" customHeight="1" x14ac:dyDescent="0.3">
      <c r="A31" s="496" t="s">
        <v>1086</v>
      </c>
      <c r="B31" s="497" t="s">
        <v>1010</v>
      </c>
      <c r="C31" s="497" t="s">
        <v>1005</v>
      </c>
      <c r="D31" s="497" t="s">
        <v>1013</v>
      </c>
      <c r="E31" s="497" t="s">
        <v>1014</v>
      </c>
      <c r="F31" s="501"/>
      <c r="G31" s="501"/>
      <c r="H31" s="501"/>
      <c r="I31" s="501"/>
      <c r="J31" s="501"/>
      <c r="K31" s="501"/>
      <c r="L31" s="501"/>
      <c r="M31" s="501"/>
      <c r="N31" s="501">
        <v>1</v>
      </c>
      <c r="O31" s="501">
        <v>2480</v>
      </c>
      <c r="P31" s="518"/>
      <c r="Q31" s="502">
        <v>2480</v>
      </c>
    </row>
    <row r="32" spans="1:17" ht="14.4" customHeight="1" x14ac:dyDescent="0.3">
      <c r="A32" s="496" t="s">
        <v>1086</v>
      </c>
      <c r="B32" s="497" t="s">
        <v>1010</v>
      </c>
      <c r="C32" s="497" t="s">
        <v>1005</v>
      </c>
      <c r="D32" s="497" t="s">
        <v>1017</v>
      </c>
      <c r="E32" s="497" t="s">
        <v>1018</v>
      </c>
      <c r="F32" s="501"/>
      <c r="G32" s="501"/>
      <c r="H32" s="501"/>
      <c r="I32" s="501"/>
      <c r="J32" s="501">
        <v>2</v>
      </c>
      <c r="K32" s="501">
        <v>700</v>
      </c>
      <c r="L32" s="501">
        <v>1</v>
      </c>
      <c r="M32" s="501">
        <v>350</v>
      </c>
      <c r="N32" s="501">
        <v>8</v>
      </c>
      <c r="O32" s="501">
        <v>2808</v>
      </c>
      <c r="P32" s="518">
        <v>4.0114285714285716</v>
      </c>
      <c r="Q32" s="502">
        <v>351</v>
      </c>
    </row>
    <row r="33" spans="1:17" ht="14.4" customHeight="1" x14ac:dyDescent="0.3">
      <c r="A33" s="496" t="s">
        <v>1086</v>
      </c>
      <c r="B33" s="497" t="s">
        <v>1010</v>
      </c>
      <c r="C33" s="497" t="s">
        <v>1005</v>
      </c>
      <c r="D33" s="497" t="s">
        <v>1021</v>
      </c>
      <c r="E33" s="497" t="s">
        <v>1022</v>
      </c>
      <c r="F33" s="501">
        <v>5</v>
      </c>
      <c r="G33" s="501">
        <v>7240</v>
      </c>
      <c r="H33" s="501">
        <v>0.95325872284397628</v>
      </c>
      <c r="I33" s="501">
        <v>1448</v>
      </c>
      <c r="J33" s="501">
        <v>5</v>
      </c>
      <c r="K33" s="501">
        <v>7595</v>
      </c>
      <c r="L33" s="501">
        <v>1</v>
      </c>
      <c r="M33" s="501">
        <v>1519</v>
      </c>
      <c r="N33" s="501">
        <v>17</v>
      </c>
      <c r="O33" s="501">
        <v>25840</v>
      </c>
      <c r="P33" s="518">
        <v>3.4022383146807109</v>
      </c>
      <c r="Q33" s="502">
        <v>1520</v>
      </c>
    </row>
    <row r="34" spans="1:17" ht="14.4" customHeight="1" x14ac:dyDescent="0.3">
      <c r="A34" s="496" t="s">
        <v>1086</v>
      </c>
      <c r="B34" s="497" t="s">
        <v>1030</v>
      </c>
      <c r="C34" s="497" t="s">
        <v>1005</v>
      </c>
      <c r="D34" s="497" t="s">
        <v>1033</v>
      </c>
      <c r="E34" s="497" t="s">
        <v>1034</v>
      </c>
      <c r="F34" s="501"/>
      <c r="G34" s="501"/>
      <c r="H34" s="501"/>
      <c r="I34" s="501"/>
      <c r="J34" s="501">
        <v>1</v>
      </c>
      <c r="K34" s="501">
        <v>314</v>
      </c>
      <c r="L34" s="501">
        <v>1</v>
      </c>
      <c r="M34" s="501">
        <v>314</v>
      </c>
      <c r="N34" s="501">
        <v>5</v>
      </c>
      <c r="O34" s="501">
        <v>1575</v>
      </c>
      <c r="P34" s="518">
        <v>5.015923566878981</v>
      </c>
      <c r="Q34" s="502">
        <v>315</v>
      </c>
    </row>
    <row r="35" spans="1:17" ht="14.4" customHeight="1" x14ac:dyDescent="0.3">
      <c r="A35" s="496" t="s">
        <v>1086</v>
      </c>
      <c r="B35" s="497" t="s">
        <v>1030</v>
      </c>
      <c r="C35" s="497" t="s">
        <v>1005</v>
      </c>
      <c r="D35" s="497" t="s">
        <v>1087</v>
      </c>
      <c r="E35" s="497" t="s">
        <v>1088</v>
      </c>
      <c r="F35" s="501"/>
      <c r="G35" s="501"/>
      <c r="H35" s="501"/>
      <c r="I35" s="501"/>
      <c r="J35" s="501">
        <v>1</v>
      </c>
      <c r="K35" s="501">
        <v>6402</v>
      </c>
      <c r="L35" s="501">
        <v>1</v>
      </c>
      <c r="M35" s="501">
        <v>6402</v>
      </c>
      <c r="N35" s="501"/>
      <c r="O35" s="501"/>
      <c r="P35" s="518"/>
      <c r="Q35" s="502"/>
    </row>
    <row r="36" spans="1:17" ht="14.4" customHeight="1" x14ac:dyDescent="0.3">
      <c r="A36" s="496" t="s">
        <v>1086</v>
      </c>
      <c r="B36" s="497" t="s">
        <v>1030</v>
      </c>
      <c r="C36" s="497" t="s">
        <v>1005</v>
      </c>
      <c r="D36" s="497" t="s">
        <v>1035</v>
      </c>
      <c r="E36" s="497" t="s">
        <v>1036</v>
      </c>
      <c r="F36" s="501">
        <v>3</v>
      </c>
      <c r="G36" s="501">
        <v>3804</v>
      </c>
      <c r="H36" s="501">
        <v>0.59298519095869062</v>
      </c>
      <c r="I36" s="501">
        <v>1268</v>
      </c>
      <c r="J36" s="501">
        <v>5</v>
      </c>
      <c r="K36" s="501">
        <v>6415</v>
      </c>
      <c r="L36" s="501">
        <v>1</v>
      </c>
      <c r="M36" s="501">
        <v>1283</v>
      </c>
      <c r="N36" s="501">
        <v>9</v>
      </c>
      <c r="O36" s="501">
        <v>11565</v>
      </c>
      <c r="P36" s="518">
        <v>1.8028059236165237</v>
      </c>
      <c r="Q36" s="502">
        <v>1285</v>
      </c>
    </row>
    <row r="37" spans="1:17" ht="14.4" customHeight="1" x14ac:dyDescent="0.3">
      <c r="A37" s="496" t="s">
        <v>1086</v>
      </c>
      <c r="B37" s="497" t="s">
        <v>1030</v>
      </c>
      <c r="C37" s="497" t="s">
        <v>1005</v>
      </c>
      <c r="D37" s="497" t="s">
        <v>1043</v>
      </c>
      <c r="E37" s="497" t="s">
        <v>1044</v>
      </c>
      <c r="F37" s="501"/>
      <c r="G37" s="501"/>
      <c r="H37" s="501"/>
      <c r="I37" s="501"/>
      <c r="J37" s="501"/>
      <c r="K37" s="501"/>
      <c r="L37" s="501"/>
      <c r="M37" s="501"/>
      <c r="N37" s="501">
        <v>16</v>
      </c>
      <c r="O37" s="501">
        <v>36752</v>
      </c>
      <c r="P37" s="518"/>
      <c r="Q37" s="502">
        <v>2297</v>
      </c>
    </row>
    <row r="38" spans="1:17" ht="14.4" customHeight="1" x14ac:dyDescent="0.3">
      <c r="A38" s="496" t="s">
        <v>1086</v>
      </c>
      <c r="B38" s="497" t="s">
        <v>1030</v>
      </c>
      <c r="C38" s="497" t="s">
        <v>1005</v>
      </c>
      <c r="D38" s="497" t="s">
        <v>1051</v>
      </c>
      <c r="E38" s="497" t="s">
        <v>1052</v>
      </c>
      <c r="F38" s="501"/>
      <c r="G38" s="501"/>
      <c r="H38" s="501"/>
      <c r="I38" s="501"/>
      <c r="J38" s="501">
        <v>1</v>
      </c>
      <c r="K38" s="501">
        <v>6930</v>
      </c>
      <c r="L38" s="501">
        <v>1</v>
      </c>
      <c r="M38" s="501">
        <v>6930</v>
      </c>
      <c r="N38" s="501">
        <v>3</v>
      </c>
      <c r="O38" s="501">
        <v>20808</v>
      </c>
      <c r="P38" s="518">
        <v>3.0025974025974027</v>
      </c>
      <c r="Q38" s="502">
        <v>6936</v>
      </c>
    </row>
    <row r="39" spans="1:17" ht="14.4" customHeight="1" x14ac:dyDescent="0.3">
      <c r="A39" s="496" t="s">
        <v>1086</v>
      </c>
      <c r="B39" s="497" t="s">
        <v>1030</v>
      </c>
      <c r="C39" s="497" t="s">
        <v>1005</v>
      </c>
      <c r="D39" s="497" t="s">
        <v>1053</v>
      </c>
      <c r="E39" s="497" t="s">
        <v>1054</v>
      </c>
      <c r="F39" s="501"/>
      <c r="G39" s="501"/>
      <c r="H39" s="501"/>
      <c r="I39" s="501"/>
      <c r="J39" s="501">
        <v>1</v>
      </c>
      <c r="K39" s="501">
        <v>3559</v>
      </c>
      <c r="L39" s="501">
        <v>1</v>
      </c>
      <c r="M39" s="501">
        <v>3559</v>
      </c>
      <c r="N39" s="501">
        <v>2</v>
      </c>
      <c r="O39" s="501">
        <v>7124</v>
      </c>
      <c r="P39" s="518">
        <v>2.0016858668165214</v>
      </c>
      <c r="Q39" s="502">
        <v>3562</v>
      </c>
    </row>
    <row r="40" spans="1:17" ht="14.4" customHeight="1" x14ac:dyDescent="0.3">
      <c r="A40" s="496" t="s">
        <v>1089</v>
      </c>
      <c r="B40" s="497" t="s">
        <v>1010</v>
      </c>
      <c r="C40" s="497" t="s">
        <v>1005</v>
      </c>
      <c r="D40" s="497" t="s">
        <v>1013</v>
      </c>
      <c r="E40" s="497" t="s">
        <v>1014</v>
      </c>
      <c r="F40" s="501"/>
      <c r="G40" s="501"/>
      <c r="H40" s="501"/>
      <c r="I40" s="501"/>
      <c r="J40" s="501"/>
      <c r="K40" s="501"/>
      <c r="L40" s="501"/>
      <c r="M40" s="501"/>
      <c r="N40" s="501">
        <v>1</v>
      </c>
      <c r="O40" s="501">
        <v>2480</v>
      </c>
      <c r="P40" s="518"/>
      <c r="Q40" s="502">
        <v>2480</v>
      </c>
    </row>
    <row r="41" spans="1:17" ht="14.4" customHeight="1" x14ac:dyDescent="0.3">
      <c r="A41" s="496" t="s">
        <v>1089</v>
      </c>
      <c r="B41" s="497" t="s">
        <v>1010</v>
      </c>
      <c r="C41" s="497" t="s">
        <v>1005</v>
      </c>
      <c r="D41" s="497" t="s">
        <v>1017</v>
      </c>
      <c r="E41" s="497" t="s">
        <v>1018</v>
      </c>
      <c r="F41" s="501">
        <v>1</v>
      </c>
      <c r="G41" s="501">
        <v>327</v>
      </c>
      <c r="H41" s="501">
        <v>0.23357142857142857</v>
      </c>
      <c r="I41" s="501">
        <v>327</v>
      </c>
      <c r="J41" s="501">
        <v>4</v>
      </c>
      <c r="K41" s="501">
        <v>1400</v>
      </c>
      <c r="L41" s="501">
        <v>1</v>
      </c>
      <c r="M41" s="501">
        <v>350</v>
      </c>
      <c r="N41" s="501"/>
      <c r="O41" s="501"/>
      <c r="P41" s="518"/>
      <c r="Q41" s="502"/>
    </row>
    <row r="42" spans="1:17" ht="14.4" customHeight="1" x14ac:dyDescent="0.3">
      <c r="A42" s="496" t="s">
        <v>1089</v>
      </c>
      <c r="B42" s="497" t="s">
        <v>1010</v>
      </c>
      <c r="C42" s="497" t="s">
        <v>1005</v>
      </c>
      <c r="D42" s="497" t="s">
        <v>1021</v>
      </c>
      <c r="E42" s="497" t="s">
        <v>1022</v>
      </c>
      <c r="F42" s="501">
        <v>3</v>
      </c>
      <c r="G42" s="501">
        <v>4344</v>
      </c>
      <c r="H42" s="501">
        <v>0.2859776168531929</v>
      </c>
      <c r="I42" s="501">
        <v>1448</v>
      </c>
      <c r="J42" s="501">
        <v>10</v>
      </c>
      <c r="K42" s="501">
        <v>15190</v>
      </c>
      <c r="L42" s="501">
        <v>1</v>
      </c>
      <c r="M42" s="501">
        <v>1519</v>
      </c>
      <c r="N42" s="501">
        <v>19</v>
      </c>
      <c r="O42" s="501">
        <v>28880</v>
      </c>
      <c r="P42" s="518">
        <v>1.9012508229098091</v>
      </c>
      <c r="Q42" s="502">
        <v>1520</v>
      </c>
    </row>
    <row r="43" spans="1:17" ht="14.4" customHeight="1" x14ac:dyDescent="0.3">
      <c r="A43" s="496" t="s">
        <v>1089</v>
      </c>
      <c r="B43" s="497" t="s">
        <v>1030</v>
      </c>
      <c r="C43" s="497" t="s">
        <v>1005</v>
      </c>
      <c r="D43" s="497" t="s">
        <v>1035</v>
      </c>
      <c r="E43" s="497" t="s">
        <v>1036</v>
      </c>
      <c r="F43" s="501">
        <v>4</v>
      </c>
      <c r="G43" s="501">
        <v>5072</v>
      </c>
      <c r="H43" s="501">
        <v>0.32943621719927252</v>
      </c>
      <c r="I43" s="501">
        <v>1268</v>
      </c>
      <c r="J43" s="501">
        <v>12</v>
      </c>
      <c r="K43" s="501">
        <v>15396</v>
      </c>
      <c r="L43" s="501">
        <v>1</v>
      </c>
      <c r="M43" s="501">
        <v>1283</v>
      </c>
      <c r="N43" s="501">
        <v>19</v>
      </c>
      <c r="O43" s="501">
        <v>24415</v>
      </c>
      <c r="P43" s="518">
        <v>1.5858015068849052</v>
      </c>
      <c r="Q43" s="502">
        <v>1285</v>
      </c>
    </row>
    <row r="44" spans="1:17" ht="14.4" customHeight="1" x14ac:dyDescent="0.3">
      <c r="A44" s="496" t="s">
        <v>1089</v>
      </c>
      <c r="B44" s="497" t="s">
        <v>1030</v>
      </c>
      <c r="C44" s="497" t="s">
        <v>1005</v>
      </c>
      <c r="D44" s="497" t="s">
        <v>1043</v>
      </c>
      <c r="E44" s="497" t="s">
        <v>1044</v>
      </c>
      <c r="F44" s="501">
        <v>4</v>
      </c>
      <c r="G44" s="501">
        <v>9056</v>
      </c>
      <c r="H44" s="501">
        <v>0.49346120313862252</v>
      </c>
      <c r="I44" s="501">
        <v>2264</v>
      </c>
      <c r="J44" s="501">
        <v>8</v>
      </c>
      <c r="K44" s="501">
        <v>18352</v>
      </c>
      <c r="L44" s="501">
        <v>1</v>
      </c>
      <c r="M44" s="501">
        <v>2294</v>
      </c>
      <c r="N44" s="501"/>
      <c r="O44" s="501"/>
      <c r="P44" s="518"/>
      <c r="Q44" s="502"/>
    </row>
    <row r="45" spans="1:17" ht="14.4" customHeight="1" x14ac:dyDescent="0.3">
      <c r="A45" s="496" t="s">
        <v>1090</v>
      </c>
      <c r="B45" s="497" t="s">
        <v>1010</v>
      </c>
      <c r="C45" s="497" t="s">
        <v>1005</v>
      </c>
      <c r="D45" s="497" t="s">
        <v>1021</v>
      </c>
      <c r="E45" s="497" t="s">
        <v>1022</v>
      </c>
      <c r="F45" s="501"/>
      <c r="G45" s="501"/>
      <c r="H45" s="501"/>
      <c r="I45" s="501"/>
      <c r="J45" s="501"/>
      <c r="K45" s="501"/>
      <c r="L45" s="501"/>
      <c r="M45" s="501"/>
      <c r="N45" s="501">
        <v>1</v>
      </c>
      <c r="O45" s="501">
        <v>1520</v>
      </c>
      <c r="P45" s="518"/>
      <c r="Q45" s="502">
        <v>1520</v>
      </c>
    </row>
    <row r="46" spans="1:17" ht="14.4" customHeight="1" x14ac:dyDescent="0.3">
      <c r="A46" s="496" t="s">
        <v>1091</v>
      </c>
      <c r="B46" s="497" t="s">
        <v>1010</v>
      </c>
      <c r="C46" s="497" t="s">
        <v>1005</v>
      </c>
      <c r="D46" s="497" t="s">
        <v>1021</v>
      </c>
      <c r="E46" s="497" t="s">
        <v>1022</v>
      </c>
      <c r="F46" s="501"/>
      <c r="G46" s="501"/>
      <c r="H46" s="501"/>
      <c r="I46" s="501"/>
      <c r="J46" s="501">
        <v>1</v>
      </c>
      <c r="K46" s="501">
        <v>1519</v>
      </c>
      <c r="L46" s="501">
        <v>1</v>
      </c>
      <c r="M46" s="501">
        <v>1519</v>
      </c>
      <c r="N46" s="501"/>
      <c r="O46" s="501"/>
      <c r="P46" s="518"/>
      <c r="Q46" s="502"/>
    </row>
    <row r="47" spans="1:17" ht="14.4" customHeight="1" x14ac:dyDescent="0.3">
      <c r="A47" s="496" t="s">
        <v>1092</v>
      </c>
      <c r="B47" s="497" t="s">
        <v>1010</v>
      </c>
      <c r="C47" s="497" t="s">
        <v>1005</v>
      </c>
      <c r="D47" s="497" t="s">
        <v>1013</v>
      </c>
      <c r="E47" s="497" t="s">
        <v>1014</v>
      </c>
      <c r="F47" s="501"/>
      <c r="G47" s="501"/>
      <c r="H47" s="501"/>
      <c r="I47" s="501"/>
      <c r="J47" s="501">
        <v>1</v>
      </c>
      <c r="K47" s="501">
        <v>2478</v>
      </c>
      <c r="L47" s="501">
        <v>1</v>
      </c>
      <c r="M47" s="501">
        <v>2478</v>
      </c>
      <c r="N47" s="501"/>
      <c r="O47" s="501"/>
      <c r="P47" s="518"/>
      <c r="Q47" s="502"/>
    </row>
    <row r="48" spans="1:17" ht="14.4" customHeight="1" x14ac:dyDescent="0.3">
      <c r="A48" s="496" t="s">
        <v>1092</v>
      </c>
      <c r="B48" s="497" t="s">
        <v>1010</v>
      </c>
      <c r="C48" s="497" t="s">
        <v>1005</v>
      </c>
      <c r="D48" s="497" t="s">
        <v>1021</v>
      </c>
      <c r="E48" s="497" t="s">
        <v>1022</v>
      </c>
      <c r="F48" s="501">
        <v>1</v>
      </c>
      <c r="G48" s="501">
        <v>1448</v>
      </c>
      <c r="H48" s="501"/>
      <c r="I48" s="501">
        <v>1448</v>
      </c>
      <c r="J48" s="501"/>
      <c r="K48" s="501"/>
      <c r="L48" s="501"/>
      <c r="M48" s="501"/>
      <c r="N48" s="501">
        <v>2</v>
      </c>
      <c r="O48" s="501">
        <v>3040</v>
      </c>
      <c r="P48" s="518"/>
      <c r="Q48" s="502">
        <v>1520</v>
      </c>
    </row>
    <row r="49" spans="1:17" ht="14.4" customHeight="1" x14ac:dyDescent="0.3">
      <c r="A49" s="496" t="s">
        <v>1092</v>
      </c>
      <c r="B49" s="497" t="s">
        <v>1030</v>
      </c>
      <c r="C49" s="497" t="s">
        <v>1005</v>
      </c>
      <c r="D49" s="497" t="s">
        <v>1035</v>
      </c>
      <c r="E49" s="497" t="s">
        <v>1036</v>
      </c>
      <c r="F49" s="501">
        <v>1</v>
      </c>
      <c r="G49" s="501">
        <v>1268</v>
      </c>
      <c r="H49" s="501"/>
      <c r="I49" s="501">
        <v>1268</v>
      </c>
      <c r="J49" s="501"/>
      <c r="K49" s="501"/>
      <c r="L49" s="501"/>
      <c r="M49" s="501"/>
      <c r="N49" s="501">
        <v>1</v>
      </c>
      <c r="O49" s="501">
        <v>1285</v>
      </c>
      <c r="P49" s="518"/>
      <c r="Q49" s="502">
        <v>1285</v>
      </c>
    </row>
    <row r="50" spans="1:17" ht="14.4" customHeight="1" x14ac:dyDescent="0.3">
      <c r="A50" s="496" t="s">
        <v>1093</v>
      </c>
      <c r="B50" s="497" t="s">
        <v>1010</v>
      </c>
      <c r="C50" s="497" t="s">
        <v>1005</v>
      </c>
      <c r="D50" s="497" t="s">
        <v>1021</v>
      </c>
      <c r="E50" s="497" t="s">
        <v>1022</v>
      </c>
      <c r="F50" s="501"/>
      <c r="G50" s="501"/>
      <c r="H50" s="501"/>
      <c r="I50" s="501"/>
      <c r="J50" s="501">
        <v>1</v>
      </c>
      <c r="K50" s="501">
        <v>1519</v>
      </c>
      <c r="L50" s="501">
        <v>1</v>
      </c>
      <c r="M50" s="501">
        <v>1519</v>
      </c>
      <c r="N50" s="501"/>
      <c r="O50" s="501"/>
      <c r="P50" s="518"/>
      <c r="Q50" s="502"/>
    </row>
    <row r="51" spans="1:17" ht="14.4" customHeight="1" thickBot="1" x14ac:dyDescent="0.35">
      <c r="A51" s="503" t="s">
        <v>1093</v>
      </c>
      <c r="B51" s="504" t="s">
        <v>1030</v>
      </c>
      <c r="C51" s="504" t="s">
        <v>1005</v>
      </c>
      <c r="D51" s="504" t="s">
        <v>1035</v>
      </c>
      <c r="E51" s="504" t="s">
        <v>1036</v>
      </c>
      <c r="F51" s="508"/>
      <c r="G51" s="508"/>
      <c r="H51" s="508"/>
      <c r="I51" s="508"/>
      <c r="J51" s="508">
        <v>1</v>
      </c>
      <c r="K51" s="508">
        <v>1283</v>
      </c>
      <c r="L51" s="508">
        <v>1</v>
      </c>
      <c r="M51" s="508">
        <v>1283</v>
      </c>
      <c r="N51" s="508"/>
      <c r="O51" s="508"/>
      <c r="P51" s="520"/>
      <c r="Q51" s="5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67" t="s">
        <v>136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ht="14.4" customHeight="1" thickBot="1" x14ac:dyDescent="0.35">
      <c r="A2" s="235" t="s">
        <v>258</v>
      </c>
      <c r="B2" s="111"/>
      <c r="C2" s="111"/>
      <c r="D2" s="111"/>
      <c r="E2" s="111"/>
      <c r="F2" s="111"/>
    </row>
    <row r="3" spans="1:10" ht="14.4" customHeight="1" x14ac:dyDescent="0.3">
      <c r="A3" s="358"/>
      <c r="B3" s="107">
        <v>2015</v>
      </c>
      <c r="C3" s="40">
        <v>2016</v>
      </c>
      <c r="D3" s="7"/>
      <c r="E3" s="362">
        <v>2017</v>
      </c>
      <c r="F3" s="363"/>
      <c r="G3" s="363"/>
      <c r="H3" s="364"/>
      <c r="I3" s="365">
        <v>2017</v>
      </c>
      <c r="J3" s="366"/>
    </row>
    <row r="4" spans="1:10" ht="14.4" customHeight="1" thickBot="1" x14ac:dyDescent="0.35">
      <c r="A4" s="359"/>
      <c r="B4" s="360" t="s">
        <v>73</v>
      </c>
      <c r="C4" s="361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21" t="s">
        <v>249</v>
      </c>
      <c r="J4" s="322" t="s">
        <v>250</v>
      </c>
    </row>
    <row r="5" spans="1:10" ht="14.4" customHeight="1" x14ac:dyDescent="0.3">
      <c r="A5" s="112" t="str">
        <f>HYPERLINK("#'Léky Žádanky'!A1","Léky (Kč)")</f>
        <v>Léky (Kč)</v>
      </c>
      <c r="B5" s="27">
        <v>13.33051</v>
      </c>
      <c r="C5" s="29">
        <v>13.75742</v>
      </c>
      <c r="D5" s="8"/>
      <c r="E5" s="117">
        <v>17.505310000000001</v>
      </c>
      <c r="F5" s="28">
        <v>25.101300582885742</v>
      </c>
      <c r="G5" s="116">
        <f>E5-F5</f>
        <v>-7.5959905828857401</v>
      </c>
      <c r="H5" s="122">
        <f>IF(F5&lt;0.00000001,"",E5/F5)</f>
        <v>0.69738657334493881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1059.74423</v>
      </c>
      <c r="C6" s="31">
        <v>1891.4795699999997</v>
      </c>
      <c r="D6" s="8"/>
      <c r="E6" s="118">
        <v>2147.0012299999999</v>
      </c>
      <c r="F6" s="30">
        <v>2380.8252134552004</v>
      </c>
      <c r="G6" s="119">
        <f>E6-F6</f>
        <v>-233.8239834552005</v>
      </c>
      <c r="H6" s="123">
        <f>IF(F6&lt;0.00000001,"",E6/F6)</f>
        <v>0.90178868144803426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6159.01037</v>
      </c>
      <c r="C7" s="31">
        <v>7947.3127400000012</v>
      </c>
      <c r="D7" s="8"/>
      <c r="E7" s="118">
        <v>8700.7510000000002</v>
      </c>
      <c r="F7" s="30">
        <v>8567.5</v>
      </c>
      <c r="G7" s="119">
        <f>E7-F7</f>
        <v>133.2510000000002</v>
      </c>
      <c r="H7" s="123">
        <f>IF(F7&lt;0.00000001,"",E7/F7)</f>
        <v>1.0155530784943099</v>
      </c>
    </row>
    <row r="8" spans="1:10" ht="14.4" customHeight="1" thickBot="1" x14ac:dyDescent="0.35">
      <c r="A8" s="1" t="s">
        <v>76</v>
      </c>
      <c r="B8" s="11">
        <v>1828.8081399999994</v>
      </c>
      <c r="C8" s="33">
        <v>2226.2631700000002</v>
      </c>
      <c r="D8" s="8"/>
      <c r="E8" s="120">
        <v>1390.5975799999983</v>
      </c>
      <c r="F8" s="32">
        <v>1507.1187800712582</v>
      </c>
      <c r="G8" s="121">
        <f>E8-F8</f>
        <v>-116.52120007125995</v>
      </c>
      <c r="H8" s="124">
        <f>IF(F8&lt;0.00000001,"",E8/F8)</f>
        <v>0.92268612028990127</v>
      </c>
    </row>
    <row r="9" spans="1:10" ht="14.4" customHeight="1" thickBot="1" x14ac:dyDescent="0.35">
      <c r="A9" s="2" t="s">
        <v>77</v>
      </c>
      <c r="B9" s="3">
        <v>9060.8932499999992</v>
      </c>
      <c r="C9" s="35">
        <v>12078.812900000001</v>
      </c>
      <c r="D9" s="8"/>
      <c r="E9" s="3">
        <v>12255.855119999998</v>
      </c>
      <c r="F9" s="34">
        <v>12480.545294109344</v>
      </c>
      <c r="G9" s="34">
        <f>E9-F9</f>
        <v>-224.69017410934612</v>
      </c>
      <c r="H9" s="125">
        <f>IF(F9&lt;0.00000001,"",E9/F9)</f>
        <v>0.98199676626185584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24727.629189999996</v>
      </c>
      <c r="C11" s="29">
        <f>IF(ISERROR(VLOOKUP("Celkem:",'ZV Vykáz.-A'!A:H,5,0)),0,VLOOKUP("Celkem:",'ZV Vykáz.-A'!A:H,5,0)/1000)</f>
        <v>58472.976750000002</v>
      </c>
      <c r="D11" s="8"/>
      <c r="E11" s="117">
        <f>IF(ISERROR(VLOOKUP("Celkem:",'ZV Vykáz.-A'!A:H,8,0)),0,VLOOKUP("Celkem:",'ZV Vykáz.-A'!A:H,8,0)/1000)</f>
        <v>38577.270700000001</v>
      </c>
      <c r="F11" s="28">
        <f>C11</f>
        <v>58472.976750000002</v>
      </c>
      <c r="G11" s="116">
        <f>E11-F11</f>
        <v>-19895.706050000001</v>
      </c>
      <c r="H11" s="122">
        <f>IF(F11&lt;0.00000001,"",E11/F11)</f>
        <v>0.6597452848165456</v>
      </c>
      <c r="I11" s="116">
        <f>E11-B11</f>
        <v>13849.641510000005</v>
      </c>
      <c r="J11" s="122">
        <f>IF(B11&lt;0.00000001,"",E11/B11)</f>
        <v>1.5600877222633573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24727.629189999996</v>
      </c>
      <c r="C13" s="37">
        <f>SUM(C11:C12)</f>
        <v>58472.976750000002</v>
      </c>
      <c r="D13" s="8"/>
      <c r="E13" s="5">
        <f>SUM(E11:E12)</f>
        <v>38577.270700000001</v>
      </c>
      <c r="F13" s="36">
        <f>SUM(F11:F12)</f>
        <v>58472.976750000002</v>
      </c>
      <c r="G13" s="36">
        <f>E13-F13</f>
        <v>-19895.706050000001</v>
      </c>
      <c r="H13" s="126">
        <f>IF(F13&lt;0.00000001,"",E13/F13)</f>
        <v>0.6597452848165456</v>
      </c>
      <c r="I13" s="36">
        <f>SUM(I11:I12)</f>
        <v>13849.641510000005</v>
      </c>
      <c r="J13" s="126">
        <f>IF(B13&lt;0.00000001,"",E13/B13)</f>
        <v>1.5600877222633573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2.7290498307106752</v>
      </c>
      <c r="C15" s="39">
        <f>IF(C9=0,"",C13/C9)</f>
        <v>4.8409539276827438</v>
      </c>
      <c r="D15" s="8"/>
      <c r="E15" s="6">
        <f>IF(E9=0,"",E13/E9)</f>
        <v>3.1476604710385976</v>
      </c>
      <c r="F15" s="38">
        <f>IF(F9=0,"",F13/F9)</f>
        <v>4.6851299660439105</v>
      </c>
      <c r="G15" s="38">
        <f>IF(ISERROR(F15-E15),"",E15-F15)</f>
        <v>-1.5374694950053129</v>
      </c>
      <c r="H15" s="127">
        <f>IF(ISERROR(F15-E15),"",IF(F15&lt;0.00000001,"",E15/F15))</f>
        <v>0.67184058795629509</v>
      </c>
    </row>
    <row r="17" spans="1:8" ht="14.4" customHeight="1" x14ac:dyDescent="0.3">
      <c r="A17" s="113" t="s">
        <v>157</v>
      </c>
    </row>
    <row r="18" spans="1:8" ht="14.4" customHeight="1" x14ac:dyDescent="0.3">
      <c r="A18" s="284" t="s">
        <v>190</v>
      </c>
      <c r="B18" s="285"/>
      <c r="C18" s="285"/>
      <c r="D18" s="285"/>
      <c r="E18" s="285"/>
      <c r="F18" s="285"/>
      <c r="G18" s="285"/>
      <c r="H18" s="285"/>
    </row>
    <row r="19" spans="1:8" x14ac:dyDescent="0.3">
      <c r="A19" s="283" t="s">
        <v>189</v>
      </c>
      <c r="B19" s="285"/>
      <c r="C19" s="285"/>
      <c r="D19" s="285"/>
      <c r="E19" s="285"/>
      <c r="F19" s="285"/>
      <c r="G19" s="285"/>
      <c r="H19" s="285"/>
    </row>
    <row r="20" spans="1:8" ht="14.4" customHeight="1" x14ac:dyDescent="0.3">
      <c r="A20" s="114" t="s">
        <v>216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56" t="s">
        <v>104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x14ac:dyDescent="0.3">
      <c r="A2" s="235" t="s">
        <v>258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3.0026789414815127</v>
      </c>
      <c r="C4" s="201">
        <f t="shared" ref="C4:M4" si="0">(C10+C8)/C6</f>
        <v>3.4229958810127985</v>
      </c>
      <c r="D4" s="201">
        <f t="shared" si="0"/>
        <v>3.5710370471099329</v>
      </c>
      <c r="E4" s="201">
        <f t="shared" si="0"/>
        <v>3.5238265947343272</v>
      </c>
      <c r="F4" s="201">
        <f t="shared" si="0"/>
        <v>3.4394515499882914</v>
      </c>
      <c r="G4" s="201">
        <f t="shared" si="0"/>
        <v>3.1476604457445641</v>
      </c>
      <c r="H4" s="201">
        <f t="shared" si="0"/>
        <v>3.1476604457445641</v>
      </c>
      <c r="I4" s="201">
        <f t="shared" si="0"/>
        <v>3.1476604457445641</v>
      </c>
      <c r="J4" s="201">
        <f t="shared" si="0"/>
        <v>3.1476604457445641</v>
      </c>
      <c r="K4" s="201">
        <f t="shared" si="0"/>
        <v>3.1476604457445641</v>
      </c>
      <c r="L4" s="201">
        <f t="shared" si="0"/>
        <v>3.1476604457445641</v>
      </c>
      <c r="M4" s="201">
        <f t="shared" si="0"/>
        <v>3.1476604457445641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2060.2988300000002</v>
      </c>
      <c r="C5" s="201">
        <f>IF(ISERROR(VLOOKUP($A5,'Man Tab'!$A:$Q,COLUMN()+2,0)),0,VLOOKUP($A5,'Man Tab'!$A:$Q,COLUMN()+2,0))</f>
        <v>2011.9643699999999</v>
      </c>
      <c r="D5" s="201">
        <f>IF(ISERROR(VLOOKUP($A5,'Man Tab'!$A:$Q,COLUMN()+2,0)),0,VLOOKUP($A5,'Man Tab'!$A:$Q,COLUMN()+2,0))</f>
        <v>2038.30414</v>
      </c>
      <c r="E5" s="201">
        <f>IF(ISERROR(VLOOKUP($A5,'Man Tab'!$A:$Q,COLUMN()+2,0)),0,VLOOKUP($A5,'Man Tab'!$A:$Q,COLUMN()+2,0))</f>
        <v>1791.4510600000001</v>
      </c>
      <c r="F5" s="201">
        <f>IF(ISERROR(VLOOKUP($A5,'Man Tab'!$A:$Q,COLUMN()+2,0)),0,VLOOKUP($A5,'Man Tab'!$A:$Q,COLUMN()+2,0))</f>
        <v>1968.58035</v>
      </c>
      <c r="G5" s="201">
        <f>IF(ISERROR(VLOOKUP($A5,'Man Tab'!$A:$Q,COLUMN()+2,0)),0,VLOOKUP($A5,'Man Tab'!$A:$Q,COLUMN()+2,0))</f>
        <v>2385.2563700000001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2060.2988300000002</v>
      </c>
      <c r="C6" s="203">
        <f t="shared" ref="C6:M6" si="1">C5+B6</f>
        <v>4072.2632000000003</v>
      </c>
      <c r="D6" s="203">
        <f t="shared" si="1"/>
        <v>6110.5673400000005</v>
      </c>
      <c r="E6" s="203">
        <f t="shared" si="1"/>
        <v>7902.0184000000008</v>
      </c>
      <c r="F6" s="203">
        <f t="shared" si="1"/>
        <v>9870.598750000001</v>
      </c>
      <c r="G6" s="203">
        <f t="shared" si="1"/>
        <v>12255.85512</v>
      </c>
      <c r="H6" s="203">
        <f t="shared" si="1"/>
        <v>12255.85512</v>
      </c>
      <c r="I6" s="203">
        <f t="shared" si="1"/>
        <v>12255.85512</v>
      </c>
      <c r="J6" s="203">
        <f t="shared" si="1"/>
        <v>12255.85512</v>
      </c>
      <c r="K6" s="203">
        <f t="shared" si="1"/>
        <v>12255.85512</v>
      </c>
      <c r="L6" s="203">
        <f t="shared" si="1"/>
        <v>12255.85512</v>
      </c>
      <c r="M6" s="203">
        <f t="shared" si="1"/>
        <v>12255.85512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6186415.9100000001</v>
      </c>
      <c r="C9" s="202">
        <v>7752924.25</v>
      </c>
      <c r="D9" s="202">
        <v>7881722.1900000004</v>
      </c>
      <c r="E9" s="202">
        <v>6024280.2400000012</v>
      </c>
      <c r="F9" s="202">
        <v>6104103.5799999991</v>
      </c>
      <c r="G9" s="202">
        <v>4627824.22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6186.4159099999997</v>
      </c>
      <c r="C10" s="203">
        <f t="shared" ref="C10:M10" si="3">C9/1000+B10</f>
        <v>13939.34016</v>
      </c>
      <c r="D10" s="203">
        <f t="shared" si="3"/>
        <v>21821.06235</v>
      </c>
      <c r="E10" s="203">
        <f t="shared" si="3"/>
        <v>27845.34259</v>
      </c>
      <c r="F10" s="203">
        <f t="shared" si="3"/>
        <v>33949.446169999996</v>
      </c>
      <c r="G10" s="203">
        <f t="shared" si="3"/>
        <v>38577.270389999998</v>
      </c>
      <c r="H10" s="203">
        <f t="shared" si="3"/>
        <v>38577.270389999998</v>
      </c>
      <c r="I10" s="203">
        <f t="shared" si="3"/>
        <v>38577.270389999998</v>
      </c>
      <c r="J10" s="203">
        <f t="shared" si="3"/>
        <v>38577.270389999998</v>
      </c>
      <c r="K10" s="203">
        <f t="shared" si="3"/>
        <v>38577.270389999998</v>
      </c>
      <c r="L10" s="203">
        <f t="shared" si="3"/>
        <v>38577.270389999998</v>
      </c>
      <c r="M10" s="203">
        <f t="shared" si="3"/>
        <v>38577.270389999998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4.6851299660439105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4.6851299660439105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68" t="s">
        <v>260</v>
      </c>
      <c r="B1" s="368"/>
      <c r="C1" s="368"/>
      <c r="D1" s="368"/>
      <c r="E1" s="368"/>
      <c r="F1" s="368"/>
      <c r="G1" s="368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s="204" customFormat="1" ht="14.4" customHeight="1" thickBot="1" x14ac:dyDescent="0.3">
      <c r="A2" s="235" t="s">
        <v>258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69" t="s">
        <v>29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15" t="s">
        <v>224</v>
      </c>
      <c r="E4" s="315" t="s">
        <v>225</v>
      </c>
      <c r="F4" s="315" t="s">
        <v>226</v>
      </c>
      <c r="G4" s="315" t="s">
        <v>227</v>
      </c>
      <c r="H4" s="315" t="s">
        <v>228</v>
      </c>
      <c r="I4" s="315" t="s">
        <v>229</v>
      </c>
      <c r="J4" s="315" t="s">
        <v>230</v>
      </c>
      <c r="K4" s="315" t="s">
        <v>231</v>
      </c>
      <c r="L4" s="315" t="s">
        <v>232</v>
      </c>
      <c r="M4" s="315" t="s">
        <v>233</v>
      </c>
      <c r="N4" s="315" t="s">
        <v>234</v>
      </c>
      <c r="O4" s="315" t="s">
        <v>235</v>
      </c>
      <c r="P4" s="371" t="s">
        <v>3</v>
      </c>
      <c r="Q4" s="372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259</v>
      </c>
    </row>
    <row r="7" spans="1:17" ht="14.4" customHeight="1" x14ac:dyDescent="0.3">
      <c r="A7" s="15" t="s">
        <v>35</v>
      </c>
      <c r="B7" s="51">
        <v>50.202600188841998</v>
      </c>
      <c r="C7" s="52">
        <v>4.1835500157360004</v>
      </c>
      <c r="D7" s="52">
        <v>2.40002</v>
      </c>
      <c r="E7" s="52">
        <v>2.4785599999999999</v>
      </c>
      <c r="F7" s="52">
        <v>2.4671799999999999</v>
      </c>
      <c r="G7" s="52">
        <v>2.5594899999999998</v>
      </c>
      <c r="H7" s="52">
        <v>3.1035599999999999</v>
      </c>
      <c r="I7" s="52">
        <v>4.4965000000000002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17.505310000000001</v>
      </c>
      <c r="Q7" s="95">
        <v>0.697386586915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259</v>
      </c>
    </row>
    <row r="9" spans="1:17" ht="14.4" customHeight="1" x14ac:dyDescent="0.3">
      <c r="A9" s="15" t="s">
        <v>37</v>
      </c>
      <c r="B9" s="51">
        <v>4761.6506508389502</v>
      </c>
      <c r="C9" s="52">
        <v>396.80422090324601</v>
      </c>
      <c r="D9" s="52">
        <v>463.62529999999998</v>
      </c>
      <c r="E9" s="52">
        <v>375.19486000000001</v>
      </c>
      <c r="F9" s="52">
        <v>356.76828000000103</v>
      </c>
      <c r="G9" s="52">
        <v>171.93895000000001</v>
      </c>
      <c r="H9" s="52">
        <v>197.05638999999999</v>
      </c>
      <c r="I9" s="52">
        <v>582.41745000000003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2147.0012299999999</v>
      </c>
      <c r="Q9" s="95">
        <v>0.90178863903899997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259</v>
      </c>
    </row>
    <row r="11" spans="1:17" ht="14.4" customHeight="1" x14ac:dyDescent="0.3">
      <c r="A11" s="15" t="s">
        <v>39</v>
      </c>
      <c r="B11" s="51">
        <v>118.50567054448</v>
      </c>
      <c r="C11" s="52">
        <v>9.8754725453730003</v>
      </c>
      <c r="D11" s="52">
        <v>8.1586599999999994</v>
      </c>
      <c r="E11" s="52">
        <v>8.0162999999999993</v>
      </c>
      <c r="F11" s="52">
        <v>5.4013600000000004</v>
      </c>
      <c r="G11" s="52">
        <v>8.9925899999999999</v>
      </c>
      <c r="H11" s="52">
        <v>8.2935300000000005</v>
      </c>
      <c r="I11" s="52">
        <v>10.881679999999999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49.744120000000002</v>
      </c>
      <c r="Q11" s="95">
        <v>0.83952303331</v>
      </c>
    </row>
    <row r="12" spans="1:17" ht="14.4" customHeight="1" x14ac:dyDescent="0.3">
      <c r="A12" s="15" t="s">
        <v>40</v>
      </c>
      <c r="B12" s="51">
        <v>44.449604794001999</v>
      </c>
      <c r="C12" s="52">
        <v>3.7041337328330002</v>
      </c>
      <c r="D12" s="52">
        <v>0</v>
      </c>
      <c r="E12" s="52">
        <v>0</v>
      </c>
      <c r="F12" s="52">
        <v>1.4830000000000001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1.4830000000000001</v>
      </c>
      <c r="Q12" s="95">
        <v>6.6727252441000001E-2</v>
      </c>
    </row>
    <row r="13" spans="1:17" ht="14.4" customHeight="1" x14ac:dyDescent="0.3">
      <c r="A13" s="15" t="s">
        <v>41</v>
      </c>
      <c r="B13" s="51">
        <v>17</v>
      </c>
      <c r="C13" s="52">
        <v>1.4166666666659999</v>
      </c>
      <c r="D13" s="52">
        <v>0.22989999999999999</v>
      </c>
      <c r="E13" s="52">
        <v>0.69454000000000005</v>
      </c>
      <c r="F13" s="52">
        <v>1.4881</v>
      </c>
      <c r="G13" s="52">
        <v>0.42275000000000001</v>
      </c>
      <c r="H13" s="52">
        <v>0.64476999999999995</v>
      </c>
      <c r="I13" s="52">
        <v>1.5500100000000001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5.0300700000000003</v>
      </c>
      <c r="Q13" s="95">
        <v>0.59177294117599999</v>
      </c>
    </row>
    <row r="14" spans="1:17" ht="14.4" customHeight="1" x14ac:dyDescent="0.3">
      <c r="A14" s="15" t="s">
        <v>42</v>
      </c>
      <c r="B14" s="51">
        <v>167.032400404507</v>
      </c>
      <c r="C14" s="52">
        <v>13.919366700375001</v>
      </c>
      <c r="D14" s="52">
        <v>21.036000000000001</v>
      </c>
      <c r="E14" s="52">
        <v>16.774999999999999</v>
      </c>
      <c r="F14" s="52">
        <v>15.36</v>
      </c>
      <c r="G14" s="52">
        <v>12.991</v>
      </c>
      <c r="H14" s="52">
        <v>11.673</v>
      </c>
      <c r="I14" s="52">
        <v>9.8490000000000002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87.683999999999997</v>
      </c>
      <c r="Q14" s="95">
        <v>1.049904087921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259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259</v>
      </c>
    </row>
    <row r="17" spans="1:17" ht="14.4" customHeight="1" x14ac:dyDescent="0.3">
      <c r="A17" s="15" t="s">
        <v>45</v>
      </c>
      <c r="B17" s="51">
        <v>405.94661257208202</v>
      </c>
      <c r="C17" s="52">
        <v>33.828884381005999</v>
      </c>
      <c r="D17" s="52">
        <v>4.3067599999999997</v>
      </c>
      <c r="E17" s="52">
        <v>2.7297600000000002</v>
      </c>
      <c r="F17" s="52">
        <v>4.4455400000000003</v>
      </c>
      <c r="G17" s="52">
        <v>0</v>
      </c>
      <c r="H17" s="52">
        <v>23.85116</v>
      </c>
      <c r="I17" s="52">
        <v>9.6267600000000009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44.959980000000002</v>
      </c>
      <c r="Q17" s="95">
        <v>0.22150686128399999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1.7230000000000001</v>
      </c>
      <c r="E18" s="52">
        <v>7.1840000000000002</v>
      </c>
      <c r="F18" s="52">
        <v>5.694</v>
      </c>
      <c r="G18" s="52">
        <v>5.79</v>
      </c>
      <c r="H18" s="52">
        <v>27.346</v>
      </c>
      <c r="I18" s="52">
        <v>39.006999999999998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86.744</v>
      </c>
      <c r="Q18" s="95" t="s">
        <v>259</v>
      </c>
    </row>
    <row r="19" spans="1:17" ht="14.4" customHeight="1" x14ac:dyDescent="0.3">
      <c r="A19" s="15" t="s">
        <v>47</v>
      </c>
      <c r="B19" s="51">
        <v>1084.30329821788</v>
      </c>
      <c r="C19" s="52">
        <v>90.358608184822998</v>
      </c>
      <c r="D19" s="52">
        <v>58.690829999999998</v>
      </c>
      <c r="E19" s="52">
        <v>53.188650000000003</v>
      </c>
      <c r="F19" s="52">
        <v>28.14733</v>
      </c>
      <c r="G19" s="52">
        <v>46.838349999999998</v>
      </c>
      <c r="H19" s="52">
        <v>138.87853000000001</v>
      </c>
      <c r="I19" s="52">
        <v>61.798110000000001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387.54180000000002</v>
      </c>
      <c r="Q19" s="95">
        <v>0.71482176737199998</v>
      </c>
    </row>
    <row r="20" spans="1:17" ht="14.4" customHeight="1" x14ac:dyDescent="0.3">
      <c r="A20" s="15" t="s">
        <v>48</v>
      </c>
      <c r="B20" s="51">
        <v>17135</v>
      </c>
      <c r="C20" s="52">
        <v>1427.9166666666699</v>
      </c>
      <c r="D20" s="52">
        <v>1392.0640599999999</v>
      </c>
      <c r="E20" s="52">
        <v>1446.2424000000001</v>
      </c>
      <c r="F20" s="52">
        <v>1514.2360699999999</v>
      </c>
      <c r="G20" s="52">
        <v>1437.4882299999999</v>
      </c>
      <c r="H20" s="52">
        <v>1424.17697</v>
      </c>
      <c r="I20" s="52">
        <v>1486.5432699999999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8700.7510000000002</v>
      </c>
      <c r="Q20" s="95">
        <v>1.0155530784939999</v>
      </c>
    </row>
    <row r="21" spans="1:17" ht="14.4" customHeight="1" x14ac:dyDescent="0.3">
      <c r="A21" s="16" t="s">
        <v>49</v>
      </c>
      <c r="B21" s="51">
        <v>1167</v>
      </c>
      <c r="C21" s="52">
        <v>97.25</v>
      </c>
      <c r="D21" s="52">
        <v>108.065</v>
      </c>
      <c r="E21" s="52">
        <v>96.331000000000003</v>
      </c>
      <c r="F21" s="52">
        <v>96.331000000000003</v>
      </c>
      <c r="G21" s="52">
        <v>96.33</v>
      </c>
      <c r="H21" s="52">
        <v>96.328999999999994</v>
      </c>
      <c r="I21" s="52">
        <v>96.328000000000003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589.71400000000006</v>
      </c>
      <c r="Q21" s="95">
        <v>1.010649528706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10.494</v>
      </c>
      <c r="I22" s="52">
        <v>69.953490000000002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80.447490000000002</v>
      </c>
      <c r="Q22" s="95">
        <v>16.089497999999999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0</v>
      </c>
      <c r="C24" s="52">
        <v>-4.5474735088646402E-13</v>
      </c>
      <c r="D24" s="52">
        <v>-6.99999999E-4</v>
      </c>
      <c r="E24" s="52">
        <v>3.1293000000000002</v>
      </c>
      <c r="F24" s="52">
        <v>6.4822799999990002</v>
      </c>
      <c r="G24" s="52">
        <v>8.0997000000000003</v>
      </c>
      <c r="H24" s="52">
        <v>26.733440000000002</v>
      </c>
      <c r="I24" s="52">
        <v>12.805099999999999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57.249120000001</v>
      </c>
      <c r="Q24" s="95"/>
    </row>
    <row r="25" spans="1:17" ht="14.4" customHeight="1" x14ac:dyDescent="0.3">
      <c r="A25" s="17" t="s">
        <v>53</v>
      </c>
      <c r="B25" s="54">
        <v>24961.0908375607</v>
      </c>
      <c r="C25" s="55">
        <v>2080.0909031300598</v>
      </c>
      <c r="D25" s="55">
        <v>2060.2988300000002</v>
      </c>
      <c r="E25" s="55">
        <v>2011.9643699999999</v>
      </c>
      <c r="F25" s="55">
        <v>2038.30414</v>
      </c>
      <c r="G25" s="55">
        <v>1791.4510600000001</v>
      </c>
      <c r="H25" s="55">
        <v>1968.58035</v>
      </c>
      <c r="I25" s="55">
        <v>2385.2563700000001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12255.85512</v>
      </c>
      <c r="Q25" s="96">
        <v>0.98199675645200002</v>
      </c>
    </row>
    <row r="26" spans="1:17" ht="14.4" customHeight="1" x14ac:dyDescent="0.3">
      <c r="A26" s="15" t="s">
        <v>54</v>
      </c>
      <c r="B26" s="51">
        <v>2687.0938758759899</v>
      </c>
      <c r="C26" s="52">
        <v>223.92448965633201</v>
      </c>
      <c r="D26" s="52">
        <v>197.40085999999999</v>
      </c>
      <c r="E26" s="52">
        <v>199.06254000000001</v>
      </c>
      <c r="F26" s="52">
        <v>238.78685999999999</v>
      </c>
      <c r="G26" s="52">
        <v>218.78208000000001</v>
      </c>
      <c r="H26" s="52">
        <v>227.13946000000001</v>
      </c>
      <c r="I26" s="52">
        <v>255.78778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1336.95958</v>
      </c>
      <c r="Q26" s="95">
        <v>0.99509703922299997</v>
      </c>
    </row>
    <row r="27" spans="1:17" ht="14.4" customHeight="1" x14ac:dyDescent="0.3">
      <c r="A27" s="18" t="s">
        <v>55</v>
      </c>
      <c r="B27" s="54">
        <v>27648.184713436702</v>
      </c>
      <c r="C27" s="55">
        <v>2304.0153927863898</v>
      </c>
      <c r="D27" s="55">
        <v>2257.6996899999999</v>
      </c>
      <c r="E27" s="55">
        <v>2211.02691</v>
      </c>
      <c r="F27" s="55">
        <v>2277.0909999999999</v>
      </c>
      <c r="G27" s="55">
        <v>2010.23314</v>
      </c>
      <c r="H27" s="55">
        <v>2195.7198100000001</v>
      </c>
      <c r="I27" s="55">
        <v>2641.0441500000002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13592.814700000001</v>
      </c>
      <c r="Q27" s="96">
        <v>0.98326995720499999</v>
      </c>
    </row>
    <row r="28" spans="1:17" ht="14.4" customHeight="1" x14ac:dyDescent="0.3">
      <c r="A28" s="16" t="s">
        <v>56</v>
      </c>
      <c r="B28" s="51">
        <v>40</v>
      </c>
      <c r="C28" s="52">
        <v>3.333333333333</v>
      </c>
      <c r="D28" s="52">
        <v>0</v>
      </c>
      <c r="E28" s="52">
        <v>0</v>
      </c>
      <c r="F28" s="52">
        <v>7.0469999999999997</v>
      </c>
      <c r="G28" s="52">
        <v>0</v>
      </c>
      <c r="H28" s="52">
        <v>2.9903200000000001</v>
      </c>
      <c r="I28" s="52">
        <v>7.28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17.317319999999999</v>
      </c>
      <c r="Q28" s="95">
        <v>0.86586600000000002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259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259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236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68" t="s">
        <v>61</v>
      </c>
      <c r="B1" s="368"/>
      <c r="C1" s="368"/>
      <c r="D1" s="368"/>
      <c r="E1" s="368"/>
      <c r="F1" s="368"/>
      <c r="G1" s="368"/>
      <c r="H1" s="373"/>
      <c r="I1" s="373"/>
      <c r="J1" s="373"/>
      <c r="K1" s="373"/>
    </row>
    <row r="2" spans="1:11" s="60" customFormat="1" ht="14.4" customHeight="1" thickBot="1" x14ac:dyDescent="0.35">
      <c r="A2" s="235" t="s">
        <v>258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9" t="s">
        <v>62</v>
      </c>
      <c r="C3" s="370"/>
      <c r="D3" s="370"/>
      <c r="E3" s="370"/>
      <c r="F3" s="376" t="s">
        <v>63</v>
      </c>
      <c r="G3" s="370"/>
      <c r="H3" s="370"/>
      <c r="I3" s="370"/>
      <c r="J3" s="370"/>
      <c r="K3" s="377"/>
    </row>
    <row r="4" spans="1:11" ht="14.4" customHeight="1" x14ac:dyDescent="0.3">
      <c r="A4" s="77"/>
      <c r="B4" s="374"/>
      <c r="C4" s="375"/>
      <c r="D4" s="375"/>
      <c r="E4" s="375"/>
      <c r="F4" s="378" t="s">
        <v>237</v>
      </c>
      <c r="G4" s="380" t="s">
        <v>64</v>
      </c>
      <c r="H4" s="140" t="s">
        <v>141</v>
      </c>
      <c r="I4" s="378" t="s">
        <v>65</v>
      </c>
      <c r="J4" s="380" t="s">
        <v>244</v>
      </c>
      <c r="K4" s="381" t="s">
        <v>238</v>
      </c>
    </row>
    <row r="5" spans="1:11" ht="42" thickBot="1" x14ac:dyDescent="0.35">
      <c r="A5" s="78"/>
      <c r="B5" s="24" t="s">
        <v>240</v>
      </c>
      <c r="C5" s="25" t="s">
        <v>241</v>
      </c>
      <c r="D5" s="26" t="s">
        <v>242</v>
      </c>
      <c r="E5" s="26" t="s">
        <v>243</v>
      </c>
      <c r="F5" s="379"/>
      <c r="G5" s="379"/>
      <c r="H5" s="25" t="s">
        <v>239</v>
      </c>
      <c r="I5" s="379"/>
      <c r="J5" s="379"/>
      <c r="K5" s="382"/>
    </row>
    <row r="6" spans="1:11" ht="14.4" customHeight="1" thickBot="1" x14ac:dyDescent="0.35">
      <c r="A6" s="468" t="s">
        <v>261</v>
      </c>
      <c r="B6" s="450">
        <v>23235.557866586099</v>
      </c>
      <c r="C6" s="450">
        <v>25936.413700000001</v>
      </c>
      <c r="D6" s="451">
        <v>2700.8558334139602</v>
      </c>
      <c r="E6" s="452">
        <v>1.1162380455380001</v>
      </c>
      <c r="F6" s="450">
        <v>24961.0908375607</v>
      </c>
      <c r="G6" s="451">
        <v>12480.545418780401</v>
      </c>
      <c r="H6" s="453">
        <v>2385.2563700000001</v>
      </c>
      <c r="I6" s="450">
        <v>12255.85512</v>
      </c>
      <c r="J6" s="451">
        <v>-224.69029878037</v>
      </c>
      <c r="K6" s="454">
        <v>0.49099837822600001</v>
      </c>
    </row>
    <row r="7" spans="1:11" ht="14.4" customHeight="1" thickBot="1" x14ac:dyDescent="0.35">
      <c r="A7" s="469" t="s">
        <v>262</v>
      </c>
      <c r="B7" s="450">
        <v>5247.6526396947202</v>
      </c>
      <c r="C7" s="450">
        <v>4883.0271499999999</v>
      </c>
      <c r="D7" s="451">
        <v>-364.62548969471101</v>
      </c>
      <c r="E7" s="452">
        <v>0.93051645855200005</v>
      </c>
      <c r="F7" s="450">
        <v>5158.8409267707802</v>
      </c>
      <c r="G7" s="451">
        <v>2579.4204633853901</v>
      </c>
      <c r="H7" s="453">
        <v>609.19474000000002</v>
      </c>
      <c r="I7" s="450">
        <v>2308.4459700000002</v>
      </c>
      <c r="J7" s="451">
        <v>-270.97449338539099</v>
      </c>
      <c r="K7" s="454">
        <v>0.44747376450699999</v>
      </c>
    </row>
    <row r="8" spans="1:11" ht="14.4" customHeight="1" thickBot="1" x14ac:dyDescent="0.35">
      <c r="A8" s="470" t="s">
        <v>263</v>
      </c>
      <c r="B8" s="450">
        <v>5080.6832820361096</v>
      </c>
      <c r="C8" s="450">
        <v>4718.3751499999998</v>
      </c>
      <c r="D8" s="451">
        <v>-362.30813203610802</v>
      </c>
      <c r="E8" s="452">
        <v>0.92868909319299997</v>
      </c>
      <c r="F8" s="450">
        <v>4991.8085263662797</v>
      </c>
      <c r="G8" s="451">
        <v>2495.9042631831398</v>
      </c>
      <c r="H8" s="453">
        <v>599.34573999999998</v>
      </c>
      <c r="I8" s="450">
        <v>2220.76197</v>
      </c>
      <c r="J8" s="451">
        <v>-275.14229318313801</v>
      </c>
      <c r="K8" s="454">
        <v>0.44488124059</v>
      </c>
    </row>
    <row r="9" spans="1:11" ht="14.4" customHeight="1" thickBot="1" x14ac:dyDescent="0.35">
      <c r="A9" s="471" t="s">
        <v>264</v>
      </c>
      <c r="B9" s="455">
        <v>0</v>
      </c>
      <c r="C9" s="455">
        <v>-1.34E-3</v>
      </c>
      <c r="D9" s="456">
        <v>-1.34E-3</v>
      </c>
      <c r="E9" s="457" t="s">
        <v>259</v>
      </c>
      <c r="F9" s="455">
        <v>0</v>
      </c>
      <c r="G9" s="456">
        <v>0</v>
      </c>
      <c r="H9" s="458">
        <v>1E-4</v>
      </c>
      <c r="I9" s="455">
        <v>-1.7600000000000001E-3</v>
      </c>
      <c r="J9" s="456">
        <v>-1.7600000000000001E-3</v>
      </c>
      <c r="K9" s="459" t="s">
        <v>259</v>
      </c>
    </row>
    <row r="10" spans="1:11" ht="14.4" customHeight="1" thickBot="1" x14ac:dyDescent="0.35">
      <c r="A10" s="472" t="s">
        <v>265</v>
      </c>
      <c r="B10" s="450">
        <v>0</v>
      </c>
      <c r="C10" s="450">
        <v>-1.34E-3</v>
      </c>
      <c r="D10" s="451">
        <v>-1.34E-3</v>
      </c>
      <c r="E10" s="460" t="s">
        <v>259</v>
      </c>
      <c r="F10" s="450">
        <v>0</v>
      </c>
      <c r="G10" s="451">
        <v>0</v>
      </c>
      <c r="H10" s="453">
        <v>1E-4</v>
      </c>
      <c r="I10" s="450">
        <v>-1.7600000000000001E-3</v>
      </c>
      <c r="J10" s="451">
        <v>-1.7600000000000001E-3</v>
      </c>
      <c r="K10" s="461" t="s">
        <v>259</v>
      </c>
    </row>
    <row r="11" spans="1:11" ht="14.4" customHeight="1" thickBot="1" x14ac:dyDescent="0.35">
      <c r="A11" s="471" t="s">
        <v>266</v>
      </c>
      <c r="B11" s="455">
        <v>61.000005507048002</v>
      </c>
      <c r="C11" s="455">
        <v>29.187390000000001</v>
      </c>
      <c r="D11" s="456">
        <v>-31.812615507048001</v>
      </c>
      <c r="E11" s="462">
        <v>0.47848176008100002</v>
      </c>
      <c r="F11" s="455">
        <v>50.202600188841998</v>
      </c>
      <c r="G11" s="456">
        <v>25.101300094420999</v>
      </c>
      <c r="H11" s="458">
        <v>4.4965000000000002</v>
      </c>
      <c r="I11" s="455">
        <v>17.505310000000001</v>
      </c>
      <c r="J11" s="456">
        <v>-7.5959900944210004</v>
      </c>
      <c r="K11" s="463">
        <v>0.34869329345700001</v>
      </c>
    </row>
    <row r="12" spans="1:11" ht="14.4" customHeight="1" thickBot="1" x14ac:dyDescent="0.35">
      <c r="A12" s="472" t="s">
        <v>267</v>
      </c>
      <c r="B12" s="450">
        <v>59.000005326489003</v>
      </c>
      <c r="C12" s="450">
        <v>28.996870000000001</v>
      </c>
      <c r="D12" s="451">
        <v>-30.003135326489001</v>
      </c>
      <c r="E12" s="452">
        <v>0.49147232851099998</v>
      </c>
      <c r="F12" s="450">
        <v>50</v>
      </c>
      <c r="G12" s="451">
        <v>25</v>
      </c>
      <c r="H12" s="453">
        <v>4.4965000000000002</v>
      </c>
      <c r="I12" s="450">
        <v>17.505310000000001</v>
      </c>
      <c r="J12" s="451">
        <v>-7.4946900000000003</v>
      </c>
      <c r="K12" s="454">
        <v>0.35010619999999998</v>
      </c>
    </row>
    <row r="13" spans="1:11" ht="14.4" customHeight="1" thickBot="1" x14ac:dyDescent="0.35">
      <c r="A13" s="472" t="s">
        <v>268</v>
      </c>
      <c r="B13" s="450">
        <v>0</v>
      </c>
      <c r="C13" s="450">
        <v>0.19051999999999999</v>
      </c>
      <c r="D13" s="451">
        <v>0.19051999999999999</v>
      </c>
      <c r="E13" s="460" t="s">
        <v>269</v>
      </c>
      <c r="F13" s="450">
        <v>0.20260018884200001</v>
      </c>
      <c r="G13" s="451">
        <v>0.10130009442100001</v>
      </c>
      <c r="H13" s="453">
        <v>0</v>
      </c>
      <c r="I13" s="450">
        <v>0</v>
      </c>
      <c r="J13" s="451">
        <v>-0.10130009442100001</v>
      </c>
      <c r="K13" s="454">
        <v>0</v>
      </c>
    </row>
    <row r="14" spans="1:11" ht="14.4" customHeight="1" thickBot="1" x14ac:dyDescent="0.35">
      <c r="A14" s="472" t="s">
        <v>270</v>
      </c>
      <c r="B14" s="450">
        <v>2.0000001805580001</v>
      </c>
      <c r="C14" s="450">
        <v>0</v>
      </c>
      <c r="D14" s="451">
        <v>-2.0000001805580001</v>
      </c>
      <c r="E14" s="452">
        <v>0</v>
      </c>
      <c r="F14" s="450">
        <v>0</v>
      </c>
      <c r="G14" s="451">
        <v>0</v>
      </c>
      <c r="H14" s="453">
        <v>0</v>
      </c>
      <c r="I14" s="450">
        <v>0</v>
      </c>
      <c r="J14" s="451">
        <v>0</v>
      </c>
      <c r="K14" s="454">
        <v>0</v>
      </c>
    </row>
    <row r="15" spans="1:11" ht="14.4" customHeight="1" thickBot="1" x14ac:dyDescent="0.35">
      <c r="A15" s="471" t="s">
        <v>271</v>
      </c>
      <c r="B15" s="455">
        <v>4880.69347357069</v>
      </c>
      <c r="C15" s="455">
        <v>4529.0268999999998</v>
      </c>
      <c r="D15" s="456">
        <v>-351.66657357068698</v>
      </c>
      <c r="E15" s="462">
        <v>0.927947416596</v>
      </c>
      <c r="F15" s="455">
        <v>4761.6506508389502</v>
      </c>
      <c r="G15" s="456">
        <v>2380.8253254194801</v>
      </c>
      <c r="H15" s="458">
        <v>582.41745000000003</v>
      </c>
      <c r="I15" s="455">
        <v>2147.0012299999999</v>
      </c>
      <c r="J15" s="456">
        <v>-233.82409541947499</v>
      </c>
      <c r="K15" s="463">
        <v>0.450894319519</v>
      </c>
    </row>
    <row r="16" spans="1:11" ht="14.4" customHeight="1" thickBot="1" x14ac:dyDescent="0.35">
      <c r="A16" s="472" t="s">
        <v>272</v>
      </c>
      <c r="B16" s="450">
        <v>4218.0003807988696</v>
      </c>
      <c r="C16" s="450">
        <v>4225.4083600000004</v>
      </c>
      <c r="D16" s="451">
        <v>7.4079792011360004</v>
      </c>
      <c r="E16" s="452">
        <v>1.001756277508</v>
      </c>
      <c r="F16" s="450">
        <v>4199.8662205187202</v>
      </c>
      <c r="G16" s="451">
        <v>2099.9331102593601</v>
      </c>
      <c r="H16" s="453">
        <v>549.69097999999997</v>
      </c>
      <c r="I16" s="450">
        <v>1842.7615599999999</v>
      </c>
      <c r="J16" s="451">
        <v>-257.17155025935898</v>
      </c>
      <c r="K16" s="454">
        <v>0.43876672809099998</v>
      </c>
    </row>
    <row r="17" spans="1:11" ht="14.4" customHeight="1" thickBot="1" x14ac:dyDescent="0.35">
      <c r="A17" s="472" t="s">
        <v>273</v>
      </c>
      <c r="B17" s="450">
        <v>349.61146450698101</v>
      </c>
      <c r="C17" s="450">
        <v>172.02336</v>
      </c>
      <c r="D17" s="451">
        <v>-177.58810450698101</v>
      </c>
      <c r="E17" s="452">
        <v>0.49204153028100001</v>
      </c>
      <c r="F17" s="450">
        <v>349.623541009836</v>
      </c>
      <c r="G17" s="451">
        <v>174.811770504918</v>
      </c>
      <c r="H17" s="453">
        <v>11.605409999999999</v>
      </c>
      <c r="I17" s="450">
        <v>190.74562</v>
      </c>
      <c r="J17" s="451">
        <v>15.933849495081001</v>
      </c>
      <c r="K17" s="454">
        <v>0.54557430386100003</v>
      </c>
    </row>
    <row r="18" spans="1:11" ht="14.4" customHeight="1" thickBot="1" x14ac:dyDescent="0.35">
      <c r="A18" s="472" t="s">
        <v>274</v>
      </c>
      <c r="B18" s="450">
        <v>20.000001805589001</v>
      </c>
      <c r="C18" s="450">
        <v>8.8501200000000004</v>
      </c>
      <c r="D18" s="451">
        <v>-11.149881805589001</v>
      </c>
      <c r="E18" s="452">
        <v>0.44250596004999998</v>
      </c>
      <c r="F18" s="450">
        <v>20</v>
      </c>
      <c r="G18" s="451">
        <v>10</v>
      </c>
      <c r="H18" s="453">
        <v>1.54382</v>
      </c>
      <c r="I18" s="450">
        <v>5.7598000000000003</v>
      </c>
      <c r="J18" s="451">
        <v>-4.2401999999999997</v>
      </c>
      <c r="K18" s="454">
        <v>0.28799000000000002</v>
      </c>
    </row>
    <row r="19" spans="1:11" ht="14.4" customHeight="1" thickBot="1" x14ac:dyDescent="0.35">
      <c r="A19" s="472" t="s">
        <v>275</v>
      </c>
      <c r="B19" s="450">
        <v>270.00002437546101</v>
      </c>
      <c r="C19" s="450">
        <v>104.51130999999999</v>
      </c>
      <c r="D19" s="451">
        <v>-165.488714375461</v>
      </c>
      <c r="E19" s="452">
        <v>0.38707889097999998</v>
      </c>
      <c r="F19" s="450">
        <v>170</v>
      </c>
      <c r="G19" s="451">
        <v>85</v>
      </c>
      <c r="H19" s="453">
        <v>18.055240000000001</v>
      </c>
      <c r="I19" s="450">
        <v>98.224249999999998</v>
      </c>
      <c r="J19" s="451">
        <v>13.22425</v>
      </c>
      <c r="K19" s="454">
        <v>0.57778970588199996</v>
      </c>
    </row>
    <row r="20" spans="1:11" ht="14.4" customHeight="1" thickBot="1" x14ac:dyDescent="0.35">
      <c r="A20" s="472" t="s">
        <v>276</v>
      </c>
      <c r="B20" s="450">
        <v>8.1600007365999996E-2</v>
      </c>
      <c r="C20" s="450">
        <v>8.1599999999E-2</v>
      </c>
      <c r="D20" s="451">
        <v>-7.3668046662867004E-9</v>
      </c>
      <c r="E20" s="452">
        <v>0.99999990971999997</v>
      </c>
      <c r="F20" s="450">
        <v>0.16088931039500001</v>
      </c>
      <c r="G20" s="451">
        <v>8.0444655197000003E-2</v>
      </c>
      <c r="H20" s="453">
        <v>0</v>
      </c>
      <c r="I20" s="450">
        <v>0</v>
      </c>
      <c r="J20" s="451">
        <v>-8.0444655197000003E-2</v>
      </c>
      <c r="K20" s="454">
        <v>0</v>
      </c>
    </row>
    <row r="21" spans="1:11" ht="14.4" customHeight="1" thickBot="1" x14ac:dyDescent="0.35">
      <c r="A21" s="472" t="s">
        <v>277</v>
      </c>
      <c r="B21" s="450">
        <v>7.0000006319560004</v>
      </c>
      <c r="C21" s="450">
        <v>2.7719999999999998</v>
      </c>
      <c r="D21" s="451">
        <v>-4.2280006319560002</v>
      </c>
      <c r="E21" s="452">
        <v>0.39599996424900002</v>
      </c>
      <c r="F21" s="450">
        <v>6</v>
      </c>
      <c r="G21" s="451">
        <v>3</v>
      </c>
      <c r="H21" s="453">
        <v>0.42199999999999999</v>
      </c>
      <c r="I21" s="450">
        <v>1.6180000000000001</v>
      </c>
      <c r="J21" s="451">
        <v>-1.3819999999999999</v>
      </c>
      <c r="K21" s="454">
        <v>0.26966666666599998</v>
      </c>
    </row>
    <row r="22" spans="1:11" ht="14.4" customHeight="1" thickBot="1" x14ac:dyDescent="0.35">
      <c r="A22" s="472" t="s">
        <v>278</v>
      </c>
      <c r="B22" s="450">
        <v>16.000001444471</v>
      </c>
      <c r="C22" s="450">
        <v>15.117000000000001</v>
      </c>
      <c r="D22" s="451">
        <v>-0.88300144447100004</v>
      </c>
      <c r="E22" s="452">
        <v>0.94481241470199995</v>
      </c>
      <c r="F22" s="450">
        <v>16</v>
      </c>
      <c r="G22" s="451">
        <v>8</v>
      </c>
      <c r="H22" s="453">
        <v>1.1000000000000001</v>
      </c>
      <c r="I22" s="450">
        <v>7.8920000000000003</v>
      </c>
      <c r="J22" s="451">
        <v>-0.10799999999899999</v>
      </c>
      <c r="K22" s="454">
        <v>0.49325000000000002</v>
      </c>
    </row>
    <row r="23" spans="1:11" ht="14.4" customHeight="1" thickBot="1" x14ac:dyDescent="0.35">
      <c r="A23" s="472" t="s">
        <v>279</v>
      </c>
      <c r="B23" s="450">
        <v>0</v>
      </c>
      <c r="C23" s="450">
        <v>0.26315</v>
      </c>
      <c r="D23" s="451">
        <v>0.26315</v>
      </c>
      <c r="E23" s="460" t="s">
        <v>269</v>
      </c>
      <c r="F23" s="450">
        <v>0</v>
      </c>
      <c r="G23" s="451">
        <v>0</v>
      </c>
      <c r="H23" s="453">
        <v>0</v>
      </c>
      <c r="I23" s="450">
        <v>0</v>
      </c>
      <c r="J23" s="451">
        <v>0</v>
      </c>
      <c r="K23" s="461" t="s">
        <v>259</v>
      </c>
    </row>
    <row r="24" spans="1:11" ht="14.4" customHeight="1" thickBot="1" x14ac:dyDescent="0.35">
      <c r="A24" s="471" t="s">
        <v>280</v>
      </c>
      <c r="B24" s="455">
        <v>121.415967543451</v>
      </c>
      <c r="C24" s="455">
        <v>97.096789999999999</v>
      </c>
      <c r="D24" s="456">
        <v>-24.319177543451001</v>
      </c>
      <c r="E24" s="462">
        <v>0.79970363012699996</v>
      </c>
      <c r="F24" s="455">
        <v>118.50567054448</v>
      </c>
      <c r="G24" s="456">
        <v>59.252835272239999</v>
      </c>
      <c r="H24" s="458">
        <v>10.881679999999999</v>
      </c>
      <c r="I24" s="455">
        <v>49.744120000000002</v>
      </c>
      <c r="J24" s="456">
        <v>-9.5087152722389998</v>
      </c>
      <c r="K24" s="463">
        <v>0.419761516655</v>
      </c>
    </row>
    <row r="25" spans="1:11" ht="14.4" customHeight="1" thickBot="1" x14ac:dyDescent="0.35">
      <c r="A25" s="472" t="s">
        <v>281</v>
      </c>
      <c r="B25" s="450">
        <v>0.202696304573</v>
      </c>
      <c r="C25" s="450">
        <v>1.5289999999999999</v>
      </c>
      <c r="D25" s="451">
        <v>1.3263036954259999</v>
      </c>
      <c r="E25" s="452">
        <v>7.5433047643120004</v>
      </c>
      <c r="F25" s="450">
        <v>0</v>
      </c>
      <c r="G25" s="451">
        <v>0</v>
      </c>
      <c r="H25" s="453">
        <v>1.1495</v>
      </c>
      <c r="I25" s="450">
        <v>4.1745000000000001</v>
      </c>
      <c r="J25" s="451">
        <v>4.1745000000000001</v>
      </c>
      <c r="K25" s="461" t="s">
        <v>259</v>
      </c>
    </row>
    <row r="26" spans="1:11" ht="14.4" customHeight="1" thickBot="1" x14ac:dyDescent="0.35">
      <c r="A26" s="472" t="s">
        <v>282</v>
      </c>
      <c r="B26" s="450">
        <v>5.0298532918159999</v>
      </c>
      <c r="C26" s="450">
        <v>4.0599400000000001</v>
      </c>
      <c r="D26" s="451">
        <v>-0.96991329181599995</v>
      </c>
      <c r="E26" s="452">
        <v>0.80716867161999994</v>
      </c>
      <c r="F26" s="450">
        <v>5</v>
      </c>
      <c r="G26" s="451">
        <v>2.5</v>
      </c>
      <c r="H26" s="453">
        <v>0.66273000000000004</v>
      </c>
      <c r="I26" s="450">
        <v>2.3077200000000002</v>
      </c>
      <c r="J26" s="451">
        <v>-0.192279999999</v>
      </c>
      <c r="K26" s="454">
        <v>0.46154400000000001</v>
      </c>
    </row>
    <row r="27" spans="1:11" ht="14.4" customHeight="1" thickBot="1" x14ac:dyDescent="0.35">
      <c r="A27" s="472" t="s">
        <v>283</v>
      </c>
      <c r="B27" s="450">
        <v>13.904110480701</v>
      </c>
      <c r="C27" s="450">
        <v>11.10539</v>
      </c>
      <c r="D27" s="451">
        <v>-2.7987204807010002</v>
      </c>
      <c r="E27" s="452">
        <v>0.79871272710399999</v>
      </c>
      <c r="F27" s="450">
        <v>14.349554122374</v>
      </c>
      <c r="G27" s="451">
        <v>7.1747770611870001</v>
      </c>
      <c r="H27" s="453">
        <v>0.53349999999999997</v>
      </c>
      <c r="I27" s="450">
        <v>2.5419</v>
      </c>
      <c r="J27" s="451">
        <v>-4.632877061187</v>
      </c>
      <c r="K27" s="454">
        <v>0.17714139257</v>
      </c>
    </row>
    <row r="28" spans="1:11" ht="14.4" customHeight="1" thickBot="1" x14ac:dyDescent="0.35">
      <c r="A28" s="472" t="s">
        <v>284</v>
      </c>
      <c r="B28" s="450">
        <v>25.113731884147999</v>
      </c>
      <c r="C28" s="450">
        <v>26.365379999999998</v>
      </c>
      <c r="D28" s="451">
        <v>1.251648115851</v>
      </c>
      <c r="E28" s="452">
        <v>1.0498391924229999</v>
      </c>
      <c r="F28" s="450">
        <v>25</v>
      </c>
      <c r="G28" s="451">
        <v>12.5</v>
      </c>
      <c r="H28" s="453">
        <v>2.84646</v>
      </c>
      <c r="I28" s="450">
        <v>12.55808</v>
      </c>
      <c r="J28" s="451">
        <v>5.808E-2</v>
      </c>
      <c r="K28" s="454">
        <v>0.50232319999999997</v>
      </c>
    </row>
    <row r="29" spans="1:11" ht="14.4" customHeight="1" thickBot="1" x14ac:dyDescent="0.35">
      <c r="A29" s="472" t="s">
        <v>285</v>
      </c>
      <c r="B29" s="450">
        <v>1.635730486408</v>
      </c>
      <c r="C29" s="450">
        <v>3.6707900000000002</v>
      </c>
      <c r="D29" s="451">
        <v>2.0350595135909999</v>
      </c>
      <c r="E29" s="452">
        <v>2.2441288650539999</v>
      </c>
      <c r="F29" s="450">
        <v>3.9667456394260001</v>
      </c>
      <c r="G29" s="451">
        <v>1.9833728197130001</v>
      </c>
      <c r="H29" s="453">
        <v>0.65939999999999999</v>
      </c>
      <c r="I29" s="450">
        <v>3.87988</v>
      </c>
      <c r="J29" s="451">
        <v>1.8965071802860001</v>
      </c>
      <c r="K29" s="454">
        <v>0.97810153528300003</v>
      </c>
    </row>
    <row r="30" spans="1:11" ht="14.4" customHeight="1" thickBot="1" x14ac:dyDescent="0.35">
      <c r="A30" s="472" t="s">
        <v>286</v>
      </c>
      <c r="B30" s="450">
        <v>0</v>
      </c>
      <c r="C30" s="450">
        <v>0.73204999999999998</v>
      </c>
      <c r="D30" s="451">
        <v>0.73204999999999998</v>
      </c>
      <c r="E30" s="460" t="s">
        <v>269</v>
      </c>
      <c r="F30" s="450">
        <v>0</v>
      </c>
      <c r="G30" s="451">
        <v>0</v>
      </c>
      <c r="H30" s="453">
        <v>0</v>
      </c>
      <c r="I30" s="450">
        <v>0.22989999999999999</v>
      </c>
      <c r="J30" s="451">
        <v>0.22989999999999999</v>
      </c>
      <c r="K30" s="461" t="s">
        <v>269</v>
      </c>
    </row>
    <row r="31" spans="1:11" ht="14.4" customHeight="1" thickBot="1" x14ac:dyDescent="0.35">
      <c r="A31" s="472" t="s">
        <v>287</v>
      </c>
      <c r="B31" s="450">
        <v>2.1603203219279998</v>
      </c>
      <c r="C31" s="450">
        <v>2.6777299999999999</v>
      </c>
      <c r="D31" s="451">
        <v>0.51740967807100002</v>
      </c>
      <c r="E31" s="452">
        <v>1.2395059995590001</v>
      </c>
      <c r="F31" s="450">
        <v>4</v>
      </c>
      <c r="G31" s="451">
        <v>2</v>
      </c>
      <c r="H31" s="453">
        <v>0</v>
      </c>
      <c r="I31" s="450">
        <v>1.0914200000000001</v>
      </c>
      <c r="J31" s="451">
        <v>-0.90858000000000005</v>
      </c>
      <c r="K31" s="454">
        <v>0.27285500000000001</v>
      </c>
    </row>
    <row r="32" spans="1:11" ht="14.4" customHeight="1" thickBot="1" x14ac:dyDescent="0.35">
      <c r="A32" s="472" t="s">
        <v>288</v>
      </c>
      <c r="B32" s="450">
        <v>14.665919773982001</v>
      </c>
      <c r="C32" s="450">
        <v>16.039809999999999</v>
      </c>
      <c r="D32" s="451">
        <v>1.3738902260170001</v>
      </c>
      <c r="E32" s="452">
        <v>1.0936791041530001</v>
      </c>
      <c r="F32" s="450">
        <v>21.189370782678999</v>
      </c>
      <c r="G32" s="451">
        <v>10.594685391339</v>
      </c>
      <c r="H32" s="453">
        <v>3.3847800000000001</v>
      </c>
      <c r="I32" s="450">
        <v>10.50484</v>
      </c>
      <c r="J32" s="451">
        <v>-8.9845391339000005E-2</v>
      </c>
      <c r="K32" s="454">
        <v>0.49575988393999998</v>
      </c>
    </row>
    <row r="33" spans="1:11" ht="14.4" customHeight="1" thickBot="1" x14ac:dyDescent="0.35">
      <c r="A33" s="472" t="s">
        <v>289</v>
      </c>
      <c r="B33" s="450">
        <v>0</v>
      </c>
      <c r="C33" s="450">
        <v>0</v>
      </c>
      <c r="D33" s="451">
        <v>0</v>
      </c>
      <c r="E33" s="452">
        <v>1</v>
      </c>
      <c r="F33" s="450">
        <v>0</v>
      </c>
      <c r="G33" s="451">
        <v>0</v>
      </c>
      <c r="H33" s="453">
        <v>0</v>
      </c>
      <c r="I33" s="450">
        <v>1.5318499999999999</v>
      </c>
      <c r="J33" s="451">
        <v>1.5318499999999999</v>
      </c>
      <c r="K33" s="461" t="s">
        <v>269</v>
      </c>
    </row>
    <row r="34" spans="1:11" ht="14.4" customHeight="1" thickBot="1" x14ac:dyDescent="0.35">
      <c r="A34" s="472" t="s">
        <v>290</v>
      </c>
      <c r="B34" s="450">
        <v>29.986486371885999</v>
      </c>
      <c r="C34" s="450">
        <v>26.197700000000001</v>
      </c>
      <c r="D34" s="451">
        <v>-3.7887863718860002</v>
      </c>
      <c r="E34" s="452">
        <v>0.87365020613199995</v>
      </c>
      <c r="F34" s="450">
        <v>30</v>
      </c>
      <c r="G34" s="451">
        <v>15</v>
      </c>
      <c r="H34" s="453">
        <v>1.6453100000000001</v>
      </c>
      <c r="I34" s="450">
        <v>8.0926299999999998</v>
      </c>
      <c r="J34" s="451">
        <v>-6.9073700000000002</v>
      </c>
      <c r="K34" s="454">
        <v>0.26975433333299997</v>
      </c>
    </row>
    <row r="35" spans="1:11" ht="14.4" customHeight="1" thickBot="1" x14ac:dyDescent="0.35">
      <c r="A35" s="472" t="s">
        <v>291</v>
      </c>
      <c r="B35" s="450">
        <v>28.717118628005</v>
      </c>
      <c r="C35" s="450">
        <v>4.7190000000000003</v>
      </c>
      <c r="D35" s="451">
        <v>-23.998118628004999</v>
      </c>
      <c r="E35" s="452">
        <v>0.16432707128900001</v>
      </c>
      <c r="F35" s="450">
        <v>15</v>
      </c>
      <c r="G35" s="451">
        <v>7.5</v>
      </c>
      <c r="H35" s="453">
        <v>0</v>
      </c>
      <c r="I35" s="450">
        <v>2.8313999999999999</v>
      </c>
      <c r="J35" s="451">
        <v>-4.6685999999999996</v>
      </c>
      <c r="K35" s="454">
        <v>0.18876000000000001</v>
      </c>
    </row>
    <row r="36" spans="1:11" ht="14.4" customHeight="1" thickBot="1" x14ac:dyDescent="0.35">
      <c r="A36" s="471" t="s">
        <v>292</v>
      </c>
      <c r="B36" s="455">
        <v>12.511808808171001</v>
      </c>
      <c r="C36" s="455">
        <v>38.66836</v>
      </c>
      <c r="D36" s="456">
        <v>26.156551191828001</v>
      </c>
      <c r="E36" s="462">
        <v>3.0905491438410002</v>
      </c>
      <c r="F36" s="455">
        <v>44.449604794001999</v>
      </c>
      <c r="G36" s="456">
        <v>22.224802397001</v>
      </c>
      <c r="H36" s="458">
        <v>0</v>
      </c>
      <c r="I36" s="455">
        <v>1.4830000000000001</v>
      </c>
      <c r="J36" s="456">
        <v>-20.741802397000999</v>
      </c>
      <c r="K36" s="463">
        <v>3.3363626219999998E-2</v>
      </c>
    </row>
    <row r="37" spans="1:11" ht="14.4" customHeight="1" thickBot="1" x14ac:dyDescent="0.35">
      <c r="A37" s="472" t="s">
        <v>293</v>
      </c>
      <c r="B37" s="450">
        <v>4.4711247740570004</v>
      </c>
      <c r="C37" s="450">
        <v>4.8689999999999998</v>
      </c>
      <c r="D37" s="451">
        <v>0.39787522594199998</v>
      </c>
      <c r="E37" s="452">
        <v>1.0889877259180001</v>
      </c>
      <c r="F37" s="450">
        <v>6.3488781153789997</v>
      </c>
      <c r="G37" s="451">
        <v>3.1744390576889998</v>
      </c>
      <c r="H37" s="453">
        <v>0</v>
      </c>
      <c r="I37" s="450">
        <v>0</v>
      </c>
      <c r="J37" s="451">
        <v>-3.1744390576889998</v>
      </c>
      <c r="K37" s="454">
        <v>0</v>
      </c>
    </row>
    <row r="38" spans="1:11" ht="14.4" customHeight="1" thickBot="1" x14ac:dyDescent="0.35">
      <c r="A38" s="472" t="s">
        <v>294</v>
      </c>
      <c r="B38" s="450">
        <v>5.8923950605710003</v>
      </c>
      <c r="C38" s="450">
        <v>32.218960000000003</v>
      </c>
      <c r="D38" s="451">
        <v>26.326564939428</v>
      </c>
      <c r="E38" s="452">
        <v>5.4678886376079996</v>
      </c>
      <c r="F38" s="450">
        <v>34.482620857838</v>
      </c>
      <c r="G38" s="451">
        <v>17.241310428919</v>
      </c>
      <c r="H38" s="453">
        <v>0</v>
      </c>
      <c r="I38" s="450">
        <v>0</v>
      </c>
      <c r="J38" s="451">
        <v>-17.241310428919</v>
      </c>
      <c r="K38" s="454">
        <v>0</v>
      </c>
    </row>
    <row r="39" spans="1:11" ht="14.4" customHeight="1" thickBot="1" x14ac:dyDescent="0.35">
      <c r="A39" s="472" t="s">
        <v>295</v>
      </c>
      <c r="B39" s="450">
        <v>2.1482889735419999</v>
      </c>
      <c r="C39" s="450">
        <v>1.5804</v>
      </c>
      <c r="D39" s="451">
        <v>-0.56788897354199996</v>
      </c>
      <c r="E39" s="452">
        <v>0.73565522118399995</v>
      </c>
      <c r="F39" s="450">
        <v>3.6181058207839998</v>
      </c>
      <c r="G39" s="451">
        <v>1.8090529103919999</v>
      </c>
      <c r="H39" s="453">
        <v>0</v>
      </c>
      <c r="I39" s="450">
        <v>1.4830000000000001</v>
      </c>
      <c r="J39" s="451">
        <v>-0.32605291039200002</v>
      </c>
      <c r="K39" s="454">
        <v>0.40988298116600003</v>
      </c>
    </row>
    <row r="40" spans="1:11" ht="14.4" customHeight="1" thickBot="1" x14ac:dyDescent="0.35">
      <c r="A40" s="471" t="s">
        <v>296</v>
      </c>
      <c r="B40" s="455">
        <v>5.0620266067459996</v>
      </c>
      <c r="C40" s="455">
        <v>16.505050000000001</v>
      </c>
      <c r="D40" s="456">
        <v>11.443023393253</v>
      </c>
      <c r="E40" s="462">
        <v>3.2605616845230001</v>
      </c>
      <c r="F40" s="455">
        <v>17</v>
      </c>
      <c r="G40" s="456">
        <v>8.5</v>
      </c>
      <c r="H40" s="458">
        <v>1.5500100000000001</v>
      </c>
      <c r="I40" s="455">
        <v>5.0300700000000003</v>
      </c>
      <c r="J40" s="456">
        <v>-3.4699300000000002</v>
      </c>
      <c r="K40" s="463">
        <v>0.29588647058799999</v>
      </c>
    </row>
    <row r="41" spans="1:11" ht="14.4" customHeight="1" thickBot="1" x14ac:dyDescent="0.35">
      <c r="A41" s="472" t="s">
        <v>297</v>
      </c>
      <c r="B41" s="450">
        <v>0</v>
      </c>
      <c r="C41" s="450">
        <v>11.806990000000001</v>
      </c>
      <c r="D41" s="451">
        <v>11.806990000000001</v>
      </c>
      <c r="E41" s="460" t="s">
        <v>259</v>
      </c>
      <c r="F41" s="450">
        <v>13</v>
      </c>
      <c r="G41" s="451">
        <v>6.5</v>
      </c>
      <c r="H41" s="453">
        <v>1.5500100000000001</v>
      </c>
      <c r="I41" s="450">
        <v>3.93729</v>
      </c>
      <c r="J41" s="451">
        <v>-2.56271</v>
      </c>
      <c r="K41" s="454">
        <v>0.30286846153800001</v>
      </c>
    </row>
    <row r="42" spans="1:11" ht="14.4" customHeight="1" thickBot="1" x14ac:dyDescent="0.35">
      <c r="A42" s="472" t="s">
        <v>298</v>
      </c>
      <c r="B42" s="450">
        <v>0.41976352313499998</v>
      </c>
      <c r="C42" s="450">
        <v>0</v>
      </c>
      <c r="D42" s="451">
        <v>-0.41976352313499998</v>
      </c>
      <c r="E42" s="452">
        <v>0</v>
      </c>
      <c r="F42" s="450">
        <v>0</v>
      </c>
      <c r="G42" s="451">
        <v>0</v>
      </c>
      <c r="H42" s="453">
        <v>0</v>
      </c>
      <c r="I42" s="450">
        <v>0</v>
      </c>
      <c r="J42" s="451">
        <v>0</v>
      </c>
      <c r="K42" s="454">
        <v>0</v>
      </c>
    </row>
    <row r="43" spans="1:11" ht="14.4" customHeight="1" thickBot="1" x14ac:dyDescent="0.35">
      <c r="A43" s="472" t="s">
        <v>299</v>
      </c>
      <c r="B43" s="450">
        <v>0.14129044004399999</v>
      </c>
      <c r="C43" s="450">
        <v>8.616E-2</v>
      </c>
      <c r="D43" s="451">
        <v>-5.5130440044000001E-2</v>
      </c>
      <c r="E43" s="452">
        <v>0.60980771220600005</v>
      </c>
      <c r="F43" s="450">
        <v>0</v>
      </c>
      <c r="G43" s="451">
        <v>0</v>
      </c>
      <c r="H43" s="453">
        <v>0</v>
      </c>
      <c r="I43" s="450">
        <v>0</v>
      </c>
      <c r="J43" s="451">
        <v>0</v>
      </c>
      <c r="K43" s="454">
        <v>0</v>
      </c>
    </row>
    <row r="44" spans="1:11" ht="14.4" customHeight="1" thickBot="1" x14ac:dyDescent="0.35">
      <c r="A44" s="472" t="s">
        <v>300</v>
      </c>
      <c r="B44" s="450">
        <v>1.5009723727290001</v>
      </c>
      <c r="C44" s="450">
        <v>1.6276900000000001</v>
      </c>
      <c r="D44" s="451">
        <v>0.12671762726999999</v>
      </c>
      <c r="E44" s="452">
        <v>1.08442369065</v>
      </c>
      <c r="F44" s="450">
        <v>1</v>
      </c>
      <c r="G44" s="451">
        <v>0.5</v>
      </c>
      <c r="H44" s="453">
        <v>0</v>
      </c>
      <c r="I44" s="450">
        <v>0</v>
      </c>
      <c r="J44" s="451">
        <v>-0.5</v>
      </c>
      <c r="K44" s="454">
        <v>0</v>
      </c>
    </row>
    <row r="45" spans="1:11" ht="14.4" customHeight="1" thickBot="1" x14ac:dyDescent="0.35">
      <c r="A45" s="472" t="s">
        <v>301</v>
      </c>
      <c r="B45" s="450">
        <v>3.000000270838</v>
      </c>
      <c r="C45" s="450">
        <v>2.98421</v>
      </c>
      <c r="D45" s="451">
        <v>-1.5790270838000001E-2</v>
      </c>
      <c r="E45" s="452">
        <v>0.99473657686200001</v>
      </c>
      <c r="F45" s="450">
        <v>3</v>
      </c>
      <c r="G45" s="451">
        <v>1.5</v>
      </c>
      <c r="H45" s="453">
        <v>0</v>
      </c>
      <c r="I45" s="450">
        <v>1.0927800000000001</v>
      </c>
      <c r="J45" s="451">
        <v>-0.40722000000000003</v>
      </c>
      <c r="K45" s="454">
        <v>0.36425999999999997</v>
      </c>
    </row>
    <row r="46" spans="1:11" ht="14.4" customHeight="1" thickBot="1" x14ac:dyDescent="0.35">
      <c r="A46" s="471" t="s">
        <v>302</v>
      </c>
      <c r="B46" s="455">
        <v>0</v>
      </c>
      <c r="C46" s="455">
        <v>7.8920000000000003</v>
      </c>
      <c r="D46" s="456">
        <v>7.8920000000000003</v>
      </c>
      <c r="E46" s="457" t="s">
        <v>269</v>
      </c>
      <c r="F46" s="455">
        <v>0</v>
      </c>
      <c r="G46" s="456">
        <v>0</v>
      </c>
      <c r="H46" s="458">
        <v>0</v>
      </c>
      <c r="I46" s="455">
        <v>0</v>
      </c>
      <c r="J46" s="456">
        <v>0</v>
      </c>
      <c r="K46" s="459" t="s">
        <v>259</v>
      </c>
    </row>
    <row r="47" spans="1:11" ht="14.4" customHeight="1" thickBot="1" x14ac:dyDescent="0.35">
      <c r="A47" s="472" t="s">
        <v>303</v>
      </c>
      <c r="B47" s="450">
        <v>0</v>
      </c>
      <c r="C47" s="450">
        <v>7.8920000000000003</v>
      </c>
      <c r="D47" s="451">
        <v>7.8920000000000003</v>
      </c>
      <c r="E47" s="460" t="s">
        <v>269</v>
      </c>
      <c r="F47" s="450">
        <v>0</v>
      </c>
      <c r="G47" s="451">
        <v>0</v>
      </c>
      <c r="H47" s="453">
        <v>0</v>
      </c>
      <c r="I47" s="450">
        <v>0</v>
      </c>
      <c r="J47" s="451">
        <v>0</v>
      </c>
      <c r="K47" s="461" t="s">
        <v>259</v>
      </c>
    </row>
    <row r="48" spans="1:11" ht="14.4" customHeight="1" thickBot="1" x14ac:dyDescent="0.35">
      <c r="A48" s="470" t="s">
        <v>42</v>
      </c>
      <c r="B48" s="450">
        <v>166.969357658604</v>
      </c>
      <c r="C48" s="450">
        <v>164.65199999999999</v>
      </c>
      <c r="D48" s="451">
        <v>-2.3173576586040001</v>
      </c>
      <c r="E48" s="452">
        <v>0.98612106022799995</v>
      </c>
      <c r="F48" s="450">
        <v>167.032400404507</v>
      </c>
      <c r="G48" s="451">
        <v>83.516200202253003</v>
      </c>
      <c r="H48" s="453">
        <v>9.8490000000000002</v>
      </c>
      <c r="I48" s="450">
        <v>87.683999999999997</v>
      </c>
      <c r="J48" s="451">
        <v>4.1677997977460004</v>
      </c>
      <c r="K48" s="454">
        <v>0.52495204395999995</v>
      </c>
    </row>
    <row r="49" spans="1:11" ht="14.4" customHeight="1" thickBot="1" x14ac:dyDescent="0.35">
      <c r="A49" s="471" t="s">
        <v>304</v>
      </c>
      <c r="B49" s="455">
        <v>166.969357658604</v>
      </c>
      <c r="C49" s="455">
        <v>164.65199999999999</v>
      </c>
      <c r="D49" s="456">
        <v>-2.3173576586040001</v>
      </c>
      <c r="E49" s="462">
        <v>0.98612106022799995</v>
      </c>
      <c r="F49" s="455">
        <v>167.032400404507</v>
      </c>
      <c r="G49" s="456">
        <v>83.516200202253003</v>
      </c>
      <c r="H49" s="458">
        <v>9.8490000000000002</v>
      </c>
      <c r="I49" s="455">
        <v>87.683999999999997</v>
      </c>
      <c r="J49" s="456">
        <v>4.1677997977460004</v>
      </c>
      <c r="K49" s="463">
        <v>0.52495204395999995</v>
      </c>
    </row>
    <row r="50" spans="1:11" ht="14.4" customHeight="1" thickBot="1" x14ac:dyDescent="0.35">
      <c r="A50" s="472" t="s">
        <v>305</v>
      </c>
      <c r="B50" s="450">
        <v>59.945411911736997</v>
      </c>
      <c r="C50" s="450">
        <v>54.466999999999999</v>
      </c>
      <c r="D50" s="451">
        <v>-5.478411911737</v>
      </c>
      <c r="E50" s="452">
        <v>0.90860998803699999</v>
      </c>
      <c r="F50" s="450">
        <v>55.999999999998998</v>
      </c>
      <c r="G50" s="451">
        <v>27.999999999999002</v>
      </c>
      <c r="H50" s="453">
        <v>5.0880000000000001</v>
      </c>
      <c r="I50" s="450">
        <v>28.298999999999999</v>
      </c>
      <c r="J50" s="451">
        <v>0.29899999999999999</v>
      </c>
      <c r="K50" s="454">
        <v>0.505339285714</v>
      </c>
    </row>
    <row r="51" spans="1:11" ht="14.4" customHeight="1" thickBot="1" x14ac:dyDescent="0.35">
      <c r="A51" s="472" t="s">
        <v>306</v>
      </c>
      <c r="B51" s="450">
        <v>24.999995365596</v>
      </c>
      <c r="C51" s="450">
        <v>25.033000000000001</v>
      </c>
      <c r="D51" s="451">
        <v>3.3004634402999999E-2</v>
      </c>
      <c r="E51" s="452">
        <v>1.00132018562</v>
      </c>
      <c r="F51" s="450">
        <v>27.032400404507001</v>
      </c>
      <c r="G51" s="451">
        <v>13.516200202253</v>
      </c>
      <c r="H51" s="453">
        <v>2.036</v>
      </c>
      <c r="I51" s="450">
        <v>12.83</v>
      </c>
      <c r="J51" s="451">
        <v>-0.68620020225300005</v>
      </c>
      <c r="K51" s="454">
        <v>0.47461563930700001</v>
      </c>
    </row>
    <row r="52" spans="1:11" ht="14.4" customHeight="1" thickBot="1" x14ac:dyDescent="0.35">
      <c r="A52" s="472" t="s">
        <v>307</v>
      </c>
      <c r="B52" s="450">
        <v>82.023950381269998</v>
      </c>
      <c r="C52" s="450">
        <v>85.152000000000001</v>
      </c>
      <c r="D52" s="451">
        <v>3.1280496187289999</v>
      </c>
      <c r="E52" s="452">
        <v>1.0381358079459999</v>
      </c>
      <c r="F52" s="450">
        <v>83.999999999999005</v>
      </c>
      <c r="G52" s="451">
        <v>41.999999999998998</v>
      </c>
      <c r="H52" s="453">
        <v>2.7250000000000001</v>
      </c>
      <c r="I52" s="450">
        <v>46.555</v>
      </c>
      <c r="J52" s="451">
        <v>4.5549999999999997</v>
      </c>
      <c r="K52" s="454">
        <v>0.55422619047599997</v>
      </c>
    </row>
    <row r="53" spans="1:11" ht="14.4" customHeight="1" thickBot="1" x14ac:dyDescent="0.35">
      <c r="A53" s="473" t="s">
        <v>308</v>
      </c>
      <c r="B53" s="455">
        <v>1230.0116285635399</v>
      </c>
      <c r="C53" s="455">
        <v>1603.9986100000001</v>
      </c>
      <c r="D53" s="456">
        <v>373.98698143646197</v>
      </c>
      <c r="E53" s="462">
        <v>1.3040515819130001</v>
      </c>
      <c r="F53" s="455">
        <v>1490.24991078996</v>
      </c>
      <c r="G53" s="456">
        <v>745.12495539498002</v>
      </c>
      <c r="H53" s="458">
        <v>110.43187</v>
      </c>
      <c r="I53" s="455">
        <v>519.24577999999997</v>
      </c>
      <c r="J53" s="456">
        <v>-225.87917539498</v>
      </c>
      <c r="K53" s="463">
        <v>0.34842866034699999</v>
      </c>
    </row>
    <row r="54" spans="1:11" ht="14.4" customHeight="1" thickBot="1" x14ac:dyDescent="0.35">
      <c r="A54" s="470" t="s">
        <v>45</v>
      </c>
      <c r="B54" s="450">
        <v>91.007854056926007</v>
      </c>
      <c r="C54" s="450">
        <v>384.71105</v>
      </c>
      <c r="D54" s="451">
        <v>293.70319594307398</v>
      </c>
      <c r="E54" s="452">
        <v>4.2272291110099998</v>
      </c>
      <c r="F54" s="450">
        <v>405.94661257208202</v>
      </c>
      <c r="G54" s="451">
        <v>202.97330628604101</v>
      </c>
      <c r="H54" s="453">
        <v>9.6267600000000009</v>
      </c>
      <c r="I54" s="450">
        <v>44.959980000000002</v>
      </c>
      <c r="J54" s="451">
        <v>-158.01332628604101</v>
      </c>
      <c r="K54" s="454">
        <v>0.11075343064199999</v>
      </c>
    </row>
    <row r="55" spans="1:11" ht="14.4" customHeight="1" thickBot="1" x14ac:dyDescent="0.35">
      <c r="A55" s="474" t="s">
        <v>309</v>
      </c>
      <c r="B55" s="450">
        <v>91.007854056926007</v>
      </c>
      <c r="C55" s="450">
        <v>384.71105</v>
      </c>
      <c r="D55" s="451">
        <v>293.70319594307398</v>
      </c>
      <c r="E55" s="452">
        <v>4.2272291110099998</v>
      </c>
      <c r="F55" s="450">
        <v>405.94661257208202</v>
      </c>
      <c r="G55" s="451">
        <v>202.97330628604101</v>
      </c>
      <c r="H55" s="453">
        <v>9.6267600000000009</v>
      </c>
      <c r="I55" s="450">
        <v>44.959980000000002</v>
      </c>
      <c r="J55" s="451">
        <v>-158.01332628604101</v>
      </c>
      <c r="K55" s="454">
        <v>0.11075343064199999</v>
      </c>
    </row>
    <row r="56" spans="1:11" ht="14.4" customHeight="1" thickBot="1" x14ac:dyDescent="0.35">
      <c r="A56" s="472" t="s">
        <v>310</v>
      </c>
      <c r="B56" s="450">
        <v>21.338543037699999</v>
      </c>
      <c r="C56" s="450">
        <v>296.82420000000002</v>
      </c>
      <c r="D56" s="451">
        <v>275.485656962299</v>
      </c>
      <c r="E56" s="452">
        <v>13.910237426967999</v>
      </c>
      <c r="F56" s="450">
        <v>304.56326156191699</v>
      </c>
      <c r="G56" s="451">
        <v>152.28163078095801</v>
      </c>
      <c r="H56" s="453">
        <v>0</v>
      </c>
      <c r="I56" s="450">
        <v>1.6677500000000001</v>
      </c>
      <c r="J56" s="451">
        <v>-150.613880780958</v>
      </c>
      <c r="K56" s="454">
        <v>5.4758738509999997E-3</v>
      </c>
    </row>
    <row r="57" spans="1:11" ht="14.4" customHeight="1" thickBot="1" x14ac:dyDescent="0.35">
      <c r="A57" s="472" t="s">
        <v>311</v>
      </c>
      <c r="B57" s="450">
        <v>16.568127304151002</v>
      </c>
      <c r="C57" s="450">
        <v>0</v>
      </c>
      <c r="D57" s="451">
        <v>-16.568127304151002</v>
      </c>
      <c r="E57" s="452">
        <v>0</v>
      </c>
      <c r="F57" s="450">
        <v>0</v>
      </c>
      <c r="G57" s="451">
        <v>0</v>
      </c>
      <c r="H57" s="453">
        <v>0</v>
      </c>
      <c r="I57" s="450">
        <v>0</v>
      </c>
      <c r="J57" s="451">
        <v>0</v>
      </c>
      <c r="K57" s="454">
        <v>0</v>
      </c>
    </row>
    <row r="58" spans="1:11" ht="14.4" customHeight="1" thickBot="1" x14ac:dyDescent="0.35">
      <c r="A58" s="472" t="s">
        <v>312</v>
      </c>
      <c r="B58" s="450">
        <v>0</v>
      </c>
      <c r="C58" s="450">
        <v>2.6139999999999999</v>
      </c>
      <c r="D58" s="451">
        <v>2.6139999999999999</v>
      </c>
      <c r="E58" s="460" t="s">
        <v>259</v>
      </c>
      <c r="F58" s="450">
        <v>1.383351010165</v>
      </c>
      <c r="G58" s="451">
        <v>0.69167550508200004</v>
      </c>
      <c r="H58" s="453">
        <v>6.8970000000000002</v>
      </c>
      <c r="I58" s="450">
        <v>23.360299999999999</v>
      </c>
      <c r="J58" s="451">
        <v>22.668624494917001</v>
      </c>
      <c r="K58" s="454">
        <v>0</v>
      </c>
    </row>
    <row r="59" spans="1:11" ht="14.4" customHeight="1" thickBot="1" x14ac:dyDescent="0.35">
      <c r="A59" s="472" t="s">
        <v>313</v>
      </c>
      <c r="B59" s="450">
        <v>11.006291240909</v>
      </c>
      <c r="C59" s="450">
        <v>41.697940000000003</v>
      </c>
      <c r="D59" s="451">
        <v>30.69164875909</v>
      </c>
      <c r="E59" s="452">
        <v>3.7885550261479999</v>
      </c>
      <c r="F59" s="450">
        <v>49.999999999998998</v>
      </c>
      <c r="G59" s="451">
        <v>25</v>
      </c>
      <c r="H59" s="453">
        <v>0</v>
      </c>
      <c r="I59" s="450">
        <v>1.7157800000000001</v>
      </c>
      <c r="J59" s="451">
        <v>-23.284220000000001</v>
      </c>
      <c r="K59" s="454">
        <v>3.4315600000000002E-2</v>
      </c>
    </row>
    <row r="60" spans="1:11" ht="14.4" customHeight="1" thickBot="1" x14ac:dyDescent="0.35">
      <c r="A60" s="472" t="s">
        <v>314</v>
      </c>
      <c r="B60" s="450">
        <v>42.094892474165</v>
      </c>
      <c r="C60" s="450">
        <v>43.574910000000003</v>
      </c>
      <c r="D60" s="451">
        <v>1.480017525834</v>
      </c>
      <c r="E60" s="452">
        <v>1.03515907605</v>
      </c>
      <c r="F60" s="450">
        <v>49.999999999998998</v>
      </c>
      <c r="G60" s="451">
        <v>24.999999999999002</v>
      </c>
      <c r="H60" s="453">
        <v>2.7297600000000002</v>
      </c>
      <c r="I60" s="450">
        <v>18.216149999999999</v>
      </c>
      <c r="J60" s="451">
        <v>-6.7838499999990001</v>
      </c>
      <c r="K60" s="454">
        <v>0.36432300000000001</v>
      </c>
    </row>
    <row r="61" spans="1:11" ht="14.4" customHeight="1" thickBot="1" x14ac:dyDescent="0.35">
      <c r="A61" s="475" t="s">
        <v>46</v>
      </c>
      <c r="B61" s="455">
        <v>0</v>
      </c>
      <c r="C61" s="455">
        <v>130.45500000000001</v>
      </c>
      <c r="D61" s="456">
        <v>130.45500000000001</v>
      </c>
      <c r="E61" s="457" t="s">
        <v>259</v>
      </c>
      <c r="F61" s="455">
        <v>0</v>
      </c>
      <c r="G61" s="456">
        <v>0</v>
      </c>
      <c r="H61" s="458">
        <v>39.006999999999998</v>
      </c>
      <c r="I61" s="455">
        <v>86.744</v>
      </c>
      <c r="J61" s="456">
        <v>86.744</v>
      </c>
      <c r="K61" s="459" t="s">
        <v>259</v>
      </c>
    </row>
    <row r="62" spans="1:11" ht="14.4" customHeight="1" thickBot="1" x14ac:dyDescent="0.35">
      <c r="A62" s="471" t="s">
        <v>315</v>
      </c>
      <c r="B62" s="455">
        <v>0</v>
      </c>
      <c r="C62" s="455">
        <v>51.35</v>
      </c>
      <c r="D62" s="456">
        <v>51.35</v>
      </c>
      <c r="E62" s="457" t="s">
        <v>259</v>
      </c>
      <c r="F62" s="455">
        <v>0</v>
      </c>
      <c r="G62" s="456">
        <v>0</v>
      </c>
      <c r="H62" s="458">
        <v>2.0489999999999999</v>
      </c>
      <c r="I62" s="455">
        <v>28.173999999999999</v>
      </c>
      <c r="J62" s="456">
        <v>28.173999999999999</v>
      </c>
      <c r="K62" s="459" t="s">
        <v>259</v>
      </c>
    </row>
    <row r="63" spans="1:11" ht="14.4" customHeight="1" thickBot="1" x14ac:dyDescent="0.35">
      <c r="A63" s="472" t="s">
        <v>316</v>
      </c>
      <c r="B63" s="450">
        <v>0</v>
      </c>
      <c r="C63" s="450">
        <v>46.71</v>
      </c>
      <c r="D63" s="451">
        <v>46.71</v>
      </c>
      <c r="E63" s="460" t="s">
        <v>259</v>
      </c>
      <c r="F63" s="450">
        <v>0</v>
      </c>
      <c r="G63" s="451">
        <v>0</v>
      </c>
      <c r="H63" s="453">
        <v>2.0489999999999999</v>
      </c>
      <c r="I63" s="450">
        <v>27.423999999999999</v>
      </c>
      <c r="J63" s="451">
        <v>27.423999999999999</v>
      </c>
      <c r="K63" s="461" t="s">
        <v>259</v>
      </c>
    </row>
    <row r="64" spans="1:11" ht="14.4" customHeight="1" thickBot="1" x14ac:dyDescent="0.35">
      <c r="A64" s="472" t="s">
        <v>317</v>
      </c>
      <c r="B64" s="450">
        <v>0</v>
      </c>
      <c r="C64" s="450">
        <v>4.6399999999999997</v>
      </c>
      <c r="D64" s="451">
        <v>4.6399999999999997</v>
      </c>
      <c r="E64" s="460" t="s">
        <v>269</v>
      </c>
      <c r="F64" s="450">
        <v>0</v>
      </c>
      <c r="G64" s="451">
        <v>0</v>
      </c>
      <c r="H64" s="453">
        <v>0</v>
      </c>
      <c r="I64" s="450">
        <v>0.75</v>
      </c>
      <c r="J64" s="451">
        <v>0.75</v>
      </c>
      <c r="K64" s="461" t="s">
        <v>259</v>
      </c>
    </row>
    <row r="65" spans="1:11" ht="14.4" customHeight="1" thickBot="1" x14ac:dyDescent="0.35">
      <c r="A65" s="471" t="s">
        <v>318</v>
      </c>
      <c r="B65" s="455">
        <v>0</v>
      </c>
      <c r="C65" s="455">
        <v>79.105000000000004</v>
      </c>
      <c r="D65" s="456">
        <v>79.105000000000004</v>
      </c>
      <c r="E65" s="457" t="s">
        <v>259</v>
      </c>
      <c r="F65" s="455">
        <v>0</v>
      </c>
      <c r="G65" s="456">
        <v>0</v>
      </c>
      <c r="H65" s="458">
        <v>36.957999999999998</v>
      </c>
      <c r="I65" s="455">
        <v>58.57</v>
      </c>
      <c r="J65" s="456">
        <v>58.57</v>
      </c>
      <c r="K65" s="459" t="s">
        <v>259</v>
      </c>
    </row>
    <row r="66" spans="1:11" ht="14.4" customHeight="1" thickBot="1" x14ac:dyDescent="0.35">
      <c r="A66" s="472" t="s">
        <v>319</v>
      </c>
      <c r="B66" s="450">
        <v>0</v>
      </c>
      <c r="C66" s="450">
        <v>79.105000000000004</v>
      </c>
      <c r="D66" s="451">
        <v>79.105000000000004</v>
      </c>
      <c r="E66" s="460" t="s">
        <v>259</v>
      </c>
      <c r="F66" s="450">
        <v>0</v>
      </c>
      <c r="G66" s="451">
        <v>0</v>
      </c>
      <c r="H66" s="453">
        <v>36.957999999999998</v>
      </c>
      <c r="I66" s="450">
        <v>58.57</v>
      </c>
      <c r="J66" s="451">
        <v>58.57</v>
      </c>
      <c r="K66" s="461" t="s">
        <v>259</v>
      </c>
    </row>
    <row r="67" spans="1:11" ht="14.4" customHeight="1" thickBot="1" x14ac:dyDescent="0.35">
      <c r="A67" s="470" t="s">
        <v>47</v>
      </c>
      <c r="B67" s="450">
        <v>1139.0037745066099</v>
      </c>
      <c r="C67" s="450">
        <v>1088.8325600000001</v>
      </c>
      <c r="D67" s="451">
        <v>-50.171214506612003</v>
      </c>
      <c r="E67" s="452">
        <v>0.95595166966900003</v>
      </c>
      <c r="F67" s="450">
        <v>1084.30329821788</v>
      </c>
      <c r="G67" s="451">
        <v>542.15164910893895</v>
      </c>
      <c r="H67" s="453">
        <v>61.798110000000001</v>
      </c>
      <c r="I67" s="450">
        <v>387.54180000000002</v>
      </c>
      <c r="J67" s="451">
        <v>-154.60984910893899</v>
      </c>
      <c r="K67" s="454">
        <v>0.35741088368599999</v>
      </c>
    </row>
    <row r="68" spans="1:11" ht="14.4" customHeight="1" thickBot="1" x14ac:dyDescent="0.35">
      <c r="A68" s="471" t="s">
        <v>320</v>
      </c>
      <c r="B68" s="455">
        <v>24.258537649718001</v>
      </c>
      <c r="C68" s="455">
        <v>40.21311</v>
      </c>
      <c r="D68" s="456">
        <v>15.954572350281</v>
      </c>
      <c r="E68" s="462">
        <v>1.657688958034</v>
      </c>
      <c r="F68" s="455">
        <v>38.739524529577999</v>
      </c>
      <c r="G68" s="456">
        <v>19.369762264788999</v>
      </c>
      <c r="H68" s="458">
        <v>4.3256100000000002</v>
      </c>
      <c r="I68" s="455">
        <v>21.178619999999999</v>
      </c>
      <c r="J68" s="456">
        <v>1.8088577352099999</v>
      </c>
      <c r="K68" s="463">
        <v>0.54669282230899996</v>
      </c>
    </row>
    <row r="69" spans="1:11" ht="14.4" customHeight="1" thickBot="1" x14ac:dyDescent="0.35">
      <c r="A69" s="472" t="s">
        <v>321</v>
      </c>
      <c r="B69" s="450">
        <v>15.982233214042999</v>
      </c>
      <c r="C69" s="450">
        <v>31.075800000000001</v>
      </c>
      <c r="D69" s="451">
        <v>15.093566785956</v>
      </c>
      <c r="E69" s="452">
        <v>1.9443966048929999</v>
      </c>
      <c r="F69" s="450">
        <v>28.323295698664001</v>
      </c>
      <c r="G69" s="451">
        <v>14.161647849332001</v>
      </c>
      <c r="H69" s="453">
        <v>3.528</v>
      </c>
      <c r="I69" s="450">
        <v>16.709299999999999</v>
      </c>
      <c r="J69" s="451">
        <v>2.547652150667</v>
      </c>
      <c r="K69" s="454">
        <v>0.58994900091299995</v>
      </c>
    </row>
    <row r="70" spans="1:11" ht="14.4" customHeight="1" thickBot="1" x14ac:dyDescent="0.35">
      <c r="A70" s="472" t="s">
        <v>322</v>
      </c>
      <c r="B70" s="450">
        <v>8.2763044356739996</v>
      </c>
      <c r="C70" s="450">
        <v>9.1373099999999994</v>
      </c>
      <c r="D70" s="451">
        <v>0.86100556432499997</v>
      </c>
      <c r="E70" s="452">
        <v>1.1040326115370001</v>
      </c>
      <c r="F70" s="450">
        <v>10.416228830912999</v>
      </c>
      <c r="G70" s="451">
        <v>5.2081144154560004</v>
      </c>
      <c r="H70" s="453">
        <v>0.79761000000000004</v>
      </c>
      <c r="I70" s="450">
        <v>4.4693199999999997</v>
      </c>
      <c r="J70" s="451">
        <v>-0.738794415456</v>
      </c>
      <c r="K70" s="454">
        <v>0.42907275488500002</v>
      </c>
    </row>
    <row r="71" spans="1:11" ht="14.4" customHeight="1" thickBot="1" x14ac:dyDescent="0.35">
      <c r="A71" s="471" t="s">
        <v>323</v>
      </c>
      <c r="B71" s="455">
        <v>37.030576448634001</v>
      </c>
      <c r="C71" s="455">
        <v>20.608000000000001</v>
      </c>
      <c r="D71" s="456">
        <v>-16.422576448634</v>
      </c>
      <c r="E71" s="462">
        <v>0.55651307585099996</v>
      </c>
      <c r="F71" s="455">
        <v>25</v>
      </c>
      <c r="G71" s="456">
        <v>12.5</v>
      </c>
      <c r="H71" s="458">
        <v>0</v>
      </c>
      <c r="I71" s="455">
        <v>16.273340000000001</v>
      </c>
      <c r="J71" s="456">
        <v>3.773339999999</v>
      </c>
      <c r="K71" s="463">
        <v>0.65093359999900002</v>
      </c>
    </row>
    <row r="72" spans="1:11" ht="14.4" customHeight="1" thickBot="1" x14ac:dyDescent="0.35">
      <c r="A72" s="472" t="s">
        <v>324</v>
      </c>
      <c r="B72" s="450">
        <v>2.999995225393</v>
      </c>
      <c r="C72" s="450">
        <v>2.7</v>
      </c>
      <c r="D72" s="451">
        <v>-0.299995225393</v>
      </c>
      <c r="E72" s="452">
        <v>0.90000143238399999</v>
      </c>
      <c r="F72" s="450">
        <v>2</v>
      </c>
      <c r="G72" s="451">
        <v>1</v>
      </c>
      <c r="H72" s="453">
        <v>0</v>
      </c>
      <c r="I72" s="450">
        <v>1.35</v>
      </c>
      <c r="J72" s="451">
        <v>0.349999999999</v>
      </c>
      <c r="K72" s="454">
        <v>0.67499999999899996</v>
      </c>
    </row>
    <row r="73" spans="1:11" ht="14.4" customHeight="1" thickBot="1" x14ac:dyDescent="0.35">
      <c r="A73" s="472" t="s">
        <v>325</v>
      </c>
      <c r="B73" s="450">
        <v>34.030581223239999</v>
      </c>
      <c r="C73" s="450">
        <v>17.908000000000001</v>
      </c>
      <c r="D73" s="451">
        <v>-16.122581223240001</v>
      </c>
      <c r="E73" s="452">
        <v>0.52623256366100002</v>
      </c>
      <c r="F73" s="450">
        <v>23</v>
      </c>
      <c r="G73" s="451">
        <v>11.5</v>
      </c>
      <c r="H73" s="453">
        <v>0</v>
      </c>
      <c r="I73" s="450">
        <v>14.92334</v>
      </c>
      <c r="J73" s="451">
        <v>3.423339999999</v>
      </c>
      <c r="K73" s="454">
        <v>0.64884086956499998</v>
      </c>
    </row>
    <row r="74" spans="1:11" ht="14.4" customHeight="1" thickBot="1" x14ac:dyDescent="0.35">
      <c r="A74" s="471" t="s">
        <v>326</v>
      </c>
      <c r="B74" s="455">
        <v>262.74554588567599</v>
      </c>
      <c r="C74" s="455">
        <v>261.99826000000002</v>
      </c>
      <c r="D74" s="456">
        <v>-0.74728588567599996</v>
      </c>
      <c r="E74" s="462">
        <v>0.99715585707300003</v>
      </c>
      <c r="F74" s="455">
        <v>275.33534641976303</v>
      </c>
      <c r="G74" s="456">
        <v>137.667673209882</v>
      </c>
      <c r="H74" s="458">
        <v>22.14105</v>
      </c>
      <c r="I74" s="455">
        <v>130.70336</v>
      </c>
      <c r="J74" s="456">
        <v>-6.9643132098810003</v>
      </c>
      <c r="K74" s="463">
        <v>0.47470606916000002</v>
      </c>
    </row>
    <row r="75" spans="1:11" ht="14.4" customHeight="1" thickBot="1" x14ac:dyDescent="0.35">
      <c r="A75" s="472" t="s">
        <v>327</v>
      </c>
      <c r="B75" s="450">
        <v>228.475378186847</v>
      </c>
      <c r="C75" s="450">
        <v>228.1071</v>
      </c>
      <c r="D75" s="451">
        <v>-0.36827818684699998</v>
      </c>
      <c r="E75" s="452">
        <v>0.998388105581</v>
      </c>
      <c r="F75" s="450">
        <v>236</v>
      </c>
      <c r="G75" s="451">
        <v>118</v>
      </c>
      <c r="H75" s="453">
        <v>19.00639</v>
      </c>
      <c r="I75" s="450">
        <v>114.03834000000001</v>
      </c>
      <c r="J75" s="451">
        <v>-3.9616600000000002</v>
      </c>
      <c r="K75" s="454">
        <v>0.48321330508400001</v>
      </c>
    </row>
    <row r="76" spans="1:11" ht="14.4" customHeight="1" thickBot="1" x14ac:dyDescent="0.35">
      <c r="A76" s="472" t="s">
        <v>328</v>
      </c>
      <c r="B76" s="450">
        <v>0</v>
      </c>
      <c r="C76" s="450">
        <v>2.2385000000000002</v>
      </c>
      <c r="D76" s="451">
        <v>2.2385000000000002</v>
      </c>
      <c r="E76" s="460" t="s">
        <v>269</v>
      </c>
      <c r="F76" s="450">
        <v>0</v>
      </c>
      <c r="G76" s="451">
        <v>0</v>
      </c>
      <c r="H76" s="453">
        <v>0</v>
      </c>
      <c r="I76" s="450">
        <v>0</v>
      </c>
      <c r="J76" s="451">
        <v>0</v>
      </c>
      <c r="K76" s="461" t="s">
        <v>259</v>
      </c>
    </row>
    <row r="77" spans="1:11" ht="14.4" customHeight="1" thickBot="1" x14ac:dyDescent="0.35">
      <c r="A77" s="472" t="s">
        <v>329</v>
      </c>
      <c r="B77" s="450">
        <v>0.40187537061</v>
      </c>
      <c r="C77" s="450">
        <v>0.36399999999999999</v>
      </c>
      <c r="D77" s="451">
        <v>-3.787537061E-2</v>
      </c>
      <c r="E77" s="452">
        <v>0.90575344153799997</v>
      </c>
      <c r="F77" s="450">
        <v>0.40874392592300002</v>
      </c>
      <c r="G77" s="451">
        <v>0.20437196296099999</v>
      </c>
      <c r="H77" s="453">
        <v>0</v>
      </c>
      <c r="I77" s="450">
        <v>0.182</v>
      </c>
      <c r="J77" s="451">
        <v>-2.2371962961000001E-2</v>
      </c>
      <c r="K77" s="454">
        <v>0.445266555555</v>
      </c>
    </row>
    <row r="78" spans="1:11" ht="14.4" customHeight="1" thickBot="1" x14ac:dyDescent="0.35">
      <c r="A78" s="472" t="s">
        <v>330</v>
      </c>
      <c r="B78" s="450">
        <v>33.868292328217997</v>
      </c>
      <c r="C78" s="450">
        <v>31.28866</v>
      </c>
      <c r="D78" s="451">
        <v>-2.579632328218</v>
      </c>
      <c r="E78" s="452">
        <v>0.92383341022200005</v>
      </c>
      <c r="F78" s="450">
        <v>38.926602493840001</v>
      </c>
      <c r="G78" s="451">
        <v>19.46330124692</v>
      </c>
      <c r="H78" s="453">
        <v>3.1346599999999998</v>
      </c>
      <c r="I78" s="450">
        <v>16.48302</v>
      </c>
      <c r="J78" s="451">
        <v>-2.9802812469200002</v>
      </c>
      <c r="K78" s="454">
        <v>0.42343844425100002</v>
      </c>
    </row>
    <row r="79" spans="1:11" ht="14.4" customHeight="1" thickBot="1" x14ac:dyDescent="0.35">
      <c r="A79" s="471" t="s">
        <v>331</v>
      </c>
      <c r="B79" s="455">
        <v>404.16936898103501</v>
      </c>
      <c r="C79" s="455">
        <v>534.12184000000104</v>
      </c>
      <c r="D79" s="456">
        <v>129.95247101896501</v>
      </c>
      <c r="E79" s="462">
        <v>1.321529737264</v>
      </c>
      <c r="F79" s="455">
        <v>475.228427268536</v>
      </c>
      <c r="G79" s="456">
        <v>237.614213634268</v>
      </c>
      <c r="H79" s="458">
        <v>34.231450000000002</v>
      </c>
      <c r="I79" s="455">
        <v>129.91159999999999</v>
      </c>
      <c r="J79" s="456">
        <v>-107.702613634268</v>
      </c>
      <c r="K79" s="463">
        <v>0.27336664337700001</v>
      </c>
    </row>
    <row r="80" spans="1:11" ht="14.4" customHeight="1" thickBot="1" x14ac:dyDescent="0.35">
      <c r="A80" s="472" t="s">
        <v>332</v>
      </c>
      <c r="B80" s="450">
        <v>0</v>
      </c>
      <c r="C80" s="450">
        <v>0</v>
      </c>
      <c r="D80" s="451">
        <v>0</v>
      </c>
      <c r="E80" s="460" t="s">
        <v>259</v>
      </c>
      <c r="F80" s="450">
        <v>0</v>
      </c>
      <c r="G80" s="451">
        <v>0</v>
      </c>
      <c r="H80" s="453">
        <v>0</v>
      </c>
      <c r="I80" s="450">
        <v>12.934900000000001</v>
      </c>
      <c r="J80" s="451">
        <v>12.934900000000001</v>
      </c>
      <c r="K80" s="461" t="s">
        <v>269</v>
      </c>
    </row>
    <row r="81" spans="1:11" ht="14.4" customHeight="1" thickBot="1" x14ac:dyDescent="0.35">
      <c r="A81" s="472" t="s">
        <v>333</v>
      </c>
      <c r="B81" s="450">
        <v>236.79681120822801</v>
      </c>
      <c r="C81" s="450">
        <v>374.04776000000101</v>
      </c>
      <c r="D81" s="451">
        <v>137.250948791772</v>
      </c>
      <c r="E81" s="452">
        <v>1.5796148524610001</v>
      </c>
      <c r="F81" s="450">
        <v>273.23801520251601</v>
      </c>
      <c r="G81" s="451">
        <v>136.61900760125801</v>
      </c>
      <c r="H81" s="453">
        <v>13.30545</v>
      </c>
      <c r="I81" s="450">
        <v>65.996700000000004</v>
      </c>
      <c r="J81" s="451">
        <v>-70.622307601257006</v>
      </c>
      <c r="K81" s="454">
        <v>0.24153557092299999</v>
      </c>
    </row>
    <row r="82" spans="1:11" ht="14.4" customHeight="1" thickBot="1" x14ac:dyDescent="0.35">
      <c r="A82" s="472" t="s">
        <v>334</v>
      </c>
      <c r="B82" s="450">
        <v>14.999976126967001</v>
      </c>
      <c r="C82" s="450">
        <v>6.2045000000000003</v>
      </c>
      <c r="D82" s="451">
        <v>-8.7954761269669994</v>
      </c>
      <c r="E82" s="452">
        <v>0.41363399164600001</v>
      </c>
      <c r="F82" s="450">
        <v>15</v>
      </c>
      <c r="G82" s="451">
        <v>7.5</v>
      </c>
      <c r="H82" s="453">
        <v>3.4980000000000002</v>
      </c>
      <c r="I82" s="450">
        <v>6.024</v>
      </c>
      <c r="J82" s="451">
        <v>-1.476</v>
      </c>
      <c r="K82" s="454">
        <v>0.40160000000000001</v>
      </c>
    </row>
    <row r="83" spans="1:11" ht="14.4" customHeight="1" thickBot="1" x14ac:dyDescent="0.35">
      <c r="A83" s="472" t="s">
        <v>335</v>
      </c>
      <c r="B83" s="450">
        <v>149.35242877788801</v>
      </c>
      <c r="C83" s="450">
        <v>153.30814000000001</v>
      </c>
      <c r="D83" s="451">
        <v>3.9557112221119999</v>
      </c>
      <c r="E83" s="452">
        <v>1.0264857508809999</v>
      </c>
      <c r="F83" s="450">
        <v>185.28001220453299</v>
      </c>
      <c r="G83" s="451">
        <v>92.640006102266</v>
      </c>
      <c r="H83" s="453">
        <v>17.428000000000001</v>
      </c>
      <c r="I83" s="450">
        <v>44.956000000000003</v>
      </c>
      <c r="J83" s="451">
        <v>-47.684006102265997</v>
      </c>
      <c r="K83" s="454">
        <v>0.24263815327400001</v>
      </c>
    </row>
    <row r="84" spans="1:11" ht="14.4" customHeight="1" thickBot="1" x14ac:dyDescent="0.35">
      <c r="A84" s="472" t="s">
        <v>336</v>
      </c>
      <c r="B84" s="450">
        <v>3.020152867952</v>
      </c>
      <c r="C84" s="450">
        <v>0.56143999999899996</v>
      </c>
      <c r="D84" s="451">
        <v>-2.4587128679519998</v>
      </c>
      <c r="E84" s="452">
        <v>0.18589787489099999</v>
      </c>
      <c r="F84" s="450">
        <v>1.7103998614860001</v>
      </c>
      <c r="G84" s="451">
        <v>0.85519993074300005</v>
      </c>
      <c r="H84" s="453">
        <v>0</v>
      </c>
      <c r="I84" s="450">
        <v>0</v>
      </c>
      <c r="J84" s="451">
        <v>-0.85519993074300005</v>
      </c>
      <c r="K84" s="454">
        <v>0</v>
      </c>
    </row>
    <row r="85" spans="1:11" ht="14.4" customHeight="1" thickBot="1" x14ac:dyDescent="0.35">
      <c r="A85" s="471" t="s">
        <v>337</v>
      </c>
      <c r="B85" s="455">
        <v>410.79974554154899</v>
      </c>
      <c r="C85" s="455">
        <v>231.89134999999999</v>
      </c>
      <c r="D85" s="456">
        <v>-178.908395541549</v>
      </c>
      <c r="E85" s="462">
        <v>0.56448756971400005</v>
      </c>
      <c r="F85" s="455">
        <v>270</v>
      </c>
      <c r="G85" s="456">
        <v>135</v>
      </c>
      <c r="H85" s="458">
        <v>1.1000000000000001</v>
      </c>
      <c r="I85" s="455">
        <v>89.474879999999999</v>
      </c>
      <c r="J85" s="456">
        <v>-45.525120000000001</v>
      </c>
      <c r="K85" s="463">
        <v>0.33138844444400001</v>
      </c>
    </row>
    <row r="86" spans="1:11" ht="14.4" customHeight="1" thickBot="1" x14ac:dyDescent="0.35">
      <c r="A86" s="472" t="s">
        <v>338</v>
      </c>
      <c r="B86" s="450">
        <v>19.680867082787</v>
      </c>
      <c r="C86" s="450">
        <v>0</v>
      </c>
      <c r="D86" s="451">
        <v>-19.680867082787</v>
      </c>
      <c r="E86" s="452">
        <v>0</v>
      </c>
      <c r="F86" s="450">
        <v>0</v>
      </c>
      <c r="G86" s="451">
        <v>0</v>
      </c>
      <c r="H86" s="453">
        <v>0</v>
      </c>
      <c r="I86" s="450">
        <v>0</v>
      </c>
      <c r="J86" s="451">
        <v>0</v>
      </c>
      <c r="K86" s="454">
        <v>6</v>
      </c>
    </row>
    <row r="87" spans="1:11" ht="14.4" customHeight="1" thickBot="1" x14ac:dyDescent="0.35">
      <c r="A87" s="472" t="s">
        <v>339</v>
      </c>
      <c r="B87" s="450">
        <v>231.11913310444299</v>
      </c>
      <c r="C87" s="450">
        <v>68.817350000000005</v>
      </c>
      <c r="D87" s="451">
        <v>-162.30178310444299</v>
      </c>
      <c r="E87" s="452">
        <v>0.29775704449700002</v>
      </c>
      <c r="F87" s="450">
        <v>180</v>
      </c>
      <c r="G87" s="451">
        <v>90</v>
      </c>
      <c r="H87" s="453">
        <v>1.1000000000000001</v>
      </c>
      <c r="I87" s="450">
        <v>45.497880000000002</v>
      </c>
      <c r="J87" s="451">
        <v>-44.502119999999998</v>
      </c>
      <c r="K87" s="454">
        <v>0.25276599999999999</v>
      </c>
    </row>
    <row r="88" spans="1:11" ht="14.4" customHeight="1" thickBot="1" x14ac:dyDescent="0.35">
      <c r="A88" s="472" t="s">
        <v>340</v>
      </c>
      <c r="B88" s="450">
        <v>159.99974535431801</v>
      </c>
      <c r="C88" s="450">
        <v>152.61500000000001</v>
      </c>
      <c r="D88" s="451">
        <v>-7.3847453543180004</v>
      </c>
      <c r="E88" s="452">
        <v>0.95384526807799996</v>
      </c>
      <c r="F88" s="450">
        <v>90</v>
      </c>
      <c r="G88" s="451">
        <v>45</v>
      </c>
      <c r="H88" s="453">
        <v>0</v>
      </c>
      <c r="I88" s="450">
        <v>43.976999999999997</v>
      </c>
      <c r="J88" s="451">
        <v>-1.0229999999999999</v>
      </c>
      <c r="K88" s="454">
        <v>0.48863333333300002</v>
      </c>
    </row>
    <row r="89" spans="1:11" ht="14.4" customHeight="1" thickBot="1" x14ac:dyDescent="0.35">
      <c r="A89" s="472" t="s">
        <v>341</v>
      </c>
      <c r="B89" s="450">
        <v>0</v>
      </c>
      <c r="C89" s="450">
        <v>10.459</v>
      </c>
      <c r="D89" s="451">
        <v>10.459</v>
      </c>
      <c r="E89" s="460" t="s">
        <v>269</v>
      </c>
      <c r="F89" s="450">
        <v>0</v>
      </c>
      <c r="G89" s="451">
        <v>0</v>
      </c>
      <c r="H89" s="453">
        <v>0</v>
      </c>
      <c r="I89" s="450">
        <v>0</v>
      </c>
      <c r="J89" s="451">
        <v>0</v>
      </c>
      <c r="K89" s="454">
        <v>6</v>
      </c>
    </row>
    <row r="90" spans="1:11" ht="14.4" customHeight="1" thickBot="1" x14ac:dyDescent="0.35">
      <c r="A90" s="469" t="s">
        <v>48</v>
      </c>
      <c r="B90" s="450">
        <v>14901.001345254699</v>
      </c>
      <c r="C90" s="450">
        <v>17457.58927</v>
      </c>
      <c r="D90" s="451">
        <v>2556.5879247452799</v>
      </c>
      <c r="E90" s="452">
        <v>1.171571551837</v>
      </c>
      <c r="F90" s="450">
        <v>17135</v>
      </c>
      <c r="G90" s="451">
        <v>8567.5</v>
      </c>
      <c r="H90" s="453">
        <v>1486.5432699999999</v>
      </c>
      <c r="I90" s="450">
        <v>8700.7510000000002</v>
      </c>
      <c r="J90" s="451">
        <v>133.251</v>
      </c>
      <c r="K90" s="454">
        <v>0.50777653924699995</v>
      </c>
    </row>
    <row r="91" spans="1:11" ht="14.4" customHeight="1" thickBot="1" x14ac:dyDescent="0.35">
      <c r="A91" s="475" t="s">
        <v>342</v>
      </c>
      <c r="B91" s="455">
        <v>11031.000995873101</v>
      </c>
      <c r="C91" s="455">
        <v>12897.717000000001</v>
      </c>
      <c r="D91" s="456">
        <v>1866.7160041269101</v>
      </c>
      <c r="E91" s="462">
        <v>1.169224534094</v>
      </c>
      <c r="F91" s="455">
        <v>12639</v>
      </c>
      <c r="G91" s="456">
        <v>6319.5</v>
      </c>
      <c r="H91" s="458">
        <v>1096.566</v>
      </c>
      <c r="I91" s="455">
        <v>6420.0529999999999</v>
      </c>
      <c r="J91" s="456">
        <v>100.55299999999799</v>
      </c>
      <c r="K91" s="463">
        <v>0.50795577181700002</v>
      </c>
    </row>
    <row r="92" spans="1:11" ht="14.4" customHeight="1" thickBot="1" x14ac:dyDescent="0.35">
      <c r="A92" s="471" t="s">
        <v>343</v>
      </c>
      <c r="B92" s="455">
        <v>10900.000984046501</v>
      </c>
      <c r="C92" s="455">
        <v>12763.620999999999</v>
      </c>
      <c r="D92" s="456">
        <v>1863.6200159535299</v>
      </c>
      <c r="E92" s="462">
        <v>1.1709742979540001</v>
      </c>
      <c r="F92" s="455">
        <v>12484</v>
      </c>
      <c r="G92" s="456">
        <v>6242</v>
      </c>
      <c r="H92" s="458">
        <v>1084.4749999999999</v>
      </c>
      <c r="I92" s="455">
        <v>6337.9870000000001</v>
      </c>
      <c r="J92" s="456">
        <v>95.986999999996996</v>
      </c>
      <c r="K92" s="463">
        <v>0.50768880166599994</v>
      </c>
    </row>
    <row r="93" spans="1:11" ht="14.4" customHeight="1" thickBot="1" x14ac:dyDescent="0.35">
      <c r="A93" s="472" t="s">
        <v>344</v>
      </c>
      <c r="B93" s="450">
        <v>10900.000984046501</v>
      </c>
      <c r="C93" s="450">
        <v>12763.620999999999</v>
      </c>
      <c r="D93" s="451">
        <v>1863.6200159535299</v>
      </c>
      <c r="E93" s="452">
        <v>1.1709742979540001</v>
      </c>
      <c r="F93" s="450">
        <v>12484</v>
      </c>
      <c r="G93" s="451">
        <v>6242</v>
      </c>
      <c r="H93" s="453">
        <v>1084.4749999999999</v>
      </c>
      <c r="I93" s="450">
        <v>6337.9870000000001</v>
      </c>
      <c r="J93" s="451">
        <v>95.986999999996996</v>
      </c>
      <c r="K93" s="454">
        <v>0.50768880166599994</v>
      </c>
    </row>
    <row r="94" spans="1:11" ht="14.4" customHeight="1" thickBot="1" x14ac:dyDescent="0.35">
      <c r="A94" s="471" t="s">
        <v>345</v>
      </c>
      <c r="B94" s="455">
        <v>100.00000902794901</v>
      </c>
      <c r="C94" s="455">
        <v>120</v>
      </c>
      <c r="D94" s="456">
        <v>19.99999097205</v>
      </c>
      <c r="E94" s="462">
        <v>1.199999891664</v>
      </c>
      <c r="F94" s="455">
        <v>120</v>
      </c>
      <c r="G94" s="456">
        <v>59.999999999998998</v>
      </c>
      <c r="H94" s="458">
        <v>10</v>
      </c>
      <c r="I94" s="455">
        <v>60</v>
      </c>
      <c r="J94" s="456">
        <v>7.1054273576010006E-14</v>
      </c>
      <c r="K94" s="463">
        <v>0.5</v>
      </c>
    </row>
    <row r="95" spans="1:11" ht="14.4" customHeight="1" thickBot="1" x14ac:dyDescent="0.35">
      <c r="A95" s="472" t="s">
        <v>346</v>
      </c>
      <c r="B95" s="450">
        <v>100.00000902794901</v>
      </c>
      <c r="C95" s="450">
        <v>120</v>
      </c>
      <c r="D95" s="451">
        <v>19.99999097205</v>
      </c>
      <c r="E95" s="452">
        <v>1.199999891664</v>
      </c>
      <c r="F95" s="450">
        <v>120</v>
      </c>
      <c r="G95" s="451">
        <v>59.999999999998998</v>
      </c>
      <c r="H95" s="453">
        <v>10</v>
      </c>
      <c r="I95" s="450">
        <v>60</v>
      </c>
      <c r="J95" s="451">
        <v>7.1054273576010006E-14</v>
      </c>
      <c r="K95" s="454">
        <v>0.5</v>
      </c>
    </row>
    <row r="96" spans="1:11" ht="14.4" customHeight="1" thickBot="1" x14ac:dyDescent="0.35">
      <c r="A96" s="471" t="s">
        <v>347</v>
      </c>
      <c r="B96" s="455">
        <v>31.000002798663999</v>
      </c>
      <c r="C96" s="455">
        <v>14.096</v>
      </c>
      <c r="D96" s="456">
        <v>-16.904002798663999</v>
      </c>
      <c r="E96" s="462">
        <v>0.45470963636799999</v>
      </c>
      <c r="F96" s="455">
        <v>35</v>
      </c>
      <c r="G96" s="456">
        <v>17.5</v>
      </c>
      <c r="H96" s="458">
        <v>2.0910000000000002</v>
      </c>
      <c r="I96" s="455">
        <v>22.065999999999999</v>
      </c>
      <c r="J96" s="456">
        <v>4.5659999999989997</v>
      </c>
      <c r="K96" s="463">
        <v>0.63045714285700005</v>
      </c>
    </row>
    <row r="97" spans="1:11" ht="14.4" customHeight="1" thickBot="1" x14ac:dyDescent="0.35">
      <c r="A97" s="472" t="s">
        <v>348</v>
      </c>
      <c r="B97" s="450">
        <v>31.000002798663999</v>
      </c>
      <c r="C97" s="450">
        <v>14.096</v>
      </c>
      <c r="D97" s="451">
        <v>-16.904002798663999</v>
      </c>
      <c r="E97" s="452">
        <v>0.45470963636799999</v>
      </c>
      <c r="F97" s="450">
        <v>35</v>
      </c>
      <c r="G97" s="451">
        <v>17.5</v>
      </c>
      <c r="H97" s="453">
        <v>2.0910000000000002</v>
      </c>
      <c r="I97" s="450">
        <v>22.065999999999999</v>
      </c>
      <c r="J97" s="451">
        <v>4.5659999999989997</v>
      </c>
      <c r="K97" s="454">
        <v>0.63045714285700005</v>
      </c>
    </row>
    <row r="98" spans="1:11" ht="14.4" customHeight="1" thickBot="1" x14ac:dyDescent="0.35">
      <c r="A98" s="470" t="s">
        <v>349</v>
      </c>
      <c r="B98" s="450">
        <v>3706.0003345758</v>
      </c>
      <c r="C98" s="450">
        <v>4368.2020599999996</v>
      </c>
      <c r="D98" s="451">
        <v>662.20172542419903</v>
      </c>
      <c r="E98" s="452">
        <v>1.17868366585</v>
      </c>
      <c r="F98" s="450">
        <v>4245.99999999999</v>
      </c>
      <c r="G98" s="451">
        <v>2123</v>
      </c>
      <c r="H98" s="453">
        <v>368.24824000000001</v>
      </c>
      <c r="I98" s="450">
        <v>2153.5034999999998</v>
      </c>
      <c r="J98" s="451">
        <v>30.503500000003001</v>
      </c>
      <c r="K98" s="454">
        <v>0.50718405558099999</v>
      </c>
    </row>
    <row r="99" spans="1:11" ht="14.4" customHeight="1" thickBot="1" x14ac:dyDescent="0.35">
      <c r="A99" s="471" t="s">
        <v>350</v>
      </c>
      <c r="B99" s="455">
        <v>981.00008856418299</v>
      </c>
      <c r="C99" s="455">
        <v>1156.2968100000001</v>
      </c>
      <c r="D99" s="456">
        <v>175.29672143581701</v>
      </c>
      <c r="E99" s="462">
        <v>1.1786918507740001</v>
      </c>
      <c r="F99" s="455">
        <v>1124</v>
      </c>
      <c r="G99" s="456">
        <v>561.99999999999795</v>
      </c>
      <c r="H99" s="458">
        <v>97.60275</v>
      </c>
      <c r="I99" s="455">
        <v>570.42651000000001</v>
      </c>
      <c r="J99" s="456">
        <v>8.4265100000020006</v>
      </c>
      <c r="K99" s="463">
        <v>0.50749689501700002</v>
      </c>
    </row>
    <row r="100" spans="1:11" ht="14.4" customHeight="1" thickBot="1" x14ac:dyDescent="0.35">
      <c r="A100" s="472" t="s">
        <v>351</v>
      </c>
      <c r="B100" s="450">
        <v>981.00008856418299</v>
      </c>
      <c r="C100" s="450">
        <v>1156.2968100000001</v>
      </c>
      <c r="D100" s="451">
        <v>175.29672143581701</v>
      </c>
      <c r="E100" s="452">
        <v>1.1786918507740001</v>
      </c>
      <c r="F100" s="450">
        <v>1124</v>
      </c>
      <c r="G100" s="451">
        <v>561.99999999999795</v>
      </c>
      <c r="H100" s="453">
        <v>97.60275</v>
      </c>
      <c r="I100" s="450">
        <v>570.42651000000001</v>
      </c>
      <c r="J100" s="451">
        <v>8.4265100000020006</v>
      </c>
      <c r="K100" s="454">
        <v>0.50749689501700002</v>
      </c>
    </row>
    <row r="101" spans="1:11" ht="14.4" customHeight="1" thickBot="1" x14ac:dyDescent="0.35">
      <c r="A101" s="471" t="s">
        <v>352</v>
      </c>
      <c r="B101" s="455">
        <v>2725.0002460116202</v>
      </c>
      <c r="C101" s="455">
        <v>3211.9052499999998</v>
      </c>
      <c r="D101" s="456">
        <v>486.905003988381</v>
      </c>
      <c r="E101" s="462">
        <v>1.1786807192769999</v>
      </c>
      <c r="F101" s="455">
        <v>3122</v>
      </c>
      <c r="G101" s="456">
        <v>1561</v>
      </c>
      <c r="H101" s="458">
        <v>270.64549</v>
      </c>
      <c r="I101" s="455">
        <v>1583.07699</v>
      </c>
      <c r="J101" s="456">
        <v>22.076989999999999</v>
      </c>
      <c r="K101" s="463">
        <v>0.50707142536799998</v>
      </c>
    </row>
    <row r="102" spans="1:11" ht="14.4" customHeight="1" thickBot="1" x14ac:dyDescent="0.35">
      <c r="A102" s="472" t="s">
        <v>353</v>
      </c>
      <c r="B102" s="450">
        <v>2725.0002460116202</v>
      </c>
      <c r="C102" s="450">
        <v>3211.9052499999998</v>
      </c>
      <c r="D102" s="451">
        <v>486.905003988381</v>
      </c>
      <c r="E102" s="452">
        <v>1.1786807192769999</v>
      </c>
      <c r="F102" s="450">
        <v>3122</v>
      </c>
      <c r="G102" s="451">
        <v>1561</v>
      </c>
      <c r="H102" s="453">
        <v>270.64549</v>
      </c>
      <c r="I102" s="450">
        <v>1583.07699</v>
      </c>
      <c r="J102" s="451">
        <v>22.076989999999999</v>
      </c>
      <c r="K102" s="454">
        <v>0.50707142536799998</v>
      </c>
    </row>
    <row r="103" spans="1:11" ht="14.4" customHeight="1" thickBot="1" x14ac:dyDescent="0.35">
      <c r="A103" s="470" t="s">
        <v>354</v>
      </c>
      <c r="B103" s="450">
        <v>164.000014805837</v>
      </c>
      <c r="C103" s="450">
        <v>191.67021</v>
      </c>
      <c r="D103" s="451">
        <v>27.670195194163</v>
      </c>
      <c r="E103" s="452">
        <v>1.1687206871710001</v>
      </c>
      <c r="F103" s="450">
        <v>250</v>
      </c>
      <c r="G103" s="451">
        <v>125</v>
      </c>
      <c r="H103" s="453">
        <v>21.729030000000002</v>
      </c>
      <c r="I103" s="450">
        <v>127.19450000000001</v>
      </c>
      <c r="J103" s="451">
        <v>2.194499999999</v>
      </c>
      <c r="K103" s="454">
        <v>0.50877799999999995</v>
      </c>
    </row>
    <row r="104" spans="1:11" ht="14.4" customHeight="1" thickBot="1" x14ac:dyDescent="0.35">
      <c r="A104" s="471" t="s">
        <v>355</v>
      </c>
      <c r="B104" s="455">
        <v>164.000014805837</v>
      </c>
      <c r="C104" s="455">
        <v>191.67021</v>
      </c>
      <c r="D104" s="456">
        <v>27.670195194163</v>
      </c>
      <c r="E104" s="462">
        <v>1.1687206871710001</v>
      </c>
      <c r="F104" s="455">
        <v>250</v>
      </c>
      <c r="G104" s="456">
        <v>125</v>
      </c>
      <c r="H104" s="458">
        <v>21.729030000000002</v>
      </c>
      <c r="I104" s="455">
        <v>127.19450000000001</v>
      </c>
      <c r="J104" s="456">
        <v>2.194499999999</v>
      </c>
      <c r="K104" s="463">
        <v>0.50877799999999995</v>
      </c>
    </row>
    <row r="105" spans="1:11" ht="14.4" customHeight="1" thickBot="1" x14ac:dyDescent="0.35">
      <c r="A105" s="472" t="s">
        <v>356</v>
      </c>
      <c r="B105" s="450">
        <v>164.000014805837</v>
      </c>
      <c r="C105" s="450">
        <v>191.67021</v>
      </c>
      <c r="D105" s="451">
        <v>27.670195194163</v>
      </c>
      <c r="E105" s="452">
        <v>1.1687206871710001</v>
      </c>
      <c r="F105" s="450">
        <v>250</v>
      </c>
      <c r="G105" s="451">
        <v>125</v>
      </c>
      <c r="H105" s="453">
        <v>21.729030000000002</v>
      </c>
      <c r="I105" s="450">
        <v>127.19450000000001</v>
      </c>
      <c r="J105" s="451">
        <v>2.194499999999</v>
      </c>
      <c r="K105" s="454">
        <v>0.50877799999999995</v>
      </c>
    </row>
    <row r="106" spans="1:11" ht="14.4" customHeight="1" thickBot="1" x14ac:dyDescent="0.35">
      <c r="A106" s="469" t="s">
        <v>357</v>
      </c>
      <c r="B106" s="450">
        <v>0</v>
      </c>
      <c r="C106" s="450">
        <v>133.70949999999999</v>
      </c>
      <c r="D106" s="451">
        <v>133.70949999999999</v>
      </c>
      <c r="E106" s="460" t="s">
        <v>259</v>
      </c>
      <c r="F106" s="450">
        <v>0</v>
      </c>
      <c r="G106" s="451">
        <v>0</v>
      </c>
      <c r="H106" s="453">
        <v>12.805</v>
      </c>
      <c r="I106" s="450">
        <v>57.250880000000002</v>
      </c>
      <c r="J106" s="451">
        <v>57.250880000000002</v>
      </c>
      <c r="K106" s="461" t="s">
        <v>259</v>
      </c>
    </row>
    <row r="107" spans="1:11" ht="14.4" customHeight="1" thickBot="1" x14ac:dyDescent="0.35">
      <c r="A107" s="470" t="s">
        <v>358</v>
      </c>
      <c r="B107" s="450">
        <v>0</v>
      </c>
      <c r="C107" s="450">
        <v>133.70949999999999</v>
      </c>
      <c r="D107" s="451">
        <v>133.70949999999999</v>
      </c>
      <c r="E107" s="460" t="s">
        <v>259</v>
      </c>
      <c r="F107" s="450">
        <v>0</v>
      </c>
      <c r="G107" s="451">
        <v>0</v>
      </c>
      <c r="H107" s="453">
        <v>12.805</v>
      </c>
      <c r="I107" s="450">
        <v>57.250880000000002</v>
      </c>
      <c r="J107" s="451">
        <v>57.250880000000002</v>
      </c>
      <c r="K107" s="461" t="s">
        <v>259</v>
      </c>
    </row>
    <row r="108" spans="1:11" ht="14.4" customHeight="1" thickBot="1" x14ac:dyDescent="0.35">
      <c r="A108" s="471" t="s">
        <v>359</v>
      </c>
      <c r="B108" s="455">
        <v>0</v>
      </c>
      <c r="C108" s="455">
        <v>57.927500000000002</v>
      </c>
      <c r="D108" s="456">
        <v>57.927500000000002</v>
      </c>
      <c r="E108" s="457" t="s">
        <v>259</v>
      </c>
      <c r="F108" s="455">
        <v>0</v>
      </c>
      <c r="G108" s="456">
        <v>0</v>
      </c>
      <c r="H108" s="458">
        <v>0</v>
      </c>
      <c r="I108" s="455">
        <v>12.01188</v>
      </c>
      <c r="J108" s="456">
        <v>12.01188</v>
      </c>
      <c r="K108" s="459" t="s">
        <v>259</v>
      </c>
    </row>
    <row r="109" spans="1:11" ht="14.4" customHeight="1" thickBot="1" x14ac:dyDescent="0.35">
      <c r="A109" s="472" t="s">
        <v>360</v>
      </c>
      <c r="B109" s="450">
        <v>0</v>
      </c>
      <c r="C109" s="450">
        <v>0</v>
      </c>
      <c r="D109" s="451">
        <v>0</v>
      </c>
      <c r="E109" s="460" t="s">
        <v>259</v>
      </c>
      <c r="F109" s="450">
        <v>0</v>
      </c>
      <c r="G109" s="451">
        <v>0</v>
      </c>
      <c r="H109" s="453">
        <v>0</v>
      </c>
      <c r="I109" s="450">
        <v>1.3118799999999999</v>
      </c>
      <c r="J109" s="451">
        <v>1.3118799999999999</v>
      </c>
      <c r="K109" s="461" t="s">
        <v>269</v>
      </c>
    </row>
    <row r="110" spans="1:11" ht="14.4" customHeight="1" thickBot="1" x14ac:dyDescent="0.35">
      <c r="A110" s="472" t="s">
        <v>361</v>
      </c>
      <c r="B110" s="450">
        <v>0</v>
      </c>
      <c r="C110" s="450">
        <v>57.625</v>
      </c>
      <c r="D110" s="451">
        <v>57.625</v>
      </c>
      <c r="E110" s="460" t="s">
        <v>259</v>
      </c>
      <c r="F110" s="450">
        <v>0</v>
      </c>
      <c r="G110" s="451">
        <v>0</v>
      </c>
      <c r="H110" s="453">
        <v>0</v>
      </c>
      <c r="I110" s="450">
        <v>10.7</v>
      </c>
      <c r="J110" s="451">
        <v>10.7</v>
      </c>
      <c r="K110" s="461" t="s">
        <v>259</v>
      </c>
    </row>
    <row r="111" spans="1:11" ht="14.4" customHeight="1" thickBot="1" x14ac:dyDescent="0.35">
      <c r="A111" s="472" t="s">
        <v>362</v>
      </c>
      <c r="B111" s="450">
        <v>0</v>
      </c>
      <c r="C111" s="450">
        <v>0.30249999999999999</v>
      </c>
      <c r="D111" s="451">
        <v>0.30249999999999999</v>
      </c>
      <c r="E111" s="460" t="s">
        <v>269</v>
      </c>
      <c r="F111" s="450">
        <v>0</v>
      </c>
      <c r="G111" s="451">
        <v>0</v>
      </c>
      <c r="H111" s="453">
        <v>0</v>
      </c>
      <c r="I111" s="450">
        <v>0</v>
      </c>
      <c r="J111" s="451">
        <v>0</v>
      </c>
      <c r="K111" s="461" t="s">
        <v>259</v>
      </c>
    </row>
    <row r="112" spans="1:11" ht="14.4" customHeight="1" thickBot="1" x14ac:dyDescent="0.35">
      <c r="A112" s="474" t="s">
        <v>363</v>
      </c>
      <c r="B112" s="450">
        <v>0</v>
      </c>
      <c r="C112" s="450">
        <v>15</v>
      </c>
      <c r="D112" s="451">
        <v>15</v>
      </c>
      <c r="E112" s="460" t="s">
        <v>259</v>
      </c>
      <c r="F112" s="450">
        <v>0</v>
      </c>
      <c r="G112" s="451">
        <v>0</v>
      </c>
      <c r="H112" s="453">
        <v>1.2</v>
      </c>
      <c r="I112" s="450">
        <v>6.6</v>
      </c>
      <c r="J112" s="451">
        <v>6.6</v>
      </c>
      <c r="K112" s="461" t="s">
        <v>259</v>
      </c>
    </row>
    <row r="113" spans="1:11" ht="14.4" customHeight="1" thickBot="1" x14ac:dyDescent="0.35">
      <c r="A113" s="472" t="s">
        <v>364</v>
      </c>
      <c r="B113" s="450">
        <v>0</v>
      </c>
      <c r="C113" s="450">
        <v>15</v>
      </c>
      <c r="D113" s="451">
        <v>15</v>
      </c>
      <c r="E113" s="460" t="s">
        <v>259</v>
      </c>
      <c r="F113" s="450">
        <v>0</v>
      </c>
      <c r="G113" s="451">
        <v>0</v>
      </c>
      <c r="H113" s="453">
        <v>1.2</v>
      </c>
      <c r="I113" s="450">
        <v>6.6</v>
      </c>
      <c r="J113" s="451">
        <v>6.6</v>
      </c>
      <c r="K113" s="461" t="s">
        <v>259</v>
      </c>
    </row>
    <row r="114" spans="1:11" ht="14.4" customHeight="1" thickBot="1" x14ac:dyDescent="0.35">
      <c r="A114" s="474" t="s">
        <v>365</v>
      </c>
      <c r="B114" s="450">
        <v>0</v>
      </c>
      <c r="C114" s="450">
        <v>11.5</v>
      </c>
      <c r="D114" s="451">
        <v>11.5</v>
      </c>
      <c r="E114" s="460" t="s">
        <v>259</v>
      </c>
      <c r="F114" s="450">
        <v>0</v>
      </c>
      <c r="G114" s="451">
        <v>0</v>
      </c>
      <c r="H114" s="453">
        <v>0</v>
      </c>
      <c r="I114" s="450">
        <v>6.0359999999999996</v>
      </c>
      <c r="J114" s="451">
        <v>6.0359999999999996</v>
      </c>
      <c r="K114" s="461" t="s">
        <v>259</v>
      </c>
    </row>
    <row r="115" spans="1:11" ht="14.4" customHeight="1" thickBot="1" x14ac:dyDescent="0.35">
      <c r="A115" s="472" t="s">
        <v>366</v>
      </c>
      <c r="B115" s="450">
        <v>0</v>
      </c>
      <c r="C115" s="450">
        <v>11.5</v>
      </c>
      <c r="D115" s="451">
        <v>11.5</v>
      </c>
      <c r="E115" s="460" t="s">
        <v>259</v>
      </c>
      <c r="F115" s="450">
        <v>0</v>
      </c>
      <c r="G115" s="451">
        <v>0</v>
      </c>
      <c r="H115" s="453">
        <v>0</v>
      </c>
      <c r="I115" s="450">
        <v>6.0359999999999996</v>
      </c>
      <c r="J115" s="451">
        <v>6.0359999999999996</v>
      </c>
      <c r="K115" s="461" t="s">
        <v>259</v>
      </c>
    </row>
    <row r="116" spans="1:11" ht="14.4" customHeight="1" thickBot="1" x14ac:dyDescent="0.35">
      <c r="A116" s="474" t="s">
        <v>367</v>
      </c>
      <c r="B116" s="450">
        <v>0</v>
      </c>
      <c r="C116" s="450">
        <v>49.281999999999996</v>
      </c>
      <c r="D116" s="451">
        <v>49.281999999999996</v>
      </c>
      <c r="E116" s="460" t="s">
        <v>259</v>
      </c>
      <c r="F116" s="450">
        <v>0</v>
      </c>
      <c r="G116" s="451">
        <v>0</v>
      </c>
      <c r="H116" s="453">
        <v>11.605</v>
      </c>
      <c r="I116" s="450">
        <v>32.603000000000002</v>
      </c>
      <c r="J116" s="451">
        <v>32.603000000000002</v>
      </c>
      <c r="K116" s="461" t="s">
        <v>259</v>
      </c>
    </row>
    <row r="117" spans="1:11" ht="14.4" customHeight="1" thickBot="1" x14ac:dyDescent="0.35">
      <c r="A117" s="472" t="s">
        <v>368</v>
      </c>
      <c r="B117" s="450">
        <v>0</v>
      </c>
      <c r="C117" s="450">
        <v>49.281999999999996</v>
      </c>
      <c r="D117" s="451">
        <v>49.281999999999996</v>
      </c>
      <c r="E117" s="460" t="s">
        <v>259</v>
      </c>
      <c r="F117" s="450">
        <v>0</v>
      </c>
      <c r="G117" s="451">
        <v>0</v>
      </c>
      <c r="H117" s="453">
        <v>11.605</v>
      </c>
      <c r="I117" s="450">
        <v>32.603000000000002</v>
      </c>
      <c r="J117" s="451">
        <v>32.603000000000002</v>
      </c>
      <c r="K117" s="461" t="s">
        <v>259</v>
      </c>
    </row>
    <row r="118" spans="1:11" ht="14.4" customHeight="1" thickBot="1" x14ac:dyDescent="0.35">
      <c r="A118" s="469" t="s">
        <v>369</v>
      </c>
      <c r="B118" s="450">
        <v>1856.8922530730699</v>
      </c>
      <c r="C118" s="450">
        <v>1857.806</v>
      </c>
      <c r="D118" s="451">
        <v>0.91374692693100001</v>
      </c>
      <c r="E118" s="452">
        <v>1.000492083978</v>
      </c>
      <c r="F118" s="450">
        <v>1177</v>
      </c>
      <c r="G118" s="451">
        <v>588.50000000000102</v>
      </c>
      <c r="H118" s="453">
        <v>166.28148999999999</v>
      </c>
      <c r="I118" s="450">
        <v>670.16148999999996</v>
      </c>
      <c r="J118" s="451">
        <v>81.661489999999006</v>
      </c>
      <c r="K118" s="454">
        <v>0.569381045029</v>
      </c>
    </row>
    <row r="119" spans="1:11" ht="14.4" customHeight="1" thickBot="1" x14ac:dyDescent="0.35">
      <c r="A119" s="470" t="s">
        <v>370</v>
      </c>
      <c r="B119" s="450">
        <v>1781.0041127914401</v>
      </c>
      <c r="C119" s="450">
        <v>1826.463</v>
      </c>
      <c r="D119" s="451">
        <v>45.458887208557002</v>
      </c>
      <c r="E119" s="452">
        <v>1.025524302207</v>
      </c>
      <c r="F119" s="450">
        <v>1167</v>
      </c>
      <c r="G119" s="451">
        <v>583.50000000000102</v>
      </c>
      <c r="H119" s="453">
        <v>96.328000000000003</v>
      </c>
      <c r="I119" s="450">
        <v>589.71400000000006</v>
      </c>
      <c r="J119" s="451">
        <v>6.2139999999990003</v>
      </c>
      <c r="K119" s="454">
        <v>0.505324764353</v>
      </c>
    </row>
    <row r="120" spans="1:11" ht="14.4" customHeight="1" thickBot="1" x14ac:dyDescent="0.35">
      <c r="A120" s="471" t="s">
        <v>371</v>
      </c>
      <c r="B120" s="455">
        <v>1781.0041127914401</v>
      </c>
      <c r="C120" s="455">
        <v>1817.8230000000001</v>
      </c>
      <c r="D120" s="456">
        <v>36.818887208557001</v>
      </c>
      <c r="E120" s="462">
        <v>1.0206731062229999</v>
      </c>
      <c r="F120" s="455">
        <v>1167</v>
      </c>
      <c r="G120" s="456">
        <v>583.50000000000102</v>
      </c>
      <c r="H120" s="458">
        <v>96.328000000000003</v>
      </c>
      <c r="I120" s="455">
        <v>589.71400000000006</v>
      </c>
      <c r="J120" s="456">
        <v>6.2139999999990003</v>
      </c>
      <c r="K120" s="463">
        <v>0.505324764353</v>
      </c>
    </row>
    <row r="121" spans="1:11" ht="14.4" customHeight="1" thickBot="1" x14ac:dyDescent="0.35">
      <c r="A121" s="472" t="s">
        <v>372</v>
      </c>
      <c r="B121" s="450">
        <v>42.000096988905</v>
      </c>
      <c r="C121" s="450">
        <v>42.335999999999999</v>
      </c>
      <c r="D121" s="451">
        <v>0.335903011094</v>
      </c>
      <c r="E121" s="452">
        <v>1.007997672271</v>
      </c>
      <c r="F121" s="450">
        <v>42</v>
      </c>
      <c r="G121" s="451">
        <v>21</v>
      </c>
      <c r="H121" s="453">
        <v>3.528</v>
      </c>
      <c r="I121" s="450">
        <v>21.167999999999999</v>
      </c>
      <c r="J121" s="451">
        <v>0.167999999999</v>
      </c>
      <c r="K121" s="454">
        <v>0.50399999999900003</v>
      </c>
    </row>
    <row r="122" spans="1:11" ht="14.4" customHeight="1" thickBot="1" x14ac:dyDescent="0.35">
      <c r="A122" s="472" t="s">
        <v>373</v>
      </c>
      <c r="B122" s="450">
        <v>421.000972198314</v>
      </c>
      <c r="C122" s="450">
        <v>421.91199999999998</v>
      </c>
      <c r="D122" s="451">
        <v>0.91102780168499997</v>
      </c>
      <c r="E122" s="452">
        <v>1.002163956527</v>
      </c>
      <c r="F122" s="450">
        <v>423.00000000000102</v>
      </c>
      <c r="G122" s="451">
        <v>211.5</v>
      </c>
      <c r="H122" s="453">
        <v>35.213000000000001</v>
      </c>
      <c r="I122" s="450">
        <v>211.28299999999999</v>
      </c>
      <c r="J122" s="451">
        <v>-0.217</v>
      </c>
      <c r="K122" s="454">
        <v>0.49948699763499999</v>
      </c>
    </row>
    <row r="123" spans="1:11" ht="14.4" customHeight="1" thickBot="1" x14ac:dyDescent="0.35">
      <c r="A123" s="472" t="s">
        <v>374</v>
      </c>
      <c r="B123" s="450">
        <v>1314.0030343671899</v>
      </c>
      <c r="C123" s="450">
        <v>1348.883</v>
      </c>
      <c r="D123" s="451">
        <v>34.879965632815001</v>
      </c>
      <c r="E123" s="452">
        <v>1.026544813611</v>
      </c>
      <c r="F123" s="450">
        <v>698.00000000000102</v>
      </c>
      <c r="G123" s="451">
        <v>349.00000000000102</v>
      </c>
      <c r="H123" s="453">
        <v>57.195999999999998</v>
      </c>
      <c r="I123" s="450">
        <v>354.91699999999997</v>
      </c>
      <c r="J123" s="451">
        <v>5.9169999999989997</v>
      </c>
      <c r="K123" s="454">
        <v>0.50847707736299996</v>
      </c>
    </row>
    <row r="124" spans="1:11" ht="14.4" customHeight="1" thickBot="1" x14ac:dyDescent="0.35">
      <c r="A124" s="472" t="s">
        <v>375</v>
      </c>
      <c r="B124" s="450">
        <v>4.0000092370380003</v>
      </c>
      <c r="C124" s="450">
        <v>4.6920000000000002</v>
      </c>
      <c r="D124" s="451">
        <v>0.69199076296100004</v>
      </c>
      <c r="E124" s="452">
        <v>1.1729972912440001</v>
      </c>
      <c r="F124" s="450">
        <v>4</v>
      </c>
      <c r="G124" s="451">
        <v>2</v>
      </c>
      <c r="H124" s="453">
        <v>0.39100000000000001</v>
      </c>
      <c r="I124" s="450">
        <v>2.3460000000000001</v>
      </c>
      <c r="J124" s="451">
        <v>0.345999999999</v>
      </c>
      <c r="K124" s="454">
        <v>0.58649999999900004</v>
      </c>
    </row>
    <row r="125" spans="1:11" ht="14.4" customHeight="1" thickBot="1" x14ac:dyDescent="0.35">
      <c r="A125" s="471" t="s">
        <v>376</v>
      </c>
      <c r="B125" s="455">
        <v>0</v>
      </c>
      <c r="C125" s="455">
        <v>8.64</v>
      </c>
      <c r="D125" s="456">
        <v>8.64</v>
      </c>
      <c r="E125" s="457" t="s">
        <v>269</v>
      </c>
      <c r="F125" s="455">
        <v>0</v>
      </c>
      <c r="G125" s="456">
        <v>0</v>
      </c>
      <c r="H125" s="458">
        <v>0</v>
      </c>
      <c r="I125" s="455">
        <v>0</v>
      </c>
      <c r="J125" s="456">
        <v>0</v>
      </c>
      <c r="K125" s="463">
        <v>0</v>
      </c>
    </row>
    <row r="126" spans="1:11" ht="14.4" customHeight="1" thickBot="1" x14ac:dyDescent="0.35">
      <c r="A126" s="472" t="s">
        <v>377</v>
      </c>
      <c r="B126" s="450">
        <v>0</v>
      </c>
      <c r="C126" s="450">
        <v>8.64</v>
      </c>
      <c r="D126" s="451">
        <v>8.64</v>
      </c>
      <c r="E126" s="460" t="s">
        <v>269</v>
      </c>
      <c r="F126" s="450">
        <v>0</v>
      </c>
      <c r="G126" s="451">
        <v>0</v>
      </c>
      <c r="H126" s="453">
        <v>0</v>
      </c>
      <c r="I126" s="450">
        <v>0</v>
      </c>
      <c r="J126" s="451">
        <v>0</v>
      </c>
      <c r="K126" s="454">
        <v>0</v>
      </c>
    </row>
    <row r="127" spans="1:11" ht="14.4" customHeight="1" thickBot="1" x14ac:dyDescent="0.35">
      <c r="A127" s="470" t="s">
        <v>378</v>
      </c>
      <c r="B127" s="450">
        <v>75.888140281624999</v>
      </c>
      <c r="C127" s="450">
        <v>31.343</v>
      </c>
      <c r="D127" s="451">
        <v>-44.545140281625002</v>
      </c>
      <c r="E127" s="452">
        <v>0.413015787232</v>
      </c>
      <c r="F127" s="450">
        <v>10</v>
      </c>
      <c r="G127" s="451">
        <v>5</v>
      </c>
      <c r="H127" s="453">
        <v>69.953490000000002</v>
      </c>
      <c r="I127" s="450">
        <v>80.447490000000002</v>
      </c>
      <c r="J127" s="451">
        <v>75.447490000000002</v>
      </c>
      <c r="K127" s="454">
        <v>8.0447489999999995</v>
      </c>
    </row>
    <row r="128" spans="1:11" ht="14.4" customHeight="1" thickBot="1" x14ac:dyDescent="0.35">
      <c r="A128" s="471" t="s">
        <v>379</v>
      </c>
      <c r="B128" s="455">
        <v>31</v>
      </c>
      <c r="C128" s="455">
        <v>31.343</v>
      </c>
      <c r="D128" s="456">
        <v>0.34300000000000003</v>
      </c>
      <c r="E128" s="462">
        <v>1.0110645161289999</v>
      </c>
      <c r="F128" s="455">
        <v>10</v>
      </c>
      <c r="G128" s="456">
        <v>5</v>
      </c>
      <c r="H128" s="458">
        <v>0</v>
      </c>
      <c r="I128" s="455">
        <v>10.494</v>
      </c>
      <c r="J128" s="456">
        <v>5.4939999999999998</v>
      </c>
      <c r="K128" s="463">
        <v>1.0494000000000001</v>
      </c>
    </row>
    <row r="129" spans="1:11" ht="14.4" customHeight="1" thickBot="1" x14ac:dyDescent="0.35">
      <c r="A129" s="472" t="s">
        <v>380</v>
      </c>
      <c r="B129" s="450">
        <v>31</v>
      </c>
      <c r="C129" s="450">
        <v>31.343</v>
      </c>
      <c r="D129" s="451">
        <v>0.34300000000000003</v>
      </c>
      <c r="E129" s="452">
        <v>1.0110645161289999</v>
      </c>
      <c r="F129" s="450">
        <v>10</v>
      </c>
      <c r="G129" s="451">
        <v>5</v>
      </c>
      <c r="H129" s="453">
        <v>0</v>
      </c>
      <c r="I129" s="450">
        <v>10.494</v>
      </c>
      <c r="J129" s="451">
        <v>5.4939999999999998</v>
      </c>
      <c r="K129" s="454">
        <v>1.0494000000000001</v>
      </c>
    </row>
    <row r="130" spans="1:11" ht="14.4" customHeight="1" thickBot="1" x14ac:dyDescent="0.35">
      <c r="A130" s="471" t="s">
        <v>381</v>
      </c>
      <c r="B130" s="455">
        <v>44.888140281624999</v>
      </c>
      <c r="C130" s="455">
        <v>0</v>
      </c>
      <c r="D130" s="456">
        <v>-44.888140281624999</v>
      </c>
      <c r="E130" s="462">
        <v>0</v>
      </c>
      <c r="F130" s="455">
        <v>0</v>
      </c>
      <c r="G130" s="456">
        <v>0</v>
      </c>
      <c r="H130" s="458">
        <v>0</v>
      </c>
      <c r="I130" s="455">
        <v>0</v>
      </c>
      <c r="J130" s="456">
        <v>0</v>
      </c>
      <c r="K130" s="463">
        <v>0</v>
      </c>
    </row>
    <row r="131" spans="1:11" ht="14.4" customHeight="1" thickBot="1" x14ac:dyDescent="0.35">
      <c r="A131" s="472" t="s">
        <v>382</v>
      </c>
      <c r="B131" s="450">
        <v>44.888140281624999</v>
      </c>
      <c r="C131" s="450">
        <v>0</v>
      </c>
      <c r="D131" s="451">
        <v>-44.888140281624999</v>
      </c>
      <c r="E131" s="452">
        <v>0</v>
      </c>
      <c r="F131" s="450">
        <v>0</v>
      </c>
      <c r="G131" s="451">
        <v>0</v>
      </c>
      <c r="H131" s="453">
        <v>0</v>
      </c>
      <c r="I131" s="450">
        <v>0</v>
      </c>
      <c r="J131" s="451">
        <v>0</v>
      </c>
      <c r="K131" s="454">
        <v>0</v>
      </c>
    </row>
    <row r="132" spans="1:11" ht="14.4" customHeight="1" thickBot="1" x14ac:dyDescent="0.35">
      <c r="A132" s="471" t="s">
        <v>383</v>
      </c>
      <c r="B132" s="455">
        <v>0</v>
      </c>
      <c r="C132" s="455">
        <v>0</v>
      </c>
      <c r="D132" s="456">
        <v>0</v>
      </c>
      <c r="E132" s="462">
        <v>1</v>
      </c>
      <c r="F132" s="455">
        <v>0</v>
      </c>
      <c r="G132" s="456">
        <v>0</v>
      </c>
      <c r="H132" s="458">
        <v>69.953490000000002</v>
      </c>
      <c r="I132" s="455">
        <v>69.953490000000002</v>
      </c>
      <c r="J132" s="456">
        <v>69.953490000000002</v>
      </c>
      <c r="K132" s="459" t="s">
        <v>269</v>
      </c>
    </row>
    <row r="133" spans="1:11" ht="14.4" customHeight="1" thickBot="1" x14ac:dyDescent="0.35">
      <c r="A133" s="472" t="s">
        <v>384</v>
      </c>
      <c r="B133" s="450">
        <v>0</v>
      </c>
      <c r="C133" s="450">
        <v>0</v>
      </c>
      <c r="D133" s="451">
        <v>0</v>
      </c>
      <c r="E133" s="452">
        <v>1</v>
      </c>
      <c r="F133" s="450">
        <v>0</v>
      </c>
      <c r="G133" s="451">
        <v>0</v>
      </c>
      <c r="H133" s="453">
        <v>69.953490000000002</v>
      </c>
      <c r="I133" s="450">
        <v>69.953490000000002</v>
      </c>
      <c r="J133" s="451">
        <v>69.953490000000002</v>
      </c>
      <c r="K133" s="461" t="s">
        <v>269</v>
      </c>
    </row>
    <row r="134" spans="1:11" ht="14.4" customHeight="1" thickBot="1" x14ac:dyDescent="0.35">
      <c r="A134" s="469" t="s">
        <v>385</v>
      </c>
      <c r="B134" s="450">
        <v>0</v>
      </c>
      <c r="C134" s="450">
        <v>0.28316999999999998</v>
      </c>
      <c r="D134" s="451">
        <v>0.28316999999999998</v>
      </c>
      <c r="E134" s="460" t="s">
        <v>259</v>
      </c>
      <c r="F134" s="450">
        <v>0</v>
      </c>
      <c r="G134" s="451">
        <v>0</v>
      </c>
      <c r="H134" s="453">
        <v>0</v>
      </c>
      <c r="I134" s="450">
        <v>0</v>
      </c>
      <c r="J134" s="451">
        <v>0</v>
      </c>
      <c r="K134" s="461" t="s">
        <v>259</v>
      </c>
    </row>
    <row r="135" spans="1:11" ht="14.4" customHeight="1" thickBot="1" x14ac:dyDescent="0.35">
      <c r="A135" s="470" t="s">
        <v>386</v>
      </c>
      <c r="B135" s="450">
        <v>0</v>
      </c>
      <c r="C135" s="450">
        <v>0.28316999999999998</v>
      </c>
      <c r="D135" s="451">
        <v>0.28316999999999998</v>
      </c>
      <c r="E135" s="460" t="s">
        <v>259</v>
      </c>
      <c r="F135" s="450">
        <v>0</v>
      </c>
      <c r="G135" s="451">
        <v>0</v>
      </c>
      <c r="H135" s="453">
        <v>0</v>
      </c>
      <c r="I135" s="450">
        <v>0</v>
      </c>
      <c r="J135" s="451">
        <v>0</v>
      </c>
      <c r="K135" s="461" t="s">
        <v>259</v>
      </c>
    </row>
    <row r="136" spans="1:11" ht="14.4" customHeight="1" thickBot="1" x14ac:dyDescent="0.35">
      <c r="A136" s="471" t="s">
        <v>387</v>
      </c>
      <c r="B136" s="455">
        <v>0</v>
      </c>
      <c r="C136" s="455">
        <v>0.28316999999999998</v>
      </c>
      <c r="D136" s="456">
        <v>0.28316999999999998</v>
      </c>
      <c r="E136" s="457" t="s">
        <v>259</v>
      </c>
      <c r="F136" s="455">
        <v>0</v>
      </c>
      <c r="G136" s="456">
        <v>0</v>
      </c>
      <c r="H136" s="458">
        <v>0</v>
      </c>
      <c r="I136" s="455">
        <v>0</v>
      </c>
      <c r="J136" s="456">
        <v>0</v>
      </c>
      <c r="K136" s="459" t="s">
        <v>259</v>
      </c>
    </row>
    <row r="137" spans="1:11" ht="14.4" customHeight="1" thickBot="1" x14ac:dyDescent="0.35">
      <c r="A137" s="472" t="s">
        <v>388</v>
      </c>
      <c r="B137" s="450">
        <v>0</v>
      </c>
      <c r="C137" s="450">
        <v>0.28316999999999998</v>
      </c>
      <c r="D137" s="451">
        <v>0.28316999999999998</v>
      </c>
      <c r="E137" s="460" t="s">
        <v>259</v>
      </c>
      <c r="F137" s="450">
        <v>0</v>
      </c>
      <c r="G137" s="451">
        <v>0</v>
      </c>
      <c r="H137" s="453">
        <v>0</v>
      </c>
      <c r="I137" s="450">
        <v>0</v>
      </c>
      <c r="J137" s="451">
        <v>0</v>
      </c>
      <c r="K137" s="461" t="s">
        <v>259</v>
      </c>
    </row>
    <row r="138" spans="1:11" ht="14.4" customHeight="1" thickBot="1" x14ac:dyDescent="0.35">
      <c r="A138" s="468" t="s">
        <v>389</v>
      </c>
      <c r="B138" s="450">
        <v>77975.618239885094</v>
      </c>
      <c r="C138" s="450">
        <v>94068.417329999997</v>
      </c>
      <c r="D138" s="451">
        <v>16092.799090114901</v>
      </c>
      <c r="E138" s="452">
        <v>1.2063824494540001</v>
      </c>
      <c r="F138" s="450">
        <v>83879.326475502603</v>
      </c>
      <c r="G138" s="451">
        <v>41939.663237751301</v>
      </c>
      <c r="H138" s="453">
        <v>5856.90409</v>
      </c>
      <c r="I138" s="450">
        <v>41297.72163</v>
      </c>
      <c r="J138" s="451">
        <v>-641.94160775128705</v>
      </c>
      <c r="K138" s="454">
        <v>0.49234684355800001</v>
      </c>
    </row>
    <row r="139" spans="1:11" ht="14.4" customHeight="1" thickBot="1" x14ac:dyDescent="0.35">
      <c r="A139" s="469" t="s">
        <v>390</v>
      </c>
      <c r="B139" s="450">
        <v>77973.232826761203</v>
      </c>
      <c r="C139" s="450">
        <v>94031.181460000007</v>
      </c>
      <c r="D139" s="451">
        <v>16057.948633238801</v>
      </c>
      <c r="E139" s="452">
        <v>1.205941809145</v>
      </c>
      <c r="F139" s="450">
        <v>83852.9597242249</v>
      </c>
      <c r="G139" s="451">
        <v>41926.479862112501</v>
      </c>
      <c r="H139" s="453">
        <v>5855.9937399999999</v>
      </c>
      <c r="I139" s="450">
        <v>41293.315390000003</v>
      </c>
      <c r="J139" s="451">
        <v>-633.16447211244702</v>
      </c>
      <c r="K139" s="454">
        <v>0.49244911003500003</v>
      </c>
    </row>
    <row r="140" spans="1:11" ht="14.4" customHeight="1" thickBot="1" x14ac:dyDescent="0.35">
      <c r="A140" s="470" t="s">
        <v>391</v>
      </c>
      <c r="B140" s="450">
        <v>77973.232826761203</v>
      </c>
      <c r="C140" s="450">
        <v>94031.181460000007</v>
      </c>
      <c r="D140" s="451">
        <v>16057.948633238801</v>
      </c>
      <c r="E140" s="452">
        <v>1.205941809145</v>
      </c>
      <c r="F140" s="450">
        <v>83852.9597242249</v>
      </c>
      <c r="G140" s="451">
        <v>41926.479862112501</v>
      </c>
      <c r="H140" s="453">
        <v>5855.9937399999999</v>
      </c>
      <c r="I140" s="450">
        <v>41293.315390000003</v>
      </c>
      <c r="J140" s="451">
        <v>-633.16447211244702</v>
      </c>
      <c r="K140" s="454">
        <v>0.49244911003500003</v>
      </c>
    </row>
    <row r="141" spans="1:11" ht="14.4" customHeight="1" thickBot="1" x14ac:dyDescent="0.35">
      <c r="A141" s="471" t="s">
        <v>392</v>
      </c>
      <c r="B141" s="455">
        <v>37.225029770150996</v>
      </c>
      <c r="C141" s="455">
        <v>36.793100000000003</v>
      </c>
      <c r="D141" s="456">
        <v>-0.43192977015099998</v>
      </c>
      <c r="E141" s="462">
        <v>0.98839679181399998</v>
      </c>
      <c r="F141" s="455">
        <v>40</v>
      </c>
      <c r="G141" s="456">
        <v>20</v>
      </c>
      <c r="H141" s="458">
        <v>7.28</v>
      </c>
      <c r="I141" s="455">
        <v>17.317319999999999</v>
      </c>
      <c r="J141" s="456">
        <v>-2.68268</v>
      </c>
      <c r="K141" s="463">
        <v>0.43293300000000001</v>
      </c>
    </row>
    <row r="142" spans="1:11" ht="14.4" customHeight="1" thickBot="1" x14ac:dyDescent="0.35">
      <c r="A142" s="472" t="s">
        <v>393</v>
      </c>
      <c r="B142" s="450">
        <v>15.901642664125999</v>
      </c>
      <c r="C142" s="450">
        <v>24.445599999999999</v>
      </c>
      <c r="D142" s="451">
        <v>8.5439573358729994</v>
      </c>
      <c r="E142" s="452">
        <v>1.537300297606</v>
      </c>
      <c r="F142" s="450">
        <v>25</v>
      </c>
      <c r="G142" s="451">
        <v>12.5</v>
      </c>
      <c r="H142" s="453">
        <v>0</v>
      </c>
      <c r="I142" s="450">
        <v>0.26432</v>
      </c>
      <c r="J142" s="451">
        <v>-12.23568</v>
      </c>
      <c r="K142" s="454">
        <v>1.05728E-2</v>
      </c>
    </row>
    <row r="143" spans="1:11" ht="14.4" customHeight="1" thickBot="1" x14ac:dyDescent="0.35">
      <c r="A143" s="472" t="s">
        <v>394</v>
      </c>
      <c r="B143" s="450">
        <v>0.59907563200900005</v>
      </c>
      <c r="C143" s="450">
        <v>0</v>
      </c>
      <c r="D143" s="451">
        <v>-0.59907563200900005</v>
      </c>
      <c r="E143" s="452">
        <v>0</v>
      </c>
      <c r="F143" s="450">
        <v>0</v>
      </c>
      <c r="G143" s="451">
        <v>0</v>
      </c>
      <c r="H143" s="453">
        <v>0</v>
      </c>
      <c r="I143" s="450">
        <v>2.726</v>
      </c>
      <c r="J143" s="451">
        <v>2.726</v>
      </c>
      <c r="K143" s="461" t="s">
        <v>269</v>
      </c>
    </row>
    <row r="144" spans="1:11" ht="14.4" customHeight="1" thickBot="1" x14ac:dyDescent="0.35">
      <c r="A144" s="472" t="s">
        <v>395</v>
      </c>
      <c r="B144" s="450">
        <v>20.724311474015</v>
      </c>
      <c r="C144" s="450">
        <v>12.3475</v>
      </c>
      <c r="D144" s="451">
        <v>-8.3768114740149997</v>
      </c>
      <c r="E144" s="452">
        <v>0.59579783943499998</v>
      </c>
      <c r="F144" s="450">
        <v>15</v>
      </c>
      <c r="G144" s="451">
        <v>7.5</v>
      </c>
      <c r="H144" s="453">
        <v>7.28</v>
      </c>
      <c r="I144" s="450">
        <v>14.327</v>
      </c>
      <c r="J144" s="451">
        <v>6.827</v>
      </c>
      <c r="K144" s="454">
        <v>0.95513333333299999</v>
      </c>
    </row>
    <row r="145" spans="1:11" ht="14.4" customHeight="1" thickBot="1" x14ac:dyDescent="0.35">
      <c r="A145" s="471" t="s">
        <v>396</v>
      </c>
      <c r="B145" s="455">
        <v>177.00000020053699</v>
      </c>
      <c r="C145" s="455">
        <v>27.84516</v>
      </c>
      <c r="D145" s="456">
        <v>-149.154840200537</v>
      </c>
      <c r="E145" s="462">
        <v>0.15731728795700001</v>
      </c>
      <c r="F145" s="455">
        <v>105.95972422491801</v>
      </c>
      <c r="G145" s="456">
        <v>52.979862112459003</v>
      </c>
      <c r="H145" s="458">
        <v>0</v>
      </c>
      <c r="I145" s="455">
        <v>41.687269999999998</v>
      </c>
      <c r="J145" s="456">
        <v>-11.292592112458999</v>
      </c>
      <c r="K145" s="463">
        <v>0.39342561812900001</v>
      </c>
    </row>
    <row r="146" spans="1:11" ht="14.4" customHeight="1" thickBot="1" x14ac:dyDescent="0.35">
      <c r="A146" s="472" t="s">
        <v>397</v>
      </c>
      <c r="B146" s="450">
        <v>2.0000002005369999</v>
      </c>
      <c r="C146" s="450">
        <v>29.467960000000001</v>
      </c>
      <c r="D146" s="451">
        <v>27.467959799462001</v>
      </c>
      <c r="E146" s="452">
        <v>14.733978522643</v>
      </c>
      <c r="F146" s="450">
        <v>2.9597242249179998</v>
      </c>
      <c r="G146" s="451">
        <v>1.4798621124589999</v>
      </c>
      <c r="H146" s="453">
        <v>0</v>
      </c>
      <c r="I146" s="450">
        <v>41.687269999999998</v>
      </c>
      <c r="J146" s="451">
        <v>40.207407887540001</v>
      </c>
      <c r="K146" s="454">
        <v>14.084849408949999</v>
      </c>
    </row>
    <row r="147" spans="1:11" ht="14.4" customHeight="1" thickBot="1" x14ac:dyDescent="0.35">
      <c r="A147" s="472" t="s">
        <v>398</v>
      </c>
      <c r="B147" s="450">
        <v>175</v>
      </c>
      <c r="C147" s="450">
        <v>-1.6228</v>
      </c>
      <c r="D147" s="451">
        <v>-176.62280000000001</v>
      </c>
      <c r="E147" s="452">
        <v>-9.2731428570000003E-3</v>
      </c>
      <c r="F147" s="450">
        <v>103</v>
      </c>
      <c r="G147" s="451">
        <v>51.5</v>
      </c>
      <c r="H147" s="453">
        <v>0</v>
      </c>
      <c r="I147" s="450">
        <v>0</v>
      </c>
      <c r="J147" s="451">
        <v>-51.5</v>
      </c>
      <c r="K147" s="454">
        <v>0</v>
      </c>
    </row>
    <row r="148" spans="1:11" ht="14.4" customHeight="1" thickBot="1" x14ac:dyDescent="0.35">
      <c r="A148" s="471" t="s">
        <v>399</v>
      </c>
      <c r="B148" s="455">
        <v>0</v>
      </c>
      <c r="C148" s="455">
        <v>65.045240000000007</v>
      </c>
      <c r="D148" s="456">
        <v>65.045240000000007</v>
      </c>
      <c r="E148" s="457" t="s">
        <v>259</v>
      </c>
      <c r="F148" s="455">
        <v>0</v>
      </c>
      <c r="G148" s="456">
        <v>0</v>
      </c>
      <c r="H148" s="458">
        <v>0</v>
      </c>
      <c r="I148" s="455">
        <v>5.0609999999999999</v>
      </c>
      <c r="J148" s="456">
        <v>5.0609999999999999</v>
      </c>
      <c r="K148" s="459" t="s">
        <v>259</v>
      </c>
    </row>
    <row r="149" spans="1:11" ht="14.4" customHeight="1" thickBot="1" x14ac:dyDescent="0.35">
      <c r="A149" s="472" t="s">
        <v>400</v>
      </c>
      <c r="B149" s="450">
        <v>0</v>
      </c>
      <c r="C149" s="450">
        <v>60.341079999999998</v>
      </c>
      <c r="D149" s="451">
        <v>60.341079999999998</v>
      </c>
      <c r="E149" s="460" t="s">
        <v>269</v>
      </c>
      <c r="F149" s="450">
        <v>0</v>
      </c>
      <c r="G149" s="451">
        <v>0</v>
      </c>
      <c r="H149" s="453">
        <v>0</v>
      </c>
      <c r="I149" s="450">
        <v>5.0609999999999999</v>
      </c>
      <c r="J149" s="451">
        <v>5.0609999999999999</v>
      </c>
      <c r="K149" s="461" t="s">
        <v>259</v>
      </c>
    </row>
    <row r="150" spans="1:11" ht="14.4" customHeight="1" thickBot="1" x14ac:dyDescent="0.35">
      <c r="A150" s="472" t="s">
        <v>401</v>
      </c>
      <c r="B150" s="450">
        <v>0</v>
      </c>
      <c r="C150" s="450">
        <v>4.7041599999999999</v>
      </c>
      <c r="D150" s="451">
        <v>4.7041599999999999</v>
      </c>
      <c r="E150" s="460" t="s">
        <v>259</v>
      </c>
      <c r="F150" s="450">
        <v>0</v>
      </c>
      <c r="G150" s="451">
        <v>0</v>
      </c>
      <c r="H150" s="453">
        <v>0</v>
      </c>
      <c r="I150" s="450">
        <v>0</v>
      </c>
      <c r="J150" s="451">
        <v>0</v>
      </c>
      <c r="K150" s="461" t="s">
        <v>259</v>
      </c>
    </row>
    <row r="151" spans="1:11" ht="14.4" customHeight="1" thickBot="1" x14ac:dyDescent="0.35">
      <c r="A151" s="471" t="s">
        <v>402</v>
      </c>
      <c r="B151" s="455">
        <v>77759.007796790494</v>
      </c>
      <c r="C151" s="455">
        <v>88959.343470000007</v>
      </c>
      <c r="D151" s="456">
        <v>11200.3356732095</v>
      </c>
      <c r="E151" s="462">
        <v>1.1440390765070001</v>
      </c>
      <c r="F151" s="455">
        <v>83707</v>
      </c>
      <c r="G151" s="456">
        <v>41853.5</v>
      </c>
      <c r="H151" s="458">
        <v>5191.3222400000004</v>
      </c>
      <c r="I151" s="455">
        <v>39010.108139999997</v>
      </c>
      <c r="J151" s="456">
        <v>-2843.3918599999902</v>
      </c>
      <c r="K151" s="463">
        <v>0.46603161193199999</v>
      </c>
    </row>
    <row r="152" spans="1:11" ht="14.4" customHeight="1" thickBot="1" x14ac:dyDescent="0.35">
      <c r="A152" s="472" t="s">
        <v>403</v>
      </c>
      <c r="B152" s="450">
        <v>30513.0030594975</v>
      </c>
      <c r="C152" s="450">
        <v>27981.860379999998</v>
      </c>
      <c r="D152" s="451">
        <v>-2531.14267949755</v>
      </c>
      <c r="E152" s="452">
        <v>0.91704708072899999</v>
      </c>
      <c r="F152" s="450">
        <v>32237</v>
      </c>
      <c r="G152" s="451">
        <v>16118.5</v>
      </c>
      <c r="H152" s="453">
        <v>2035.4399100000001</v>
      </c>
      <c r="I152" s="450">
        <v>16206.8452</v>
      </c>
      <c r="J152" s="451">
        <v>88.345200000003004</v>
      </c>
      <c r="K152" s="454">
        <v>0.50274049074000005</v>
      </c>
    </row>
    <row r="153" spans="1:11" ht="14.4" customHeight="1" thickBot="1" x14ac:dyDescent="0.35">
      <c r="A153" s="472" t="s">
        <v>404</v>
      </c>
      <c r="B153" s="450">
        <v>47246.004737292998</v>
      </c>
      <c r="C153" s="450">
        <v>60977.483090000002</v>
      </c>
      <c r="D153" s="451">
        <v>13731.478352706999</v>
      </c>
      <c r="E153" s="452">
        <v>1.2906378735949999</v>
      </c>
      <c r="F153" s="450">
        <v>51470</v>
      </c>
      <c r="G153" s="451">
        <v>25735</v>
      </c>
      <c r="H153" s="453">
        <v>3155.8823299999999</v>
      </c>
      <c r="I153" s="450">
        <v>22803.262940000001</v>
      </c>
      <c r="J153" s="451">
        <v>-2931.7370599999899</v>
      </c>
      <c r="K153" s="454">
        <v>0.44303988614700002</v>
      </c>
    </row>
    <row r="154" spans="1:11" ht="14.4" customHeight="1" thickBot="1" x14ac:dyDescent="0.35">
      <c r="A154" s="471" t="s">
        <v>405</v>
      </c>
      <c r="B154" s="455">
        <v>0</v>
      </c>
      <c r="C154" s="455">
        <v>4942.1544899999999</v>
      </c>
      <c r="D154" s="456">
        <v>4942.1544899999999</v>
      </c>
      <c r="E154" s="457" t="s">
        <v>259</v>
      </c>
      <c r="F154" s="455">
        <v>0</v>
      </c>
      <c r="G154" s="456">
        <v>0</v>
      </c>
      <c r="H154" s="458">
        <v>657.39149999999995</v>
      </c>
      <c r="I154" s="455">
        <v>2219.1416599999998</v>
      </c>
      <c r="J154" s="456">
        <v>2219.1416599999998</v>
      </c>
      <c r="K154" s="459" t="s">
        <v>259</v>
      </c>
    </row>
    <row r="155" spans="1:11" ht="14.4" customHeight="1" thickBot="1" x14ac:dyDescent="0.35">
      <c r="A155" s="472" t="s">
        <v>406</v>
      </c>
      <c r="B155" s="450">
        <v>0</v>
      </c>
      <c r="C155" s="450">
        <v>500.93743000000001</v>
      </c>
      <c r="D155" s="451">
        <v>500.93743000000001</v>
      </c>
      <c r="E155" s="460" t="s">
        <v>259</v>
      </c>
      <c r="F155" s="450">
        <v>0</v>
      </c>
      <c r="G155" s="451">
        <v>0</v>
      </c>
      <c r="H155" s="453">
        <v>0</v>
      </c>
      <c r="I155" s="450">
        <v>1562.8987400000001</v>
      </c>
      <c r="J155" s="451">
        <v>1562.8987400000001</v>
      </c>
      <c r="K155" s="461" t="s">
        <v>259</v>
      </c>
    </row>
    <row r="156" spans="1:11" ht="14.4" customHeight="1" thickBot="1" x14ac:dyDescent="0.35">
      <c r="A156" s="472" t="s">
        <v>407</v>
      </c>
      <c r="B156" s="450">
        <v>0</v>
      </c>
      <c r="C156" s="450">
        <v>4441.2170599999999</v>
      </c>
      <c r="D156" s="451">
        <v>4441.2170599999999</v>
      </c>
      <c r="E156" s="460" t="s">
        <v>259</v>
      </c>
      <c r="F156" s="450">
        <v>0</v>
      </c>
      <c r="G156" s="451">
        <v>0</v>
      </c>
      <c r="H156" s="453">
        <v>657.39149999999995</v>
      </c>
      <c r="I156" s="450">
        <v>656.24292000000003</v>
      </c>
      <c r="J156" s="451">
        <v>656.24292000000003</v>
      </c>
      <c r="K156" s="461" t="s">
        <v>259</v>
      </c>
    </row>
    <row r="157" spans="1:11" ht="14.4" customHeight="1" thickBot="1" x14ac:dyDescent="0.35">
      <c r="A157" s="469" t="s">
        <v>408</v>
      </c>
      <c r="B157" s="450">
        <v>2.3854131238740002</v>
      </c>
      <c r="C157" s="450">
        <v>36.599850000000004</v>
      </c>
      <c r="D157" s="451">
        <v>34.214436876124999</v>
      </c>
      <c r="E157" s="452">
        <v>15.343191346474001</v>
      </c>
      <c r="F157" s="450">
        <v>26.366751277681001</v>
      </c>
      <c r="G157" s="451">
        <v>13.183375638839999</v>
      </c>
      <c r="H157" s="453">
        <v>0</v>
      </c>
      <c r="I157" s="450">
        <v>3.4958900000000002</v>
      </c>
      <c r="J157" s="451">
        <v>-9.6874856388400001</v>
      </c>
      <c r="K157" s="454">
        <v>0.132587058723</v>
      </c>
    </row>
    <row r="158" spans="1:11" ht="14.4" customHeight="1" thickBot="1" x14ac:dyDescent="0.35">
      <c r="A158" s="470" t="s">
        <v>409</v>
      </c>
      <c r="B158" s="450">
        <v>0</v>
      </c>
      <c r="C158" s="450">
        <v>7.8920000000000003</v>
      </c>
      <c r="D158" s="451">
        <v>7.8920000000000003</v>
      </c>
      <c r="E158" s="460" t="s">
        <v>269</v>
      </c>
      <c r="F158" s="450">
        <v>0</v>
      </c>
      <c r="G158" s="451">
        <v>0</v>
      </c>
      <c r="H158" s="453">
        <v>0</v>
      </c>
      <c r="I158" s="450">
        <v>0</v>
      </c>
      <c r="J158" s="451">
        <v>0</v>
      </c>
      <c r="K158" s="461" t="s">
        <v>259</v>
      </c>
    </row>
    <row r="159" spans="1:11" ht="14.4" customHeight="1" thickBot="1" x14ac:dyDescent="0.35">
      <c r="A159" s="471" t="s">
        <v>410</v>
      </c>
      <c r="B159" s="455">
        <v>0</v>
      </c>
      <c r="C159" s="455">
        <v>7.8920000000000003</v>
      </c>
      <c r="D159" s="456">
        <v>7.8920000000000003</v>
      </c>
      <c r="E159" s="457" t="s">
        <v>269</v>
      </c>
      <c r="F159" s="455">
        <v>0</v>
      </c>
      <c r="G159" s="456">
        <v>0</v>
      </c>
      <c r="H159" s="458">
        <v>0</v>
      </c>
      <c r="I159" s="455">
        <v>0</v>
      </c>
      <c r="J159" s="456">
        <v>0</v>
      </c>
      <c r="K159" s="459" t="s">
        <v>259</v>
      </c>
    </row>
    <row r="160" spans="1:11" ht="14.4" customHeight="1" thickBot="1" x14ac:dyDescent="0.35">
      <c r="A160" s="472" t="s">
        <v>411</v>
      </c>
      <c r="B160" s="450">
        <v>0</v>
      </c>
      <c r="C160" s="450">
        <v>7.8920000000000003</v>
      </c>
      <c r="D160" s="451">
        <v>7.8920000000000003</v>
      </c>
      <c r="E160" s="460" t="s">
        <v>269</v>
      </c>
      <c r="F160" s="450">
        <v>0</v>
      </c>
      <c r="G160" s="451">
        <v>0</v>
      </c>
      <c r="H160" s="453">
        <v>0</v>
      </c>
      <c r="I160" s="450">
        <v>0</v>
      </c>
      <c r="J160" s="451">
        <v>0</v>
      </c>
      <c r="K160" s="461" t="s">
        <v>259</v>
      </c>
    </row>
    <row r="161" spans="1:11" ht="14.4" customHeight="1" thickBot="1" x14ac:dyDescent="0.35">
      <c r="A161" s="475" t="s">
        <v>412</v>
      </c>
      <c r="B161" s="455">
        <v>2.3854131238740002</v>
      </c>
      <c r="C161" s="455">
        <v>28.707850000000001</v>
      </c>
      <c r="D161" s="456">
        <v>26.322436876125</v>
      </c>
      <c r="E161" s="462">
        <v>12.034749751593999</v>
      </c>
      <c r="F161" s="455">
        <v>26.366751277681001</v>
      </c>
      <c r="G161" s="456">
        <v>13.183375638839999</v>
      </c>
      <c r="H161" s="458">
        <v>0</v>
      </c>
      <c r="I161" s="455">
        <v>3.4958900000000002</v>
      </c>
      <c r="J161" s="456">
        <v>-9.6874856388400001</v>
      </c>
      <c r="K161" s="463">
        <v>0.132587058723</v>
      </c>
    </row>
    <row r="162" spans="1:11" ht="14.4" customHeight="1" thickBot="1" x14ac:dyDescent="0.35">
      <c r="A162" s="471" t="s">
        <v>413</v>
      </c>
      <c r="B162" s="455">
        <v>0</v>
      </c>
      <c r="C162" s="455">
        <v>-1.2899999999999999E-3</v>
      </c>
      <c r="D162" s="456">
        <v>-1.2899999999999999E-3</v>
      </c>
      <c r="E162" s="457" t="s">
        <v>259</v>
      </c>
      <c r="F162" s="455">
        <v>0</v>
      </c>
      <c r="G162" s="456">
        <v>0</v>
      </c>
      <c r="H162" s="458">
        <v>0</v>
      </c>
      <c r="I162" s="455">
        <v>-1.0000000000000001E-5</v>
      </c>
      <c r="J162" s="456">
        <v>-1.0000000000000001E-5</v>
      </c>
      <c r="K162" s="459" t="s">
        <v>259</v>
      </c>
    </row>
    <row r="163" spans="1:11" ht="14.4" customHeight="1" thickBot="1" x14ac:dyDescent="0.35">
      <c r="A163" s="472" t="s">
        <v>414</v>
      </c>
      <c r="B163" s="450">
        <v>0</v>
      </c>
      <c r="C163" s="450">
        <v>-1.2899999999999999E-3</v>
      </c>
      <c r="D163" s="451">
        <v>-1.2899999999999999E-3</v>
      </c>
      <c r="E163" s="460" t="s">
        <v>259</v>
      </c>
      <c r="F163" s="450">
        <v>0</v>
      </c>
      <c r="G163" s="451">
        <v>0</v>
      </c>
      <c r="H163" s="453">
        <v>0</v>
      </c>
      <c r="I163" s="450">
        <v>-1.0000000000000001E-5</v>
      </c>
      <c r="J163" s="451">
        <v>-1.0000000000000001E-5</v>
      </c>
      <c r="K163" s="461" t="s">
        <v>259</v>
      </c>
    </row>
    <row r="164" spans="1:11" ht="14.4" customHeight="1" thickBot="1" x14ac:dyDescent="0.35">
      <c r="A164" s="471" t="s">
        <v>415</v>
      </c>
      <c r="B164" s="455">
        <v>2.3854131238740002</v>
      </c>
      <c r="C164" s="455">
        <v>28.709140000000001</v>
      </c>
      <c r="D164" s="456">
        <v>26.323726876125001</v>
      </c>
      <c r="E164" s="462">
        <v>12.035290538423</v>
      </c>
      <c r="F164" s="455">
        <v>26.366751277681001</v>
      </c>
      <c r="G164" s="456">
        <v>13.183375638839999</v>
      </c>
      <c r="H164" s="458">
        <v>0</v>
      </c>
      <c r="I164" s="455">
        <v>3.4958999999999998</v>
      </c>
      <c r="J164" s="456">
        <v>-9.6874756388400005</v>
      </c>
      <c r="K164" s="463">
        <v>0.13258743798799999</v>
      </c>
    </row>
    <row r="165" spans="1:11" ht="14.4" customHeight="1" thickBot="1" x14ac:dyDescent="0.35">
      <c r="A165" s="472" t="s">
        <v>416</v>
      </c>
      <c r="B165" s="450">
        <v>1.9868212925999999E-2</v>
      </c>
      <c r="C165" s="450">
        <v>0.114</v>
      </c>
      <c r="D165" s="451">
        <v>9.4131787073000003E-2</v>
      </c>
      <c r="E165" s="452">
        <v>5.7378084492139996</v>
      </c>
      <c r="F165" s="450">
        <v>0</v>
      </c>
      <c r="G165" s="451">
        <v>0</v>
      </c>
      <c r="H165" s="453">
        <v>0</v>
      </c>
      <c r="I165" s="450">
        <v>0</v>
      </c>
      <c r="J165" s="451">
        <v>0</v>
      </c>
      <c r="K165" s="461" t="s">
        <v>259</v>
      </c>
    </row>
    <row r="166" spans="1:11" ht="14.4" customHeight="1" thickBot="1" x14ac:dyDescent="0.35">
      <c r="A166" s="472" t="s">
        <v>417</v>
      </c>
      <c r="B166" s="450">
        <v>2.365544910948</v>
      </c>
      <c r="C166" s="450">
        <v>28.595140000000001</v>
      </c>
      <c r="D166" s="451">
        <v>26.229595089050999</v>
      </c>
      <c r="E166" s="452">
        <v>12.088183093736999</v>
      </c>
      <c r="F166" s="450">
        <v>26.366751277681001</v>
      </c>
      <c r="G166" s="451">
        <v>13.183375638839999</v>
      </c>
      <c r="H166" s="453">
        <v>0</v>
      </c>
      <c r="I166" s="450">
        <v>3.4958999999999998</v>
      </c>
      <c r="J166" s="451">
        <v>-9.6874756388400005</v>
      </c>
      <c r="K166" s="454">
        <v>0.13258743798799999</v>
      </c>
    </row>
    <row r="167" spans="1:11" ht="14.4" customHeight="1" thickBot="1" x14ac:dyDescent="0.35">
      <c r="A167" s="469" t="s">
        <v>418</v>
      </c>
      <c r="B167" s="450">
        <v>0</v>
      </c>
      <c r="C167" s="450">
        <v>0.63602000000000003</v>
      </c>
      <c r="D167" s="451">
        <v>0.63602000000000003</v>
      </c>
      <c r="E167" s="460" t="s">
        <v>269</v>
      </c>
      <c r="F167" s="450">
        <v>0</v>
      </c>
      <c r="G167" s="451">
        <v>0</v>
      </c>
      <c r="H167" s="453">
        <v>0.91034999999999999</v>
      </c>
      <c r="I167" s="450">
        <v>0.91034999999999999</v>
      </c>
      <c r="J167" s="451">
        <v>0.91034999999999999</v>
      </c>
      <c r="K167" s="461" t="s">
        <v>259</v>
      </c>
    </row>
    <row r="168" spans="1:11" ht="14.4" customHeight="1" thickBot="1" x14ac:dyDescent="0.35">
      <c r="A168" s="475" t="s">
        <v>419</v>
      </c>
      <c r="B168" s="455">
        <v>0</v>
      </c>
      <c r="C168" s="455">
        <v>0.63602000000000003</v>
      </c>
      <c r="D168" s="456">
        <v>0.63602000000000003</v>
      </c>
      <c r="E168" s="457" t="s">
        <v>269</v>
      </c>
      <c r="F168" s="455">
        <v>0</v>
      </c>
      <c r="G168" s="456">
        <v>0</v>
      </c>
      <c r="H168" s="458">
        <v>0.91034999999999999</v>
      </c>
      <c r="I168" s="455">
        <v>0.91034999999999999</v>
      </c>
      <c r="J168" s="456">
        <v>0.91034999999999999</v>
      </c>
      <c r="K168" s="459" t="s">
        <v>259</v>
      </c>
    </row>
    <row r="169" spans="1:11" ht="14.4" customHeight="1" thickBot="1" x14ac:dyDescent="0.35">
      <c r="A169" s="471" t="s">
        <v>420</v>
      </c>
      <c r="B169" s="455">
        <v>0</v>
      </c>
      <c r="C169" s="455">
        <v>0.63602000000000003</v>
      </c>
      <c r="D169" s="456">
        <v>0.63602000000000003</v>
      </c>
      <c r="E169" s="457" t="s">
        <v>269</v>
      </c>
      <c r="F169" s="455">
        <v>0</v>
      </c>
      <c r="G169" s="456">
        <v>0</v>
      </c>
      <c r="H169" s="458">
        <v>0.91034999999999999</v>
      </c>
      <c r="I169" s="455">
        <v>0.91034999999999999</v>
      </c>
      <c r="J169" s="456">
        <v>0.91034999999999999</v>
      </c>
      <c r="K169" s="459" t="s">
        <v>259</v>
      </c>
    </row>
    <row r="170" spans="1:11" ht="14.4" customHeight="1" thickBot="1" x14ac:dyDescent="0.35">
      <c r="A170" s="472" t="s">
        <v>421</v>
      </c>
      <c r="B170" s="450">
        <v>0</v>
      </c>
      <c r="C170" s="450">
        <v>0.63602000000000003</v>
      </c>
      <c r="D170" s="451">
        <v>0.63602000000000003</v>
      </c>
      <c r="E170" s="460" t="s">
        <v>269</v>
      </c>
      <c r="F170" s="450">
        <v>0</v>
      </c>
      <c r="G170" s="451">
        <v>0</v>
      </c>
      <c r="H170" s="453">
        <v>0.91034999999999999</v>
      </c>
      <c r="I170" s="450">
        <v>0.91034999999999999</v>
      </c>
      <c r="J170" s="451">
        <v>0.91034999999999999</v>
      </c>
      <c r="K170" s="461" t="s">
        <v>259</v>
      </c>
    </row>
    <row r="171" spans="1:11" ht="14.4" customHeight="1" thickBot="1" x14ac:dyDescent="0.35">
      <c r="A171" s="468" t="s">
        <v>422</v>
      </c>
      <c r="B171" s="450">
        <v>2758.4611113379301</v>
      </c>
      <c r="C171" s="450">
        <v>2754.4626400000002</v>
      </c>
      <c r="D171" s="451">
        <v>-3.9984713379330001</v>
      </c>
      <c r="E171" s="452">
        <v>0.99855047028800004</v>
      </c>
      <c r="F171" s="450">
        <v>2687.0938758759899</v>
      </c>
      <c r="G171" s="451">
        <v>1343.5469379379899</v>
      </c>
      <c r="H171" s="453">
        <v>255.78778</v>
      </c>
      <c r="I171" s="450">
        <v>1336.95958</v>
      </c>
      <c r="J171" s="451">
        <v>-6.5873579379929996</v>
      </c>
      <c r="K171" s="454">
        <v>0.497548519611</v>
      </c>
    </row>
    <row r="172" spans="1:11" ht="14.4" customHeight="1" thickBot="1" x14ac:dyDescent="0.35">
      <c r="A172" s="473" t="s">
        <v>423</v>
      </c>
      <c r="B172" s="455">
        <v>2758.4611113379301</v>
      </c>
      <c r="C172" s="455">
        <v>2754.4626400000002</v>
      </c>
      <c r="D172" s="456">
        <v>-3.9984713379330001</v>
      </c>
      <c r="E172" s="462">
        <v>0.99855047028800004</v>
      </c>
      <c r="F172" s="455">
        <v>2687.0938758759899</v>
      </c>
      <c r="G172" s="456">
        <v>1343.5469379379899</v>
      </c>
      <c r="H172" s="458">
        <v>255.78778</v>
      </c>
      <c r="I172" s="455">
        <v>1336.95958</v>
      </c>
      <c r="J172" s="456">
        <v>-6.5873579379929996</v>
      </c>
      <c r="K172" s="463">
        <v>0.497548519611</v>
      </c>
    </row>
    <row r="173" spans="1:11" ht="14.4" customHeight="1" thickBot="1" x14ac:dyDescent="0.35">
      <c r="A173" s="475" t="s">
        <v>54</v>
      </c>
      <c r="B173" s="455">
        <v>2758.4611113379301</v>
      </c>
      <c r="C173" s="455">
        <v>2754.4626400000002</v>
      </c>
      <c r="D173" s="456">
        <v>-3.9984713379330001</v>
      </c>
      <c r="E173" s="462">
        <v>0.99855047028800004</v>
      </c>
      <c r="F173" s="455">
        <v>2687.0938758759899</v>
      </c>
      <c r="G173" s="456">
        <v>1343.5469379379899</v>
      </c>
      <c r="H173" s="458">
        <v>255.78778</v>
      </c>
      <c r="I173" s="455">
        <v>1336.95958</v>
      </c>
      <c r="J173" s="456">
        <v>-6.5873579379929996</v>
      </c>
      <c r="K173" s="463">
        <v>0.497548519611</v>
      </c>
    </row>
    <row r="174" spans="1:11" ht="14.4" customHeight="1" thickBot="1" x14ac:dyDescent="0.35">
      <c r="A174" s="474" t="s">
        <v>424</v>
      </c>
      <c r="B174" s="450">
        <v>0</v>
      </c>
      <c r="C174" s="450">
        <v>0</v>
      </c>
      <c r="D174" s="451">
        <v>0</v>
      </c>
      <c r="E174" s="452">
        <v>1</v>
      </c>
      <c r="F174" s="450">
        <v>0</v>
      </c>
      <c r="G174" s="451">
        <v>0</v>
      </c>
      <c r="H174" s="453">
        <v>9.3890000000000001E-2</v>
      </c>
      <c r="I174" s="450">
        <v>0.12254</v>
      </c>
      <c r="J174" s="451">
        <v>0.12254</v>
      </c>
      <c r="K174" s="461" t="s">
        <v>269</v>
      </c>
    </row>
    <row r="175" spans="1:11" ht="14.4" customHeight="1" thickBot="1" x14ac:dyDescent="0.35">
      <c r="A175" s="472" t="s">
        <v>425</v>
      </c>
      <c r="B175" s="450">
        <v>0</v>
      </c>
      <c r="C175" s="450">
        <v>0</v>
      </c>
      <c r="D175" s="451">
        <v>0</v>
      </c>
      <c r="E175" s="452">
        <v>1</v>
      </c>
      <c r="F175" s="450">
        <v>0</v>
      </c>
      <c r="G175" s="451">
        <v>0</v>
      </c>
      <c r="H175" s="453">
        <v>9.3890000000000001E-2</v>
      </c>
      <c r="I175" s="450">
        <v>0.12254</v>
      </c>
      <c r="J175" s="451">
        <v>0.12254</v>
      </c>
      <c r="K175" s="461" t="s">
        <v>269</v>
      </c>
    </row>
    <row r="176" spans="1:11" ht="14.4" customHeight="1" thickBot="1" x14ac:dyDescent="0.35">
      <c r="A176" s="471" t="s">
        <v>426</v>
      </c>
      <c r="B176" s="455">
        <v>44.062948368057</v>
      </c>
      <c r="C176" s="455">
        <v>40.488</v>
      </c>
      <c r="D176" s="456">
        <v>-3.574948368057</v>
      </c>
      <c r="E176" s="462">
        <v>0.91886724559999999</v>
      </c>
      <c r="F176" s="455">
        <v>43.736732114764003</v>
      </c>
      <c r="G176" s="456">
        <v>21.868366057382001</v>
      </c>
      <c r="H176" s="458">
        <v>3.2639999999999998</v>
      </c>
      <c r="I176" s="455">
        <v>19.584</v>
      </c>
      <c r="J176" s="456">
        <v>-2.2843660573819999</v>
      </c>
      <c r="K176" s="463">
        <v>0.44777007913099998</v>
      </c>
    </row>
    <row r="177" spans="1:11" ht="14.4" customHeight="1" thickBot="1" x14ac:dyDescent="0.35">
      <c r="A177" s="472" t="s">
        <v>427</v>
      </c>
      <c r="B177" s="450">
        <v>44.062948368057</v>
      </c>
      <c r="C177" s="450">
        <v>40.488</v>
      </c>
      <c r="D177" s="451">
        <v>-3.574948368057</v>
      </c>
      <c r="E177" s="452">
        <v>0.91886724559999999</v>
      </c>
      <c r="F177" s="450">
        <v>43.736732114764003</v>
      </c>
      <c r="G177" s="451">
        <v>21.868366057382001</v>
      </c>
      <c r="H177" s="453">
        <v>3.2639999999999998</v>
      </c>
      <c r="I177" s="450">
        <v>19.584</v>
      </c>
      <c r="J177" s="451">
        <v>-2.2843660573819999</v>
      </c>
      <c r="K177" s="454">
        <v>0.44777007913099998</v>
      </c>
    </row>
    <row r="178" spans="1:11" ht="14.4" customHeight="1" thickBot="1" x14ac:dyDescent="0.35">
      <c r="A178" s="471" t="s">
        <v>428</v>
      </c>
      <c r="B178" s="455">
        <v>5.8923595120690004</v>
      </c>
      <c r="C178" s="455">
        <v>5.1676399999999996</v>
      </c>
      <c r="D178" s="456">
        <v>-0.72471951206899998</v>
      </c>
      <c r="E178" s="462">
        <v>0.87700690859300001</v>
      </c>
      <c r="F178" s="455">
        <v>5.6046283929170002</v>
      </c>
      <c r="G178" s="456">
        <v>2.8023141964580001</v>
      </c>
      <c r="H178" s="458">
        <v>0.58799999999999997</v>
      </c>
      <c r="I178" s="455">
        <v>20.333559999999999</v>
      </c>
      <c r="J178" s="456">
        <v>17.531245803541001</v>
      </c>
      <c r="K178" s="463">
        <v>3.6279943244220001</v>
      </c>
    </row>
    <row r="179" spans="1:11" ht="14.4" customHeight="1" thickBot="1" x14ac:dyDescent="0.35">
      <c r="A179" s="472" t="s">
        <v>429</v>
      </c>
      <c r="B179" s="450">
        <v>0</v>
      </c>
      <c r="C179" s="450">
        <v>0.74</v>
      </c>
      <c r="D179" s="451">
        <v>0.74</v>
      </c>
      <c r="E179" s="460" t="s">
        <v>269</v>
      </c>
      <c r="F179" s="450">
        <v>0.86427441196999999</v>
      </c>
      <c r="G179" s="451">
        <v>0.43213720598499999</v>
      </c>
      <c r="H179" s="453">
        <v>0</v>
      </c>
      <c r="I179" s="450">
        <v>0.37</v>
      </c>
      <c r="J179" s="451">
        <v>-6.2137205984999999E-2</v>
      </c>
      <c r="K179" s="454">
        <v>0.42810477190500001</v>
      </c>
    </row>
    <row r="180" spans="1:11" ht="14.4" customHeight="1" thickBot="1" x14ac:dyDescent="0.35">
      <c r="A180" s="472" t="s">
        <v>430</v>
      </c>
      <c r="B180" s="450">
        <v>0</v>
      </c>
      <c r="C180" s="450">
        <v>0</v>
      </c>
      <c r="D180" s="451">
        <v>0</v>
      </c>
      <c r="E180" s="452">
        <v>1</v>
      </c>
      <c r="F180" s="450">
        <v>0</v>
      </c>
      <c r="G180" s="451">
        <v>0</v>
      </c>
      <c r="H180" s="453">
        <v>0</v>
      </c>
      <c r="I180" s="450">
        <v>17.687999999999999</v>
      </c>
      <c r="J180" s="451">
        <v>17.687999999999999</v>
      </c>
      <c r="K180" s="461" t="s">
        <v>269</v>
      </c>
    </row>
    <row r="181" spans="1:11" ht="14.4" customHeight="1" thickBot="1" x14ac:dyDescent="0.35">
      <c r="A181" s="472" t="s">
        <v>431</v>
      </c>
      <c r="B181" s="450">
        <v>5.8923595120690004</v>
      </c>
      <c r="C181" s="450">
        <v>4.4276400000000002</v>
      </c>
      <c r="D181" s="451">
        <v>-1.464719512069</v>
      </c>
      <c r="E181" s="452">
        <v>0.75142054569600003</v>
      </c>
      <c r="F181" s="450">
        <v>4.7403539809469999</v>
      </c>
      <c r="G181" s="451">
        <v>2.3701769904729999</v>
      </c>
      <c r="H181" s="453">
        <v>0.58799999999999997</v>
      </c>
      <c r="I181" s="450">
        <v>2.27556</v>
      </c>
      <c r="J181" s="451">
        <v>-9.4616990472999998E-2</v>
      </c>
      <c r="K181" s="454">
        <v>0.48004010019999999</v>
      </c>
    </row>
    <row r="182" spans="1:11" ht="14.4" customHeight="1" thickBot="1" x14ac:dyDescent="0.35">
      <c r="A182" s="471" t="s">
        <v>432</v>
      </c>
      <c r="B182" s="455">
        <v>28.040435643837998</v>
      </c>
      <c r="C182" s="455">
        <v>29.08127</v>
      </c>
      <c r="D182" s="456">
        <v>1.0408343561610001</v>
      </c>
      <c r="E182" s="462">
        <v>1.0371190508370001</v>
      </c>
      <c r="F182" s="455">
        <v>28.456696253408001</v>
      </c>
      <c r="G182" s="456">
        <v>14.228348126704001</v>
      </c>
      <c r="H182" s="458">
        <v>2.7481</v>
      </c>
      <c r="I182" s="455">
        <v>15.68</v>
      </c>
      <c r="J182" s="456">
        <v>1.4516518732949999</v>
      </c>
      <c r="K182" s="463">
        <v>0.55101266360500001</v>
      </c>
    </row>
    <row r="183" spans="1:11" ht="14.4" customHeight="1" thickBot="1" x14ac:dyDescent="0.35">
      <c r="A183" s="472" t="s">
        <v>433</v>
      </c>
      <c r="B183" s="450">
        <v>28.040435643837998</v>
      </c>
      <c r="C183" s="450">
        <v>29.08127</v>
      </c>
      <c r="D183" s="451">
        <v>1.0408343561610001</v>
      </c>
      <c r="E183" s="452">
        <v>1.0371190508370001</v>
      </c>
      <c r="F183" s="450">
        <v>28.456696253408001</v>
      </c>
      <c r="G183" s="451">
        <v>14.228348126704001</v>
      </c>
      <c r="H183" s="453">
        <v>2.7481</v>
      </c>
      <c r="I183" s="450">
        <v>15.68</v>
      </c>
      <c r="J183" s="451">
        <v>1.4516518732949999</v>
      </c>
      <c r="K183" s="454">
        <v>0.55101266360500001</v>
      </c>
    </row>
    <row r="184" spans="1:11" ht="14.4" customHeight="1" thickBot="1" x14ac:dyDescent="0.35">
      <c r="A184" s="471" t="s">
        <v>434</v>
      </c>
      <c r="B184" s="455">
        <v>934.57803266924896</v>
      </c>
      <c r="C184" s="455">
        <v>894.19286999999997</v>
      </c>
      <c r="D184" s="456">
        <v>-40.385162669248999</v>
      </c>
      <c r="E184" s="462">
        <v>0.95678781090700005</v>
      </c>
      <c r="F184" s="455">
        <v>976.66972448137301</v>
      </c>
      <c r="G184" s="456">
        <v>488.33486224068702</v>
      </c>
      <c r="H184" s="458">
        <v>80.744399999999999</v>
      </c>
      <c r="I184" s="455">
        <v>393.39758</v>
      </c>
      <c r="J184" s="456">
        <v>-94.937282240686002</v>
      </c>
      <c r="K184" s="463">
        <v>0.40279489589799999</v>
      </c>
    </row>
    <row r="185" spans="1:11" ht="14.4" customHeight="1" thickBot="1" x14ac:dyDescent="0.35">
      <c r="A185" s="472" t="s">
        <v>435</v>
      </c>
      <c r="B185" s="450">
        <v>934.57803266924896</v>
      </c>
      <c r="C185" s="450">
        <v>894.19286999999997</v>
      </c>
      <c r="D185" s="451">
        <v>-40.385162669248999</v>
      </c>
      <c r="E185" s="452">
        <v>0.95678781090700005</v>
      </c>
      <c r="F185" s="450">
        <v>976.66972448137301</v>
      </c>
      <c r="G185" s="451">
        <v>488.33486224068702</v>
      </c>
      <c r="H185" s="453">
        <v>80.744399999999999</v>
      </c>
      <c r="I185" s="450">
        <v>393.39758</v>
      </c>
      <c r="J185" s="451">
        <v>-94.937282240686002</v>
      </c>
      <c r="K185" s="454">
        <v>0.40279489589799999</v>
      </c>
    </row>
    <row r="186" spans="1:11" ht="14.4" customHeight="1" thickBot="1" x14ac:dyDescent="0.35">
      <c r="A186" s="471" t="s">
        <v>436</v>
      </c>
      <c r="B186" s="455">
        <v>0</v>
      </c>
      <c r="C186" s="455">
        <v>4.2200000000000001E-2</v>
      </c>
      <c r="D186" s="456">
        <v>4.2200000000000001E-2</v>
      </c>
      <c r="E186" s="457" t="s">
        <v>269</v>
      </c>
      <c r="F186" s="455">
        <v>0</v>
      </c>
      <c r="G186" s="456">
        <v>0</v>
      </c>
      <c r="H186" s="458">
        <v>0.27484999999999998</v>
      </c>
      <c r="I186" s="455">
        <v>0.56952000000000003</v>
      </c>
      <c r="J186" s="456">
        <v>0.56952000000000003</v>
      </c>
      <c r="K186" s="459" t="s">
        <v>269</v>
      </c>
    </row>
    <row r="187" spans="1:11" ht="14.4" customHeight="1" thickBot="1" x14ac:dyDescent="0.35">
      <c r="A187" s="472" t="s">
        <v>437</v>
      </c>
      <c r="B187" s="450">
        <v>0</v>
      </c>
      <c r="C187" s="450">
        <v>4.2200000000000001E-2</v>
      </c>
      <c r="D187" s="451">
        <v>4.2200000000000001E-2</v>
      </c>
      <c r="E187" s="460" t="s">
        <v>269</v>
      </c>
      <c r="F187" s="450">
        <v>0</v>
      </c>
      <c r="G187" s="451">
        <v>0</v>
      </c>
      <c r="H187" s="453">
        <v>0.27484999999999998</v>
      </c>
      <c r="I187" s="450">
        <v>0.56952000000000003</v>
      </c>
      <c r="J187" s="451">
        <v>0.56952000000000003</v>
      </c>
      <c r="K187" s="461" t="s">
        <v>269</v>
      </c>
    </row>
    <row r="188" spans="1:11" ht="14.4" customHeight="1" thickBot="1" x14ac:dyDescent="0.35">
      <c r="A188" s="471" t="s">
        <v>438</v>
      </c>
      <c r="B188" s="455">
        <v>1745.8873351447201</v>
      </c>
      <c r="C188" s="455">
        <v>1785.4906599999999</v>
      </c>
      <c r="D188" s="456">
        <v>39.60332485528</v>
      </c>
      <c r="E188" s="462">
        <v>1.0226837803660001</v>
      </c>
      <c r="F188" s="455">
        <v>1632.6260946335201</v>
      </c>
      <c r="G188" s="456">
        <v>816.31304731676096</v>
      </c>
      <c r="H188" s="458">
        <v>168.07454000000001</v>
      </c>
      <c r="I188" s="455">
        <v>887.27238</v>
      </c>
      <c r="J188" s="456">
        <v>70.959332683238003</v>
      </c>
      <c r="K188" s="463">
        <v>0.54346330915300001</v>
      </c>
    </row>
    <row r="189" spans="1:11" ht="14.4" customHeight="1" thickBot="1" x14ac:dyDescent="0.35">
      <c r="A189" s="472" t="s">
        <v>439</v>
      </c>
      <c r="B189" s="450">
        <v>1745.8873351447201</v>
      </c>
      <c r="C189" s="450">
        <v>1785.4906599999999</v>
      </c>
      <c r="D189" s="451">
        <v>39.60332485528</v>
      </c>
      <c r="E189" s="452">
        <v>1.0226837803660001</v>
      </c>
      <c r="F189" s="450">
        <v>1632.6260946335201</v>
      </c>
      <c r="G189" s="451">
        <v>816.31304731676096</v>
      </c>
      <c r="H189" s="453">
        <v>168.07454000000001</v>
      </c>
      <c r="I189" s="450">
        <v>887.27238</v>
      </c>
      <c r="J189" s="451">
        <v>70.959332683238003</v>
      </c>
      <c r="K189" s="454">
        <v>0.54346330915300001</v>
      </c>
    </row>
    <row r="190" spans="1:11" ht="14.4" customHeight="1" thickBot="1" x14ac:dyDescent="0.35">
      <c r="A190" s="468" t="s">
        <v>440</v>
      </c>
      <c r="B190" s="450">
        <v>0</v>
      </c>
      <c r="C190" s="450">
        <v>3.2309999999999998E-2</v>
      </c>
      <c r="D190" s="451">
        <v>3.2309999999999998E-2</v>
      </c>
      <c r="E190" s="460" t="s">
        <v>269</v>
      </c>
      <c r="F190" s="450">
        <v>0</v>
      </c>
      <c r="G190" s="451">
        <v>0</v>
      </c>
      <c r="H190" s="453">
        <v>0</v>
      </c>
      <c r="I190" s="450">
        <v>0</v>
      </c>
      <c r="J190" s="451">
        <v>0</v>
      </c>
      <c r="K190" s="454">
        <v>0</v>
      </c>
    </row>
    <row r="191" spans="1:11" ht="14.4" customHeight="1" thickBot="1" x14ac:dyDescent="0.35">
      <c r="A191" s="473" t="s">
        <v>441</v>
      </c>
      <c r="B191" s="455">
        <v>0</v>
      </c>
      <c r="C191" s="455">
        <v>3.2309999999999998E-2</v>
      </c>
      <c r="D191" s="456">
        <v>3.2309999999999998E-2</v>
      </c>
      <c r="E191" s="457" t="s">
        <v>269</v>
      </c>
      <c r="F191" s="455">
        <v>0</v>
      </c>
      <c r="G191" s="456">
        <v>0</v>
      </c>
      <c r="H191" s="458">
        <v>0</v>
      </c>
      <c r="I191" s="455">
        <v>0</v>
      </c>
      <c r="J191" s="456">
        <v>0</v>
      </c>
      <c r="K191" s="463">
        <v>0</v>
      </c>
    </row>
    <row r="192" spans="1:11" ht="14.4" customHeight="1" thickBot="1" x14ac:dyDescent="0.35">
      <c r="A192" s="475" t="s">
        <v>442</v>
      </c>
      <c r="B192" s="455">
        <v>0</v>
      </c>
      <c r="C192" s="455">
        <v>3.2309999999999998E-2</v>
      </c>
      <c r="D192" s="456">
        <v>3.2309999999999998E-2</v>
      </c>
      <c r="E192" s="457" t="s">
        <v>269</v>
      </c>
      <c r="F192" s="455">
        <v>0</v>
      </c>
      <c r="G192" s="456">
        <v>0</v>
      </c>
      <c r="H192" s="458">
        <v>0</v>
      </c>
      <c r="I192" s="455">
        <v>0</v>
      </c>
      <c r="J192" s="456">
        <v>0</v>
      </c>
      <c r="K192" s="463">
        <v>0</v>
      </c>
    </row>
    <row r="193" spans="1:11" ht="14.4" customHeight="1" thickBot="1" x14ac:dyDescent="0.35">
      <c r="A193" s="471" t="s">
        <v>443</v>
      </c>
      <c r="B193" s="455">
        <v>0</v>
      </c>
      <c r="C193" s="455">
        <v>3.2309999999999998E-2</v>
      </c>
      <c r="D193" s="456">
        <v>3.2309999999999998E-2</v>
      </c>
      <c r="E193" s="457" t="s">
        <v>269</v>
      </c>
      <c r="F193" s="455">
        <v>0</v>
      </c>
      <c r="G193" s="456">
        <v>0</v>
      </c>
      <c r="H193" s="458">
        <v>0</v>
      </c>
      <c r="I193" s="455">
        <v>0</v>
      </c>
      <c r="J193" s="456">
        <v>0</v>
      </c>
      <c r="K193" s="463">
        <v>0</v>
      </c>
    </row>
    <row r="194" spans="1:11" ht="14.4" customHeight="1" thickBot="1" x14ac:dyDescent="0.35">
      <c r="A194" s="472" t="s">
        <v>444</v>
      </c>
      <c r="B194" s="450">
        <v>0</v>
      </c>
      <c r="C194" s="450">
        <v>3.2309999999999998E-2</v>
      </c>
      <c r="D194" s="451">
        <v>3.2309999999999998E-2</v>
      </c>
      <c r="E194" s="460" t="s">
        <v>269</v>
      </c>
      <c r="F194" s="450">
        <v>0</v>
      </c>
      <c r="G194" s="451">
        <v>0</v>
      </c>
      <c r="H194" s="453">
        <v>0</v>
      </c>
      <c r="I194" s="450">
        <v>0</v>
      </c>
      <c r="J194" s="451">
        <v>0</v>
      </c>
      <c r="K194" s="454">
        <v>0</v>
      </c>
    </row>
    <row r="195" spans="1:11" ht="14.4" customHeight="1" thickBot="1" x14ac:dyDescent="0.35">
      <c r="A195" s="476"/>
      <c r="B195" s="450">
        <v>51981.599261961099</v>
      </c>
      <c r="C195" s="450">
        <v>65377.573299999996</v>
      </c>
      <c r="D195" s="451">
        <v>13395.974038038899</v>
      </c>
      <c r="E195" s="452">
        <v>1.257706077308</v>
      </c>
      <c r="F195" s="450">
        <v>56231.141762065898</v>
      </c>
      <c r="G195" s="451">
        <v>28115.570881032902</v>
      </c>
      <c r="H195" s="453">
        <v>3215.8599399999998</v>
      </c>
      <c r="I195" s="450">
        <v>27704.906930000001</v>
      </c>
      <c r="J195" s="451">
        <v>-410.663951032922</v>
      </c>
      <c r="K195" s="454">
        <v>0.49269685910299998</v>
      </c>
    </row>
    <row r="196" spans="1:11" ht="14.4" customHeight="1" thickBot="1" x14ac:dyDescent="0.35">
      <c r="A196" s="477" t="s">
        <v>66</v>
      </c>
      <c r="B196" s="464">
        <v>51981.599261961099</v>
      </c>
      <c r="C196" s="464">
        <v>65377.573299999996</v>
      </c>
      <c r="D196" s="465">
        <v>13395.974038038899</v>
      </c>
      <c r="E196" s="466" t="s">
        <v>269</v>
      </c>
      <c r="F196" s="464">
        <v>56231.141762065898</v>
      </c>
      <c r="G196" s="465">
        <v>28115.570881032902</v>
      </c>
      <c r="H196" s="464">
        <v>3215.8599399999998</v>
      </c>
      <c r="I196" s="464">
        <v>27704.906930000001</v>
      </c>
      <c r="J196" s="465">
        <v>-410.66395103292399</v>
      </c>
      <c r="K196" s="467">
        <v>0.49269685910299998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6" t="s">
        <v>137</v>
      </c>
      <c r="B1" s="387"/>
      <c r="C1" s="387"/>
      <c r="D1" s="387"/>
      <c r="E1" s="387"/>
      <c r="F1" s="387"/>
      <c r="G1" s="357"/>
      <c r="H1" s="388"/>
      <c r="I1" s="388"/>
    </row>
    <row r="2" spans="1:10" ht="14.4" customHeight="1" thickBot="1" x14ac:dyDescent="0.35">
      <c r="A2" s="235" t="s">
        <v>258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5"/>
      <c r="C3" s="324">
        <v>2015</v>
      </c>
      <c r="D3" s="290">
        <v>2016</v>
      </c>
      <c r="E3" s="7"/>
      <c r="F3" s="365">
        <v>2017</v>
      </c>
      <c r="G3" s="383"/>
      <c r="H3" s="383"/>
      <c r="I3" s="366"/>
    </row>
    <row r="4" spans="1:10" ht="14.4" customHeight="1" thickBot="1" x14ac:dyDescent="0.35">
      <c r="A4" s="294" t="s">
        <v>0</v>
      </c>
      <c r="B4" s="295" t="s">
        <v>204</v>
      </c>
      <c r="C4" s="384" t="s">
        <v>73</v>
      </c>
      <c r="D4" s="385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8" t="s">
        <v>445</v>
      </c>
      <c r="B5" s="479" t="s">
        <v>446</v>
      </c>
      <c r="C5" s="480" t="s">
        <v>447</v>
      </c>
      <c r="D5" s="480" t="s">
        <v>447</v>
      </c>
      <c r="E5" s="480"/>
      <c r="F5" s="480" t="s">
        <v>447</v>
      </c>
      <c r="G5" s="480" t="s">
        <v>447</v>
      </c>
      <c r="H5" s="480" t="s">
        <v>447</v>
      </c>
      <c r="I5" s="481" t="s">
        <v>447</v>
      </c>
      <c r="J5" s="482" t="s">
        <v>69</v>
      </c>
    </row>
    <row r="6" spans="1:10" ht="14.4" customHeight="1" x14ac:dyDescent="0.3">
      <c r="A6" s="478" t="s">
        <v>445</v>
      </c>
      <c r="B6" s="479" t="s">
        <v>448</v>
      </c>
      <c r="C6" s="480">
        <v>13.33051</v>
      </c>
      <c r="D6" s="480">
        <v>13.5669</v>
      </c>
      <c r="E6" s="480"/>
      <c r="F6" s="480">
        <v>17.505310000000001</v>
      </c>
      <c r="G6" s="480">
        <v>25.000000488281252</v>
      </c>
      <c r="H6" s="480">
        <v>-7.4946904882812504</v>
      </c>
      <c r="I6" s="481">
        <v>0.70021238632397687</v>
      </c>
      <c r="J6" s="482" t="s">
        <v>1</v>
      </c>
    </row>
    <row r="7" spans="1:10" ht="14.4" customHeight="1" x14ac:dyDescent="0.3">
      <c r="A7" s="478" t="s">
        <v>445</v>
      </c>
      <c r="B7" s="479" t="s">
        <v>449</v>
      </c>
      <c r="C7" s="480">
        <v>0</v>
      </c>
      <c r="D7" s="480">
        <v>0.19052000000000002</v>
      </c>
      <c r="E7" s="480"/>
      <c r="F7" s="480">
        <v>0</v>
      </c>
      <c r="G7" s="480">
        <v>0.10130009460449219</v>
      </c>
      <c r="H7" s="480">
        <v>-0.10130009460449219</v>
      </c>
      <c r="I7" s="481">
        <v>0</v>
      </c>
      <c r="J7" s="482" t="s">
        <v>1</v>
      </c>
    </row>
    <row r="8" spans="1:10" ht="14.4" customHeight="1" x14ac:dyDescent="0.3">
      <c r="A8" s="478" t="s">
        <v>445</v>
      </c>
      <c r="B8" s="479" t="s">
        <v>450</v>
      </c>
      <c r="C8" s="480">
        <v>0</v>
      </c>
      <c r="D8" s="480">
        <v>0</v>
      </c>
      <c r="E8" s="480"/>
      <c r="F8" s="480">
        <v>0</v>
      </c>
      <c r="G8" s="480">
        <v>0</v>
      </c>
      <c r="H8" s="480">
        <v>0</v>
      </c>
      <c r="I8" s="481" t="s">
        <v>447</v>
      </c>
      <c r="J8" s="482" t="s">
        <v>1</v>
      </c>
    </row>
    <row r="9" spans="1:10" ht="14.4" customHeight="1" x14ac:dyDescent="0.3">
      <c r="A9" s="478" t="s">
        <v>445</v>
      </c>
      <c r="B9" s="479" t="s">
        <v>451</v>
      </c>
      <c r="C9" s="480">
        <v>13.33051</v>
      </c>
      <c r="D9" s="480">
        <v>13.75742</v>
      </c>
      <c r="E9" s="480"/>
      <c r="F9" s="480">
        <v>17.505310000000001</v>
      </c>
      <c r="G9" s="480">
        <v>25.101300582885745</v>
      </c>
      <c r="H9" s="480">
        <v>-7.5959905828857437</v>
      </c>
      <c r="I9" s="481">
        <v>0.6973865733449387</v>
      </c>
      <c r="J9" s="482" t="s">
        <v>452</v>
      </c>
    </row>
    <row r="11" spans="1:10" ht="14.4" customHeight="1" x14ac:dyDescent="0.3">
      <c r="A11" s="478" t="s">
        <v>445</v>
      </c>
      <c r="B11" s="479" t="s">
        <v>446</v>
      </c>
      <c r="C11" s="480" t="s">
        <v>447</v>
      </c>
      <c r="D11" s="480" t="s">
        <v>447</v>
      </c>
      <c r="E11" s="480"/>
      <c r="F11" s="480" t="s">
        <v>447</v>
      </c>
      <c r="G11" s="480" t="s">
        <v>447</v>
      </c>
      <c r="H11" s="480" t="s">
        <v>447</v>
      </c>
      <c r="I11" s="481" t="s">
        <v>447</v>
      </c>
      <c r="J11" s="482" t="s">
        <v>69</v>
      </c>
    </row>
    <row r="12" spans="1:10" ht="14.4" customHeight="1" x14ac:dyDescent="0.3">
      <c r="A12" s="478" t="s">
        <v>453</v>
      </c>
      <c r="B12" s="479" t="s">
        <v>454</v>
      </c>
      <c r="C12" s="480" t="s">
        <v>447</v>
      </c>
      <c r="D12" s="480" t="s">
        <v>447</v>
      </c>
      <c r="E12" s="480"/>
      <c r="F12" s="480" t="s">
        <v>447</v>
      </c>
      <c r="G12" s="480" t="s">
        <v>447</v>
      </c>
      <c r="H12" s="480" t="s">
        <v>447</v>
      </c>
      <c r="I12" s="481" t="s">
        <v>447</v>
      </c>
      <c r="J12" s="482" t="s">
        <v>0</v>
      </c>
    </row>
    <row r="13" spans="1:10" ht="14.4" customHeight="1" x14ac:dyDescent="0.3">
      <c r="A13" s="478" t="s">
        <v>453</v>
      </c>
      <c r="B13" s="479" t="s">
        <v>448</v>
      </c>
      <c r="C13" s="480">
        <v>0</v>
      </c>
      <c r="D13" s="480">
        <v>0.82639000000000007</v>
      </c>
      <c r="E13" s="480"/>
      <c r="F13" s="480">
        <v>0.54461999999999999</v>
      </c>
      <c r="G13" s="480">
        <v>1</v>
      </c>
      <c r="H13" s="480">
        <v>-0.45538000000000001</v>
      </c>
      <c r="I13" s="481">
        <v>0.54461999999999999</v>
      </c>
      <c r="J13" s="482" t="s">
        <v>1</v>
      </c>
    </row>
    <row r="14" spans="1:10" ht="14.4" customHeight="1" x14ac:dyDescent="0.3">
      <c r="A14" s="478" t="s">
        <v>453</v>
      </c>
      <c r="B14" s="479" t="s">
        <v>455</v>
      </c>
      <c r="C14" s="480">
        <v>0</v>
      </c>
      <c r="D14" s="480">
        <v>0.82639000000000007</v>
      </c>
      <c r="E14" s="480"/>
      <c r="F14" s="480">
        <v>0.54461999999999999</v>
      </c>
      <c r="G14" s="480">
        <v>1</v>
      </c>
      <c r="H14" s="480">
        <v>-0.45538000000000001</v>
      </c>
      <c r="I14" s="481">
        <v>0.54461999999999999</v>
      </c>
      <c r="J14" s="482" t="s">
        <v>456</v>
      </c>
    </row>
    <row r="15" spans="1:10" ht="14.4" customHeight="1" x14ac:dyDescent="0.3">
      <c r="A15" s="478" t="s">
        <v>447</v>
      </c>
      <c r="B15" s="479" t="s">
        <v>447</v>
      </c>
      <c r="C15" s="480" t="s">
        <v>447</v>
      </c>
      <c r="D15" s="480" t="s">
        <v>447</v>
      </c>
      <c r="E15" s="480"/>
      <c r="F15" s="480" t="s">
        <v>447</v>
      </c>
      <c r="G15" s="480" t="s">
        <v>447</v>
      </c>
      <c r="H15" s="480" t="s">
        <v>447</v>
      </c>
      <c r="I15" s="481" t="s">
        <v>447</v>
      </c>
      <c r="J15" s="482" t="s">
        <v>457</v>
      </c>
    </row>
    <row r="16" spans="1:10" ht="14.4" customHeight="1" x14ac:dyDescent="0.3">
      <c r="A16" s="478" t="s">
        <v>458</v>
      </c>
      <c r="B16" s="479" t="s">
        <v>459</v>
      </c>
      <c r="C16" s="480" t="s">
        <v>447</v>
      </c>
      <c r="D16" s="480" t="s">
        <v>447</v>
      </c>
      <c r="E16" s="480"/>
      <c r="F16" s="480" t="s">
        <v>447</v>
      </c>
      <c r="G16" s="480" t="s">
        <v>447</v>
      </c>
      <c r="H16" s="480" t="s">
        <v>447</v>
      </c>
      <c r="I16" s="481" t="s">
        <v>447</v>
      </c>
      <c r="J16" s="482" t="s">
        <v>0</v>
      </c>
    </row>
    <row r="17" spans="1:10" ht="14.4" customHeight="1" x14ac:dyDescent="0.3">
      <c r="A17" s="478" t="s">
        <v>458</v>
      </c>
      <c r="B17" s="479" t="s">
        <v>448</v>
      </c>
      <c r="C17" s="480">
        <v>13.33051</v>
      </c>
      <c r="D17" s="480">
        <v>12.74051</v>
      </c>
      <c r="E17" s="480"/>
      <c r="F17" s="480">
        <v>16.960690000000003</v>
      </c>
      <c r="G17" s="480">
        <v>24</v>
      </c>
      <c r="H17" s="480">
        <v>-7.0393099999999968</v>
      </c>
      <c r="I17" s="481">
        <v>0.7066954166666668</v>
      </c>
      <c r="J17" s="482" t="s">
        <v>1</v>
      </c>
    </row>
    <row r="18" spans="1:10" ht="14.4" customHeight="1" x14ac:dyDescent="0.3">
      <c r="A18" s="478" t="s">
        <v>458</v>
      </c>
      <c r="B18" s="479" t="s">
        <v>449</v>
      </c>
      <c r="C18" s="480">
        <v>0</v>
      </c>
      <c r="D18" s="480">
        <v>0.19052000000000002</v>
      </c>
      <c r="E18" s="480"/>
      <c r="F18" s="480">
        <v>0</v>
      </c>
      <c r="G18" s="480">
        <v>0</v>
      </c>
      <c r="H18" s="480">
        <v>0</v>
      </c>
      <c r="I18" s="481" t="s">
        <v>447</v>
      </c>
      <c r="J18" s="482" t="s">
        <v>1</v>
      </c>
    </row>
    <row r="19" spans="1:10" ht="14.4" customHeight="1" x14ac:dyDescent="0.3">
      <c r="A19" s="478" t="s">
        <v>458</v>
      </c>
      <c r="B19" s="479" t="s">
        <v>450</v>
      </c>
      <c r="C19" s="480">
        <v>0</v>
      </c>
      <c r="D19" s="480">
        <v>0</v>
      </c>
      <c r="E19" s="480"/>
      <c r="F19" s="480">
        <v>0</v>
      </c>
      <c r="G19" s="480">
        <v>0</v>
      </c>
      <c r="H19" s="480">
        <v>0</v>
      </c>
      <c r="I19" s="481" t="s">
        <v>447</v>
      </c>
      <c r="J19" s="482" t="s">
        <v>1</v>
      </c>
    </row>
    <row r="20" spans="1:10" ht="14.4" customHeight="1" x14ac:dyDescent="0.3">
      <c r="A20" s="478" t="s">
        <v>458</v>
      </c>
      <c r="B20" s="479" t="s">
        <v>460</v>
      </c>
      <c r="C20" s="480">
        <v>13.33051</v>
      </c>
      <c r="D20" s="480">
        <v>12.93103</v>
      </c>
      <c r="E20" s="480"/>
      <c r="F20" s="480">
        <v>16.960690000000003</v>
      </c>
      <c r="G20" s="480">
        <v>24</v>
      </c>
      <c r="H20" s="480">
        <v>-7.0393099999999968</v>
      </c>
      <c r="I20" s="481">
        <v>0.7066954166666668</v>
      </c>
      <c r="J20" s="482" t="s">
        <v>456</v>
      </c>
    </row>
    <row r="21" spans="1:10" ht="14.4" customHeight="1" x14ac:dyDescent="0.3">
      <c r="A21" s="478" t="s">
        <v>447</v>
      </c>
      <c r="B21" s="479" t="s">
        <v>447</v>
      </c>
      <c r="C21" s="480" t="s">
        <v>447</v>
      </c>
      <c r="D21" s="480" t="s">
        <v>447</v>
      </c>
      <c r="E21" s="480"/>
      <c r="F21" s="480" t="s">
        <v>447</v>
      </c>
      <c r="G21" s="480" t="s">
        <v>447</v>
      </c>
      <c r="H21" s="480" t="s">
        <v>447</v>
      </c>
      <c r="I21" s="481" t="s">
        <v>447</v>
      </c>
      <c r="J21" s="482" t="s">
        <v>457</v>
      </c>
    </row>
    <row r="22" spans="1:10" ht="14.4" customHeight="1" x14ac:dyDescent="0.3">
      <c r="A22" s="478" t="s">
        <v>445</v>
      </c>
      <c r="B22" s="479" t="s">
        <v>451</v>
      </c>
      <c r="C22" s="480">
        <v>13.33051</v>
      </c>
      <c r="D22" s="480">
        <v>13.75742</v>
      </c>
      <c r="E22" s="480"/>
      <c r="F22" s="480">
        <v>17.505310000000001</v>
      </c>
      <c r="G22" s="480">
        <v>25</v>
      </c>
      <c r="H22" s="480">
        <v>-7.4946899999999985</v>
      </c>
      <c r="I22" s="481">
        <v>0.70021240000000007</v>
      </c>
      <c r="J22" s="482" t="s">
        <v>452</v>
      </c>
    </row>
  </sheetData>
  <mergeCells count="3">
    <mergeCell ref="F3:I3"/>
    <mergeCell ref="C4:D4"/>
    <mergeCell ref="A1:I1"/>
  </mergeCells>
  <conditionalFormatting sqref="F10 F23:F65537">
    <cfRule type="cellIs" dxfId="58" priority="18" stopIfTrue="1" operator="greaterThan">
      <formula>1</formula>
    </cfRule>
  </conditionalFormatting>
  <conditionalFormatting sqref="H5:H9">
    <cfRule type="expression" dxfId="57" priority="14">
      <formula>$H5&gt;0</formula>
    </cfRule>
  </conditionalFormatting>
  <conditionalFormatting sqref="I5:I9">
    <cfRule type="expression" dxfId="56" priority="15">
      <formula>$I5&gt;1</formula>
    </cfRule>
  </conditionalFormatting>
  <conditionalFormatting sqref="B5:B9">
    <cfRule type="expression" dxfId="55" priority="11">
      <formula>OR($J5="NS",$J5="SumaNS",$J5="Účet")</formula>
    </cfRule>
  </conditionalFormatting>
  <conditionalFormatting sqref="B5:D9 F5:I9">
    <cfRule type="expression" dxfId="54" priority="17">
      <formula>AND($J5&lt;&gt;"",$J5&lt;&gt;"mezeraKL")</formula>
    </cfRule>
  </conditionalFormatting>
  <conditionalFormatting sqref="B5:D9 F5:I9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2" priority="13">
      <formula>OR($J5="SumaNS",$J5="NS")</formula>
    </cfRule>
  </conditionalFormatting>
  <conditionalFormatting sqref="A5:A9">
    <cfRule type="expression" dxfId="51" priority="9">
      <formula>AND($J5&lt;&gt;"mezeraKL",$J5&lt;&gt;"")</formula>
    </cfRule>
  </conditionalFormatting>
  <conditionalFormatting sqref="A5:A9">
    <cfRule type="expression" dxfId="50" priority="10">
      <formula>AND($J5&lt;&gt;"",$J5&lt;&gt;"mezeraKL")</formula>
    </cfRule>
  </conditionalFormatting>
  <conditionalFormatting sqref="H11:H22">
    <cfRule type="expression" dxfId="49" priority="5">
      <formula>$H11&gt;0</formula>
    </cfRule>
  </conditionalFormatting>
  <conditionalFormatting sqref="A11:A22">
    <cfRule type="expression" dxfId="48" priority="2">
      <formula>AND($J11&lt;&gt;"mezeraKL",$J11&lt;&gt;"")</formula>
    </cfRule>
  </conditionalFormatting>
  <conditionalFormatting sqref="I11:I22">
    <cfRule type="expression" dxfId="47" priority="6">
      <formula>$I11&gt;1</formula>
    </cfRule>
  </conditionalFormatting>
  <conditionalFormatting sqref="B11:B22">
    <cfRule type="expression" dxfId="46" priority="1">
      <formula>OR($J11="NS",$J11="SumaNS",$J11="Účet")</formula>
    </cfRule>
  </conditionalFormatting>
  <conditionalFormatting sqref="A11:D22 F11:I22">
    <cfRule type="expression" dxfId="45" priority="8">
      <formula>AND($J11&lt;&gt;"",$J11&lt;&gt;"mezeraKL")</formula>
    </cfRule>
  </conditionalFormatting>
  <conditionalFormatting sqref="B11:D22 F11:I22">
    <cfRule type="expression" dxfId="4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43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48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93" t="s">
        <v>160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4.4" customHeight="1" thickBot="1" x14ac:dyDescent="0.35">
      <c r="A2" s="235" t="s">
        <v>258</v>
      </c>
      <c r="B2" s="62"/>
      <c r="C2" s="211"/>
      <c r="D2" s="211"/>
      <c r="E2" s="347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89"/>
      <c r="D3" s="390"/>
      <c r="E3" s="390"/>
      <c r="F3" s="390"/>
      <c r="G3" s="390"/>
      <c r="H3" s="390"/>
      <c r="I3" s="390"/>
      <c r="J3" s="391" t="s">
        <v>128</v>
      </c>
      <c r="K3" s="392"/>
      <c r="L3" s="98">
        <f>IF(M3&lt;&gt;0,N3/M3,0)</f>
        <v>159.5528790530154</v>
      </c>
      <c r="M3" s="98">
        <f>SUBTOTAL(9,M5:M1048576)</f>
        <v>38.75</v>
      </c>
      <c r="N3" s="99">
        <f>SUBTOTAL(9,N5:N1048576)</f>
        <v>6182.6740633043473</v>
      </c>
    </row>
    <row r="4" spans="1:14" s="208" customFormat="1" ht="14.4" customHeight="1" thickBot="1" x14ac:dyDescent="0.35">
      <c r="A4" s="483" t="s">
        <v>4</v>
      </c>
      <c r="B4" s="484" t="s">
        <v>5</v>
      </c>
      <c r="C4" s="484" t="s">
        <v>0</v>
      </c>
      <c r="D4" s="484" t="s">
        <v>6</v>
      </c>
      <c r="E4" s="485" t="s">
        <v>7</v>
      </c>
      <c r="F4" s="484" t="s">
        <v>1</v>
      </c>
      <c r="G4" s="484" t="s">
        <v>8</v>
      </c>
      <c r="H4" s="484" t="s">
        <v>9</v>
      </c>
      <c r="I4" s="484" t="s">
        <v>10</v>
      </c>
      <c r="J4" s="486" t="s">
        <v>11</v>
      </c>
      <c r="K4" s="486" t="s">
        <v>12</v>
      </c>
      <c r="L4" s="487" t="s">
        <v>142</v>
      </c>
      <c r="M4" s="487" t="s">
        <v>13</v>
      </c>
      <c r="N4" s="488" t="s">
        <v>156</v>
      </c>
    </row>
    <row r="5" spans="1:14" ht="14.4" customHeight="1" x14ac:dyDescent="0.3">
      <c r="A5" s="489" t="s">
        <v>445</v>
      </c>
      <c r="B5" s="490" t="s">
        <v>446</v>
      </c>
      <c r="C5" s="491" t="s">
        <v>453</v>
      </c>
      <c r="D5" s="492" t="s">
        <v>454</v>
      </c>
      <c r="E5" s="493">
        <v>50113001</v>
      </c>
      <c r="F5" s="492" t="s">
        <v>461</v>
      </c>
      <c r="G5" s="491" t="s">
        <v>462</v>
      </c>
      <c r="H5" s="491">
        <v>132082</v>
      </c>
      <c r="I5" s="491">
        <v>32082</v>
      </c>
      <c r="J5" s="491" t="s">
        <v>463</v>
      </c>
      <c r="K5" s="491" t="s">
        <v>464</v>
      </c>
      <c r="L5" s="494">
        <v>82.96</v>
      </c>
      <c r="M5" s="494">
        <v>1</v>
      </c>
      <c r="N5" s="495">
        <v>82.96</v>
      </c>
    </row>
    <row r="6" spans="1:14" ht="14.4" customHeight="1" x14ac:dyDescent="0.3">
      <c r="A6" s="496" t="s">
        <v>445</v>
      </c>
      <c r="B6" s="497" t="s">
        <v>446</v>
      </c>
      <c r="C6" s="498" t="s">
        <v>453</v>
      </c>
      <c r="D6" s="499" t="s">
        <v>454</v>
      </c>
      <c r="E6" s="500">
        <v>50113001</v>
      </c>
      <c r="F6" s="499" t="s">
        <v>461</v>
      </c>
      <c r="G6" s="498" t="s">
        <v>462</v>
      </c>
      <c r="H6" s="498">
        <v>111063</v>
      </c>
      <c r="I6" s="498">
        <v>11063</v>
      </c>
      <c r="J6" s="498" t="s">
        <v>465</v>
      </c>
      <c r="K6" s="498" t="s">
        <v>466</v>
      </c>
      <c r="L6" s="501">
        <v>74.38</v>
      </c>
      <c r="M6" s="501">
        <v>1</v>
      </c>
      <c r="N6" s="502">
        <v>74.38</v>
      </c>
    </row>
    <row r="7" spans="1:14" ht="14.4" customHeight="1" x14ac:dyDescent="0.3">
      <c r="A7" s="496" t="s">
        <v>445</v>
      </c>
      <c r="B7" s="497" t="s">
        <v>446</v>
      </c>
      <c r="C7" s="498" t="s">
        <v>453</v>
      </c>
      <c r="D7" s="499" t="s">
        <v>454</v>
      </c>
      <c r="E7" s="500">
        <v>50113001</v>
      </c>
      <c r="F7" s="499" t="s">
        <v>461</v>
      </c>
      <c r="G7" s="498" t="s">
        <v>462</v>
      </c>
      <c r="H7" s="498">
        <v>100498</v>
      </c>
      <c r="I7" s="498">
        <v>498</v>
      </c>
      <c r="J7" s="498" t="s">
        <v>467</v>
      </c>
      <c r="K7" s="498" t="s">
        <v>468</v>
      </c>
      <c r="L7" s="501">
        <v>96.820000000000007</v>
      </c>
      <c r="M7" s="501">
        <v>4</v>
      </c>
      <c r="N7" s="502">
        <v>387.28000000000003</v>
      </c>
    </row>
    <row r="8" spans="1:14" ht="14.4" customHeight="1" x14ac:dyDescent="0.3">
      <c r="A8" s="496" t="s">
        <v>445</v>
      </c>
      <c r="B8" s="497" t="s">
        <v>446</v>
      </c>
      <c r="C8" s="498" t="s">
        <v>458</v>
      </c>
      <c r="D8" s="499" t="s">
        <v>459</v>
      </c>
      <c r="E8" s="500">
        <v>50113001</v>
      </c>
      <c r="F8" s="499" t="s">
        <v>461</v>
      </c>
      <c r="G8" s="498" t="s">
        <v>462</v>
      </c>
      <c r="H8" s="498">
        <v>193746</v>
      </c>
      <c r="I8" s="498">
        <v>93746</v>
      </c>
      <c r="J8" s="498" t="s">
        <v>469</v>
      </c>
      <c r="K8" s="498" t="s">
        <v>470</v>
      </c>
      <c r="L8" s="501">
        <v>373.24000000000007</v>
      </c>
      <c r="M8" s="501">
        <v>2</v>
      </c>
      <c r="N8" s="502">
        <v>746.48000000000013</v>
      </c>
    </row>
    <row r="9" spans="1:14" ht="14.4" customHeight="1" x14ac:dyDescent="0.3">
      <c r="A9" s="496" t="s">
        <v>445</v>
      </c>
      <c r="B9" s="497" t="s">
        <v>446</v>
      </c>
      <c r="C9" s="498" t="s">
        <v>458</v>
      </c>
      <c r="D9" s="499" t="s">
        <v>459</v>
      </c>
      <c r="E9" s="500">
        <v>50113001</v>
      </c>
      <c r="F9" s="499" t="s">
        <v>461</v>
      </c>
      <c r="G9" s="498" t="s">
        <v>462</v>
      </c>
      <c r="H9" s="498">
        <v>51366</v>
      </c>
      <c r="I9" s="498">
        <v>51366</v>
      </c>
      <c r="J9" s="498" t="s">
        <v>471</v>
      </c>
      <c r="K9" s="498" t="s">
        <v>472</v>
      </c>
      <c r="L9" s="501">
        <v>171.6</v>
      </c>
      <c r="M9" s="501">
        <v>0.75</v>
      </c>
      <c r="N9" s="502">
        <v>128.69999999999999</v>
      </c>
    </row>
    <row r="10" spans="1:14" ht="14.4" customHeight="1" x14ac:dyDescent="0.3">
      <c r="A10" s="496" t="s">
        <v>445</v>
      </c>
      <c r="B10" s="497" t="s">
        <v>446</v>
      </c>
      <c r="C10" s="498" t="s">
        <v>458</v>
      </c>
      <c r="D10" s="499" t="s">
        <v>459</v>
      </c>
      <c r="E10" s="500">
        <v>50113001</v>
      </c>
      <c r="F10" s="499" t="s">
        <v>461</v>
      </c>
      <c r="G10" s="498" t="s">
        <v>462</v>
      </c>
      <c r="H10" s="498">
        <v>25268</v>
      </c>
      <c r="I10" s="498">
        <v>25268</v>
      </c>
      <c r="J10" s="498" t="s">
        <v>473</v>
      </c>
      <c r="K10" s="498" t="s">
        <v>474</v>
      </c>
      <c r="L10" s="501">
        <v>34.919999999999987</v>
      </c>
      <c r="M10" s="501">
        <v>2</v>
      </c>
      <c r="N10" s="502">
        <v>69.839999999999975</v>
      </c>
    </row>
    <row r="11" spans="1:14" ht="14.4" customHeight="1" x14ac:dyDescent="0.3">
      <c r="A11" s="496" t="s">
        <v>445</v>
      </c>
      <c r="B11" s="497" t="s">
        <v>446</v>
      </c>
      <c r="C11" s="498" t="s">
        <v>458</v>
      </c>
      <c r="D11" s="499" t="s">
        <v>459</v>
      </c>
      <c r="E11" s="500">
        <v>50113001</v>
      </c>
      <c r="F11" s="499" t="s">
        <v>461</v>
      </c>
      <c r="G11" s="498" t="s">
        <v>462</v>
      </c>
      <c r="H11" s="498">
        <v>102981</v>
      </c>
      <c r="I11" s="498">
        <v>25269</v>
      </c>
      <c r="J11" s="498" t="s">
        <v>473</v>
      </c>
      <c r="K11" s="498" t="s">
        <v>475</v>
      </c>
      <c r="L11" s="501">
        <v>46.320000000000007</v>
      </c>
      <c r="M11" s="501">
        <v>1</v>
      </c>
      <c r="N11" s="502">
        <v>46.320000000000007</v>
      </c>
    </row>
    <row r="12" spans="1:14" ht="14.4" customHeight="1" x14ac:dyDescent="0.3">
      <c r="A12" s="496" t="s">
        <v>445</v>
      </c>
      <c r="B12" s="497" t="s">
        <v>446</v>
      </c>
      <c r="C12" s="498" t="s">
        <v>458</v>
      </c>
      <c r="D12" s="499" t="s">
        <v>459</v>
      </c>
      <c r="E12" s="500">
        <v>50113001</v>
      </c>
      <c r="F12" s="499" t="s">
        <v>461</v>
      </c>
      <c r="G12" s="498" t="s">
        <v>462</v>
      </c>
      <c r="H12" s="498">
        <v>900512</v>
      </c>
      <c r="I12" s="498">
        <v>0</v>
      </c>
      <c r="J12" s="498" t="s">
        <v>476</v>
      </c>
      <c r="K12" s="498" t="s">
        <v>447</v>
      </c>
      <c r="L12" s="501">
        <v>96.184543008746687</v>
      </c>
      <c r="M12" s="501">
        <v>2</v>
      </c>
      <c r="N12" s="502">
        <v>192.36908601749337</v>
      </c>
    </row>
    <row r="13" spans="1:14" ht="14.4" customHeight="1" x14ac:dyDescent="0.3">
      <c r="A13" s="496" t="s">
        <v>445</v>
      </c>
      <c r="B13" s="497" t="s">
        <v>446</v>
      </c>
      <c r="C13" s="498" t="s">
        <v>458</v>
      </c>
      <c r="D13" s="499" t="s">
        <v>459</v>
      </c>
      <c r="E13" s="500">
        <v>50113001</v>
      </c>
      <c r="F13" s="499" t="s">
        <v>461</v>
      </c>
      <c r="G13" s="498" t="s">
        <v>462</v>
      </c>
      <c r="H13" s="498">
        <v>930589</v>
      </c>
      <c r="I13" s="498">
        <v>0</v>
      </c>
      <c r="J13" s="498" t="s">
        <v>477</v>
      </c>
      <c r="K13" s="498" t="s">
        <v>478</v>
      </c>
      <c r="L13" s="501">
        <v>75.020096730873135</v>
      </c>
      <c r="M13" s="501">
        <v>2</v>
      </c>
      <c r="N13" s="502">
        <v>150.04019346174627</v>
      </c>
    </row>
    <row r="14" spans="1:14" ht="14.4" customHeight="1" x14ac:dyDescent="0.3">
      <c r="A14" s="496" t="s">
        <v>445</v>
      </c>
      <c r="B14" s="497" t="s">
        <v>446</v>
      </c>
      <c r="C14" s="498" t="s">
        <v>458</v>
      </c>
      <c r="D14" s="499" t="s">
        <v>459</v>
      </c>
      <c r="E14" s="500">
        <v>50113001</v>
      </c>
      <c r="F14" s="499" t="s">
        <v>461</v>
      </c>
      <c r="G14" s="498" t="s">
        <v>462</v>
      </c>
      <c r="H14" s="498">
        <v>900321</v>
      </c>
      <c r="I14" s="498">
        <v>0</v>
      </c>
      <c r="J14" s="498" t="s">
        <v>479</v>
      </c>
      <c r="K14" s="498" t="s">
        <v>447</v>
      </c>
      <c r="L14" s="501">
        <v>181.44000000000003</v>
      </c>
      <c r="M14" s="501">
        <v>8</v>
      </c>
      <c r="N14" s="502">
        <v>1451.5200000000002</v>
      </c>
    </row>
    <row r="15" spans="1:14" ht="14.4" customHeight="1" thickBot="1" x14ac:dyDescent="0.35">
      <c r="A15" s="503" t="s">
        <v>445</v>
      </c>
      <c r="B15" s="504" t="s">
        <v>446</v>
      </c>
      <c r="C15" s="505" t="s">
        <v>458</v>
      </c>
      <c r="D15" s="506" t="s">
        <v>459</v>
      </c>
      <c r="E15" s="507">
        <v>50113001</v>
      </c>
      <c r="F15" s="506" t="s">
        <v>461</v>
      </c>
      <c r="G15" s="505" t="s">
        <v>462</v>
      </c>
      <c r="H15" s="505">
        <v>921227</v>
      </c>
      <c r="I15" s="505">
        <v>0</v>
      </c>
      <c r="J15" s="505" t="s">
        <v>480</v>
      </c>
      <c r="K15" s="505" t="s">
        <v>447</v>
      </c>
      <c r="L15" s="508">
        <v>190.18565225500714</v>
      </c>
      <c r="M15" s="508">
        <v>15</v>
      </c>
      <c r="N15" s="509">
        <v>2852.7847838251073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95" t="s">
        <v>205</v>
      </c>
      <c r="B1" s="395"/>
      <c r="C1" s="395"/>
      <c r="D1" s="395"/>
      <c r="E1" s="395"/>
      <c r="F1" s="357"/>
      <c r="G1" s="357"/>
      <c r="H1" s="357"/>
      <c r="I1" s="357"/>
      <c r="J1" s="388"/>
      <c r="K1" s="388"/>
      <c r="L1" s="388"/>
      <c r="M1" s="388"/>
      <c r="N1" s="388"/>
      <c r="O1" s="388"/>
      <c r="P1" s="388"/>
      <c r="Q1" s="388"/>
    </row>
    <row r="2" spans="1:17" ht="14.4" customHeight="1" thickBot="1" x14ac:dyDescent="0.35">
      <c r="A2" s="235" t="s">
        <v>258</v>
      </c>
      <c r="B2" s="214"/>
      <c r="C2" s="214"/>
      <c r="D2" s="214"/>
      <c r="E2" s="214"/>
    </row>
    <row r="3" spans="1:17" ht="14.4" customHeight="1" thickBot="1" x14ac:dyDescent="0.35">
      <c r="A3" s="298" t="s">
        <v>3</v>
      </c>
      <c r="B3" s="302">
        <f>SUM(B6:B1048576)</f>
        <v>32</v>
      </c>
      <c r="C3" s="303">
        <f>SUM(C6:C1048576)</f>
        <v>0</v>
      </c>
      <c r="D3" s="303">
        <f>SUM(D6:D1048576)</f>
        <v>0</v>
      </c>
      <c r="E3" s="304">
        <f>SUM(E6:E1048576)</f>
        <v>0</v>
      </c>
      <c r="F3" s="301">
        <f>IF(SUM($B3:$E3)=0,"",B3/SUM($B3:$E3))</f>
        <v>1</v>
      </c>
      <c r="G3" s="299">
        <f t="shared" ref="G3:I3" si="0">IF(SUM($B3:$E3)=0,"",C3/SUM($B3:$E3))</f>
        <v>0</v>
      </c>
      <c r="H3" s="299">
        <f t="shared" si="0"/>
        <v>0</v>
      </c>
      <c r="I3" s="300">
        <f t="shared" si="0"/>
        <v>0</v>
      </c>
      <c r="J3" s="303">
        <f>SUM(J6:J1048576)</f>
        <v>23</v>
      </c>
      <c r="K3" s="303">
        <f>SUM(K6:K1048576)</f>
        <v>0</v>
      </c>
      <c r="L3" s="303">
        <f>SUM(L6:L1048576)</f>
        <v>0</v>
      </c>
      <c r="M3" s="304">
        <f>SUM(M6:M1048576)</f>
        <v>0</v>
      </c>
      <c r="N3" s="301">
        <f>IF(SUM($J3:$M3)=0,"",J3/SUM($J3:$M3))</f>
        <v>1</v>
      </c>
      <c r="O3" s="299">
        <f t="shared" ref="O3:Q3" si="1">IF(SUM($J3:$M3)=0,"",K3/SUM($J3:$M3))</f>
        <v>0</v>
      </c>
      <c r="P3" s="299">
        <f t="shared" si="1"/>
        <v>0</v>
      </c>
      <c r="Q3" s="300">
        <f t="shared" si="1"/>
        <v>0</v>
      </c>
    </row>
    <row r="4" spans="1:17" ht="14.4" customHeight="1" thickBot="1" x14ac:dyDescent="0.35">
      <c r="A4" s="297"/>
      <c r="B4" s="408" t="s">
        <v>207</v>
      </c>
      <c r="C4" s="409"/>
      <c r="D4" s="409"/>
      <c r="E4" s="410"/>
      <c r="F4" s="405" t="s">
        <v>212</v>
      </c>
      <c r="G4" s="406"/>
      <c r="H4" s="406"/>
      <c r="I4" s="407"/>
      <c r="J4" s="408" t="s">
        <v>213</v>
      </c>
      <c r="K4" s="409"/>
      <c r="L4" s="409"/>
      <c r="M4" s="410"/>
      <c r="N4" s="405" t="s">
        <v>214</v>
      </c>
      <c r="O4" s="406"/>
      <c r="P4" s="406"/>
      <c r="Q4" s="407"/>
    </row>
    <row r="5" spans="1:17" ht="14.4" customHeight="1" thickBot="1" x14ac:dyDescent="0.35">
      <c r="A5" s="510" t="s">
        <v>206</v>
      </c>
      <c r="B5" s="511" t="s">
        <v>208</v>
      </c>
      <c r="C5" s="511" t="s">
        <v>209</v>
      </c>
      <c r="D5" s="511" t="s">
        <v>210</v>
      </c>
      <c r="E5" s="512" t="s">
        <v>211</v>
      </c>
      <c r="F5" s="513" t="s">
        <v>208</v>
      </c>
      <c r="G5" s="514" t="s">
        <v>209</v>
      </c>
      <c r="H5" s="514" t="s">
        <v>210</v>
      </c>
      <c r="I5" s="515" t="s">
        <v>211</v>
      </c>
      <c r="J5" s="511" t="s">
        <v>208</v>
      </c>
      <c r="K5" s="511" t="s">
        <v>209</v>
      </c>
      <c r="L5" s="511" t="s">
        <v>210</v>
      </c>
      <c r="M5" s="512" t="s">
        <v>211</v>
      </c>
      <c r="N5" s="513" t="s">
        <v>208</v>
      </c>
      <c r="O5" s="514" t="s">
        <v>209</v>
      </c>
      <c r="P5" s="514" t="s">
        <v>210</v>
      </c>
      <c r="Q5" s="515" t="s">
        <v>211</v>
      </c>
    </row>
    <row r="6" spans="1:17" ht="14.4" customHeight="1" x14ac:dyDescent="0.3">
      <c r="A6" s="522" t="s">
        <v>481</v>
      </c>
      <c r="B6" s="528"/>
      <c r="C6" s="494"/>
      <c r="D6" s="494"/>
      <c r="E6" s="495"/>
      <c r="F6" s="525"/>
      <c r="G6" s="516"/>
      <c r="H6" s="516"/>
      <c r="I6" s="531"/>
      <c r="J6" s="528"/>
      <c r="K6" s="494"/>
      <c r="L6" s="494"/>
      <c r="M6" s="495"/>
      <c r="N6" s="525"/>
      <c r="O6" s="516"/>
      <c r="P6" s="516"/>
      <c r="Q6" s="517"/>
    </row>
    <row r="7" spans="1:17" ht="14.4" customHeight="1" x14ac:dyDescent="0.3">
      <c r="A7" s="523" t="s">
        <v>482</v>
      </c>
      <c r="B7" s="529">
        <v>10</v>
      </c>
      <c r="C7" s="501"/>
      <c r="D7" s="501"/>
      <c r="E7" s="502"/>
      <c r="F7" s="526">
        <v>1</v>
      </c>
      <c r="G7" s="518">
        <v>0</v>
      </c>
      <c r="H7" s="518">
        <v>0</v>
      </c>
      <c r="I7" s="532">
        <v>0</v>
      </c>
      <c r="J7" s="529">
        <v>4</v>
      </c>
      <c r="K7" s="501"/>
      <c r="L7" s="501"/>
      <c r="M7" s="502"/>
      <c r="N7" s="526">
        <v>1</v>
      </c>
      <c r="O7" s="518">
        <v>0</v>
      </c>
      <c r="P7" s="518">
        <v>0</v>
      </c>
      <c r="Q7" s="519">
        <v>0</v>
      </c>
    </row>
    <row r="8" spans="1:17" ht="14.4" customHeight="1" thickBot="1" x14ac:dyDescent="0.35">
      <c r="A8" s="524" t="s">
        <v>483</v>
      </c>
      <c r="B8" s="530">
        <v>22</v>
      </c>
      <c r="C8" s="508"/>
      <c r="D8" s="508"/>
      <c r="E8" s="509"/>
      <c r="F8" s="527">
        <v>1</v>
      </c>
      <c r="G8" s="520">
        <v>0</v>
      </c>
      <c r="H8" s="520">
        <v>0</v>
      </c>
      <c r="I8" s="533">
        <v>0</v>
      </c>
      <c r="J8" s="530">
        <v>19</v>
      </c>
      <c r="K8" s="508"/>
      <c r="L8" s="508"/>
      <c r="M8" s="509"/>
      <c r="N8" s="527">
        <v>1</v>
      </c>
      <c r="O8" s="520">
        <v>0</v>
      </c>
      <c r="P8" s="520">
        <v>0</v>
      </c>
      <c r="Q8" s="52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2017-07-25T11:44:36Z</dcterms:modified>
</cp:coreProperties>
</file>