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worksheets/sheet19.xml" ContentType="application/vnd.openxmlformats-officedocument.spreadsheetml.worksheet+xml"/>
  <Override PartName="/xl/worksheets/sheet20.xml" ContentType="application/vnd.openxmlformats-officedocument.spreadsheetml.worksheet+xml"/>
  <Override PartName="/xl/worksheets/sheet21.xml" ContentType="application/vnd.openxmlformats-officedocument.spreadsheetml.worksheet+xml"/>
  <Override PartName="/xl/worksheets/sheet22.xml" ContentType="application/vnd.openxmlformats-officedocument.spreadsheetml.worksheet+xml"/>
  <Override PartName="/xl/worksheets/sheet23.xml" ContentType="application/vnd.openxmlformats-officedocument.spreadsheetml.worksheet+xml"/>
  <Override PartName="/xl/worksheets/sheet2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tables/table1.xml" ContentType="application/vnd.openxmlformats-officedocument.spreadsheetml.table+xml"/>
  <Override PartName="/xl/comments1.xml" ContentType="application/vnd.openxmlformats-officedocument.spreadsheetml.comments+xml"/>
  <Override PartName="/xl/tables/table2.xml" ContentType="application/vnd.openxmlformats-officedocument.spreadsheetml.tab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codeName="ThisWorkbook" hidePivotFieldList="1" defaultThemeVersion="124226"/>
  <mc:AlternateContent xmlns:mc="http://schemas.openxmlformats.org/markup-compatibility/2006">
    <mc:Choice Requires="x15">
      <x15ac:absPath xmlns:x15ac="http://schemas.microsoft.com/office/spreadsheetml/2010/11/ac" url="P:\vykazy\temp\"/>
    </mc:Choice>
  </mc:AlternateContent>
  <bookViews>
    <workbookView xWindow="4956" yWindow="708" windowWidth="15300" windowHeight="8544" tabRatio="930"/>
  </bookViews>
  <sheets>
    <sheet name="Obsah" sheetId="383" r:id="rId1"/>
    <sheet name="Motivace" sheetId="414" r:id="rId2"/>
    <sheet name="HI" sheetId="339" r:id="rId3"/>
    <sheet name="HI Graf" sheetId="340" r:id="rId4"/>
    <sheet name="Man Tab" sheetId="366" r:id="rId5"/>
    <sheet name="HV" sheetId="367" r:id="rId6"/>
    <sheet name="Léky Žádanky" sheetId="219" r:id="rId7"/>
    <sheet name="LŽ Detail" sheetId="220" r:id="rId8"/>
    <sheet name="LŽ Statim" sheetId="427" r:id="rId9"/>
    <sheet name="Léky Recepty" sheetId="346" r:id="rId10"/>
    <sheet name="LRp Lékaři" sheetId="415" r:id="rId11"/>
    <sheet name="LRp Detail" sheetId="347" r:id="rId12"/>
    <sheet name="LRp PL" sheetId="388" r:id="rId13"/>
    <sheet name="LRp PL Detail" sheetId="390" r:id="rId14"/>
    <sheet name="Materiál Žádanky" sheetId="420" r:id="rId15"/>
    <sheet name="MŽ Detail" sheetId="403" r:id="rId16"/>
    <sheet name="Osobní náklady" sheetId="431" r:id="rId17"/>
    <sheet name="ON Data" sheetId="432" state="hidden" r:id="rId18"/>
    <sheet name="ZV Vykáz.-A" sheetId="344" r:id="rId19"/>
    <sheet name="ZV Vykáz.-A Lékaři" sheetId="429" r:id="rId20"/>
    <sheet name="ZV Vykáz.-A Detail" sheetId="345" r:id="rId21"/>
    <sheet name="ZV Vykáz.-A Det.Lék." sheetId="430" r:id="rId22"/>
    <sheet name="ZV Vykáz.-H" sheetId="410" r:id="rId23"/>
    <sheet name="ZV Vykáz.-H Detail" sheetId="377" r:id="rId24"/>
  </sheets>
  <definedNames>
    <definedName name="_xlnm._FilterDatabase" localSheetId="5" hidden="1">HV!$A$5:$A$5</definedName>
    <definedName name="_xlnm._FilterDatabase" localSheetId="9" hidden="1">'Léky Recepty'!$A$4:$M$4</definedName>
    <definedName name="_xlnm._FilterDatabase" localSheetId="6" hidden="1">'Léky Žádanky'!$A$4:$I$4</definedName>
    <definedName name="_xlnm._FilterDatabase" localSheetId="11" hidden="1">'LRp Detail'!$A$6:$U$6</definedName>
    <definedName name="_xlnm._FilterDatabase" localSheetId="10" hidden="1">'LRp Lékaři'!$A$4:$N$4</definedName>
    <definedName name="_xlnm._FilterDatabase" localSheetId="12" hidden="1">'LRp PL'!$A$3:$F$50</definedName>
    <definedName name="_xlnm._FilterDatabase" localSheetId="13" hidden="1">'LRp PL Detail'!$A$5:$M$1005</definedName>
    <definedName name="_xlnm._FilterDatabase" localSheetId="7" hidden="1">'LŽ Detail'!$A$4:$N$4</definedName>
    <definedName name="_xlnm._FilterDatabase" localSheetId="8" hidden="1">'LŽ Statim'!$A$5:$I$5</definedName>
    <definedName name="_xlnm._FilterDatabase" localSheetId="4" hidden="1">'Man Tab'!$A$5:$A$31</definedName>
    <definedName name="_xlnm._FilterDatabase" localSheetId="14" hidden="1">'Materiál Žádanky'!$A$4:$I$4</definedName>
    <definedName name="_xlnm._FilterDatabase" localSheetId="15" hidden="1">'MŽ Detail'!$A$4:$K$4</definedName>
    <definedName name="_xlnm._FilterDatabase" localSheetId="21" hidden="1">'ZV Vykáz.-A Det.Lék.'!$A$5:$S$5</definedName>
    <definedName name="_xlnm._FilterDatabase" localSheetId="20" hidden="1">'ZV Vykáz.-A Detail'!$A$5:$R$5</definedName>
    <definedName name="_xlnm._FilterDatabase" localSheetId="19" hidden="1">'ZV Vykáz.-A Lékaři'!$A$4:$A$5</definedName>
    <definedName name="_xlnm._FilterDatabase" localSheetId="23" hidden="1">'ZV Vykáz.-H Detail'!$A$5:$Q$5</definedName>
    <definedName name="doměsíce">'HI Graf'!$C$11</definedName>
    <definedName name="Obdobi" localSheetId="17">'ON Data'!$B$3:$B$16</definedName>
    <definedName name="Obdobi" localSheetId="16">'ON Data'!$B$3:$B$16</definedName>
    <definedName name="Obdobi">#REF!</definedName>
  </definedNames>
  <calcPr calcId="152511"/>
</workbook>
</file>

<file path=xl/calcChain.xml><?xml version="1.0" encoding="utf-8"?>
<calcChain xmlns="http://schemas.openxmlformats.org/spreadsheetml/2006/main">
  <c r="C9" i="431" l="1"/>
  <c r="C13" i="431"/>
  <c r="C17" i="431"/>
  <c r="D10" i="431"/>
  <c r="E15" i="431"/>
  <c r="G21" i="431"/>
  <c r="I23" i="431"/>
  <c r="L14" i="431"/>
  <c r="Q23" i="431"/>
  <c r="C10" i="431"/>
  <c r="C14" i="431"/>
  <c r="C18" i="431"/>
  <c r="C22" i="431"/>
  <c r="D11" i="431"/>
  <c r="D15" i="431"/>
  <c r="D19" i="431"/>
  <c r="D23" i="431"/>
  <c r="E12" i="431"/>
  <c r="E16" i="431"/>
  <c r="E20" i="431"/>
  <c r="F9" i="431"/>
  <c r="F13" i="431"/>
  <c r="F17" i="431"/>
  <c r="F21" i="431"/>
  <c r="G10" i="431"/>
  <c r="G14" i="431"/>
  <c r="G18" i="431"/>
  <c r="G22" i="431"/>
  <c r="H11" i="431"/>
  <c r="H15" i="431"/>
  <c r="H19" i="431"/>
  <c r="H23" i="431"/>
  <c r="I12" i="431"/>
  <c r="I16" i="431"/>
  <c r="I20" i="431"/>
  <c r="J9" i="431"/>
  <c r="J13" i="431"/>
  <c r="J17" i="431"/>
  <c r="J21" i="431"/>
  <c r="K10" i="431"/>
  <c r="K14" i="431"/>
  <c r="K18" i="431"/>
  <c r="K22" i="431"/>
  <c r="L11" i="431"/>
  <c r="L15" i="431"/>
  <c r="L19" i="431"/>
  <c r="L23" i="431"/>
  <c r="M12" i="431"/>
  <c r="M16" i="431"/>
  <c r="M20" i="431"/>
  <c r="N9" i="431"/>
  <c r="N13" i="431"/>
  <c r="N17" i="431"/>
  <c r="N21" i="431"/>
  <c r="O10" i="431"/>
  <c r="O14" i="431"/>
  <c r="O18" i="431"/>
  <c r="O22" i="431"/>
  <c r="P11" i="431"/>
  <c r="P15" i="431"/>
  <c r="P19" i="431"/>
  <c r="P23" i="431"/>
  <c r="Q12" i="431"/>
  <c r="Q16" i="431"/>
  <c r="Q20" i="431"/>
  <c r="C11" i="431"/>
  <c r="C15" i="431"/>
  <c r="C19" i="431"/>
  <c r="C23" i="431"/>
  <c r="D12" i="431"/>
  <c r="D16" i="431"/>
  <c r="D20" i="431"/>
  <c r="E9" i="431"/>
  <c r="E13" i="431"/>
  <c r="E17" i="431"/>
  <c r="E21" i="431"/>
  <c r="F10" i="431"/>
  <c r="F14" i="431"/>
  <c r="F18" i="431"/>
  <c r="F22" i="431"/>
  <c r="G11" i="431"/>
  <c r="G15" i="431"/>
  <c r="G19" i="431"/>
  <c r="G23" i="431"/>
  <c r="H12" i="431"/>
  <c r="H16" i="431"/>
  <c r="H20" i="431"/>
  <c r="I9" i="431"/>
  <c r="I13" i="431"/>
  <c r="I17" i="431"/>
  <c r="I21" i="431"/>
  <c r="J10" i="431"/>
  <c r="J14" i="431"/>
  <c r="J18" i="431"/>
  <c r="J22" i="431"/>
  <c r="K11" i="431"/>
  <c r="K15" i="431"/>
  <c r="K19" i="431"/>
  <c r="K23" i="431"/>
  <c r="L12" i="431"/>
  <c r="L16" i="431"/>
  <c r="L20" i="431"/>
  <c r="M9" i="431"/>
  <c r="M13" i="431"/>
  <c r="M17" i="431"/>
  <c r="M21" i="431"/>
  <c r="N10" i="431"/>
  <c r="N14" i="431"/>
  <c r="N18" i="431"/>
  <c r="N22" i="431"/>
  <c r="O15" i="431"/>
  <c r="O23" i="431"/>
  <c r="C12" i="431"/>
  <c r="C16" i="431"/>
  <c r="C20" i="431"/>
  <c r="D9" i="431"/>
  <c r="D13" i="431"/>
  <c r="D17" i="431"/>
  <c r="D21" i="431"/>
  <c r="E10" i="431"/>
  <c r="E14" i="431"/>
  <c r="E18" i="431"/>
  <c r="E22" i="431"/>
  <c r="F11" i="431"/>
  <c r="F15" i="431"/>
  <c r="F19" i="431"/>
  <c r="F23" i="431"/>
  <c r="G12" i="431"/>
  <c r="G16" i="431"/>
  <c r="G20" i="431"/>
  <c r="H9" i="431"/>
  <c r="H13" i="431"/>
  <c r="H17" i="431"/>
  <c r="H21" i="431"/>
  <c r="I10" i="431"/>
  <c r="I14" i="431"/>
  <c r="I18" i="431"/>
  <c r="I22" i="431"/>
  <c r="J11" i="431"/>
  <c r="J15" i="431"/>
  <c r="J19" i="431"/>
  <c r="J23" i="431"/>
  <c r="K12" i="431"/>
  <c r="K16" i="431"/>
  <c r="K20" i="431"/>
  <c r="L9" i="431"/>
  <c r="L13" i="431"/>
  <c r="L17" i="431"/>
  <c r="L21" i="431"/>
  <c r="M10" i="431"/>
  <c r="M14" i="431"/>
  <c r="M18" i="431"/>
  <c r="M22" i="431"/>
  <c r="N11" i="431"/>
  <c r="N15" i="431"/>
  <c r="N19" i="431"/>
  <c r="N23" i="431"/>
  <c r="O12" i="431"/>
  <c r="O16" i="431"/>
  <c r="O20" i="431"/>
  <c r="P9" i="431"/>
  <c r="P13" i="431"/>
  <c r="P17" i="431"/>
  <c r="P21" i="431"/>
  <c r="Q10" i="431"/>
  <c r="Q14" i="431"/>
  <c r="Q18" i="431"/>
  <c r="Q22" i="431"/>
  <c r="C21" i="431"/>
  <c r="D14" i="431"/>
  <c r="D18" i="431"/>
  <c r="D22" i="431"/>
  <c r="E11" i="431"/>
  <c r="E19" i="431"/>
  <c r="E23" i="431"/>
  <c r="F12" i="431"/>
  <c r="F16" i="431"/>
  <c r="F20" i="431"/>
  <c r="G9" i="431"/>
  <c r="G13" i="431"/>
  <c r="G17" i="431"/>
  <c r="H10" i="431"/>
  <c r="H14" i="431"/>
  <c r="H18" i="431"/>
  <c r="H22" i="431"/>
  <c r="I11" i="431"/>
  <c r="I15" i="431"/>
  <c r="I19" i="431"/>
  <c r="J12" i="431"/>
  <c r="J16" i="431"/>
  <c r="J20" i="431"/>
  <c r="K9" i="431"/>
  <c r="K13" i="431"/>
  <c r="K17" i="431"/>
  <c r="K21" i="431"/>
  <c r="L10" i="431"/>
  <c r="L18" i="431"/>
  <c r="L22" i="431"/>
  <c r="M11" i="431"/>
  <c r="M15" i="431"/>
  <c r="M19" i="431"/>
  <c r="M23" i="431"/>
  <c r="N12" i="431"/>
  <c r="N16" i="431"/>
  <c r="N20" i="431"/>
  <c r="O9" i="431"/>
  <c r="O13" i="431"/>
  <c r="O17" i="431"/>
  <c r="O21" i="431"/>
  <c r="P10" i="431"/>
  <c r="P14" i="431"/>
  <c r="P18" i="431"/>
  <c r="P22" i="431"/>
  <c r="Q11" i="431"/>
  <c r="Q15" i="431"/>
  <c r="Q19" i="431"/>
  <c r="O11" i="431"/>
  <c r="O19" i="431"/>
  <c r="P16" i="431"/>
  <c r="Q17" i="431"/>
  <c r="P20" i="431"/>
  <c r="Q21" i="431"/>
  <c r="Q9" i="431"/>
  <c r="P12" i="431"/>
  <c r="Q13" i="431"/>
  <c r="O8" i="431"/>
  <c r="J8" i="431"/>
  <c r="G8" i="431"/>
  <c r="I8" i="431"/>
  <c r="E8" i="431"/>
  <c r="H8" i="431"/>
  <c r="K8" i="431"/>
  <c r="F8" i="431"/>
  <c r="M8" i="431"/>
  <c r="D8" i="431"/>
  <c r="N8" i="431"/>
  <c r="Q8" i="431"/>
  <c r="C8" i="431"/>
  <c r="L8" i="431"/>
  <c r="P8" i="431"/>
  <c r="R13" i="431" l="1"/>
  <c r="S13" i="431"/>
  <c r="R9" i="431"/>
  <c r="S9" i="431"/>
  <c r="R21" i="431"/>
  <c r="S21" i="431"/>
  <c r="R17" i="431"/>
  <c r="S17" i="431"/>
  <c r="R19" i="431"/>
  <c r="S19" i="431"/>
  <c r="R15" i="431"/>
  <c r="S15" i="431"/>
  <c r="R11" i="431"/>
  <c r="S11" i="431"/>
  <c r="S22" i="431"/>
  <c r="R22" i="431"/>
  <c r="S18" i="431"/>
  <c r="R18" i="431"/>
  <c r="S14" i="431"/>
  <c r="R14" i="431"/>
  <c r="S10" i="431"/>
  <c r="R10" i="431"/>
  <c r="S20" i="431"/>
  <c r="R20" i="431"/>
  <c r="S16" i="431"/>
  <c r="R16" i="431"/>
  <c r="S12" i="431"/>
  <c r="R12" i="431"/>
  <c r="R23" i="431"/>
  <c r="S23" i="431"/>
  <c r="N6" i="431"/>
  <c r="R8" i="431"/>
  <c r="S8" i="431"/>
  <c r="Q6" i="431"/>
  <c r="M6" i="431"/>
  <c r="I6" i="431"/>
  <c r="P6" i="431"/>
  <c r="L6" i="431"/>
  <c r="H6" i="431"/>
  <c r="J6" i="431"/>
  <c r="O6" i="431"/>
  <c r="K6" i="431"/>
  <c r="G6" i="431"/>
  <c r="C6" i="431"/>
  <c r="R6" i="431" l="1"/>
  <c r="S6" i="431"/>
  <c r="D21" i="414" l="1"/>
  <c r="E21" i="414" s="1"/>
  <c r="D20" i="414"/>
  <c r="A27" i="383" l="1"/>
  <c r="Q3" i="430"/>
  <c r="P3" i="430"/>
  <c r="M3" i="430"/>
  <c r="R3" i="430" s="1"/>
  <c r="L3" i="430"/>
  <c r="I3" i="430"/>
  <c r="H3" i="430"/>
  <c r="S3" i="430" l="1"/>
  <c r="H3" i="344"/>
  <c r="E11" i="339" s="1"/>
  <c r="E3" i="344"/>
  <c r="B3" i="344"/>
  <c r="I3" i="344" s="1"/>
  <c r="J3" i="344" l="1"/>
  <c r="D19" i="414" s="1"/>
  <c r="C11" i="339"/>
  <c r="E20" i="414"/>
  <c r="A21" i="414"/>
  <c r="A20" i="414"/>
  <c r="A19" i="414"/>
  <c r="A11" i="414" l="1"/>
  <c r="A10" i="414"/>
  <c r="A8" i="414"/>
  <c r="A7" i="414"/>
  <c r="A25" i="383" l="1"/>
  <c r="G3" i="429"/>
  <c r="F3" i="429"/>
  <c r="E3" i="429"/>
  <c r="D3" i="429"/>
  <c r="C3" i="429"/>
  <c r="B3" i="429"/>
  <c r="A13" i="383" l="1"/>
  <c r="M3" i="427"/>
  <c r="L3" i="427"/>
  <c r="K3" i="427"/>
  <c r="J3" i="427"/>
  <c r="E3" i="427"/>
  <c r="D3" i="427"/>
  <c r="C3" i="427"/>
  <c r="B3" i="427"/>
  <c r="N3" i="427" l="1"/>
  <c r="O3" i="427"/>
  <c r="P3" i="427"/>
  <c r="Q3" i="427"/>
  <c r="G3" i="427"/>
  <c r="D8" i="414" s="1"/>
  <c r="E8" i="414" s="1"/>
  <c r="H3" i="427"/>
  <c r="I3" i="427"/>
  <c r="F3" i="427"/>
  <c r="C11" i="340" l="1"/>
  <c r="A19" i="383" l="1"/>
  <c r="A11" i="383"/>
  <c r="A7" i="339" l="1"/>
  <c r="M8" i="340" l="1"/>
  <c r="L8" i="340"/>
  <c r="K8" i="340"/>
  <c r="J8" i="340"/>
  <c r="I8" i="340"/>
  <c r="H8" i="340"/>
  <c r="G8" i="340"/>
  <c r="F8" i="340"/>
  <c r="E8" i="340"/>
  <c r="D8" i="340"/>
  <c r="C8" i="340"/>
  <c r="B8" i="340"/>
  <c r="D14" i="414" l="1"/>
  <c r="D7" i="414"/>
  <c r="A17" i="414" l="1"/>
  <c r="H9" i="339" l="1"/>
  <c r="G9" i="339"/>
  <c r="H8" i="339"/>
  <c r="G8" i="339"/>
  <c r="H7" i="339"/>
  <c r="G7" i="339"/>
  <c r="H6" i="339"/>
  <c r="G6" i="339"/>
  <c r="H5" i="339"/>
  <c r="G5" i="339"/>
  <c r="A15" i="339" l="1"/>
  <c r="A12" i="339"/>
  <c r="A11" i="339"/>
  <c r="A23" i="414" l="1"/>
  <c r="A18" i="414"/>
  <c r="R3" i="410" l="1"/>
  <c r="Q3" i="410"/>
  <c r="P3" i="410"/>
  <c r="S3" i="410" s="1"/>
  <c r="O3" i="410"/>
  <c r="N3" i="410"/>
  <c r="L3" i="410"/>
  <c r="K3" i="410"/>
  <c r="J3" i="410"/>
  <c r="M3" i="410" s="1"/>
  <c r="I3" i="410"/>
  <c r="H3" i="410"/>
  <c r="F3" i="410"/>
  <c r="E3" i="410"/>
  <c r="D3" i="410"/>
  <c r="G3" i="410" s="1"/>
  <c r="C3" i="410"/>
  <c r="B3" i="410"/>
  <c r="D22" i="414" s="1"/>
  <c r="Z3" i="344" l="1"/>
  <c r="Y3" i="344"/>
  <c r="W3" i="344"/>
  <c r="AB3" i="344" s="1"/>
  <c r="V3" i="344"/>
  <c r="T3" i="344"/>
  <c r="AA3" i="344" s="1"/>
  <c r="Q3" i="344"/>
  <c r="P3" i="344"/>
  <c r="N3" i="344"/>
  <c r="S3" i="344" s="1"/>
  <c r="M3" i="344"/>
  <c r="K3" i="344"/>
  <c r="R3" i="344" s="1"/>
  <c r="G3" i="344"/>
  <c r="C3" i="344"/>
  <c r="B11" i="339"/>
  <c r="J11" i="339" s="1"/>
  <c r="I11" i="339" l="1"/>
  <c r="F11" i="339"/>
  <c r="H11" i="339" l="1"/>
  <c r="G11" i="339"/>
  <c r="A22" i="414"/>
  <c r="A14" i="414"/>
  <c r="A15" i="414"/>
  <c r="A4" i="414"/>
  <c r="A6" i="339" l="1"/>
  <c r="A5" i="339"/>
  <c r="C18" i="414"/>
  <c r="C15" i="414"/>
  <c r="D15" i="414"/>
  <c r="D4" i="414"/>
  <c r="D18" i="414"/>
  <c r="D11" i="414" l="1"/>
  <c r="C14" i="414" l="1"/>
  <c r="C7" i="414"/>
  <c r="D10" i="414" l="1"/>
  <c r="E10" i="414" s="1"/>
  <c r="E22" i="414"/>
  <c r="E19" i="414"/>
  <c r="E14" i="414"/>
  <c r="E7" i="414"/>
  <c r="E11" i="414"/>
  <c r="A15" i="383" l="1"/>
  <c r="A18" i="383" l="1"/>
  <c r="B10" i="340" l="1"/>
  <c r="B5" i="340"/>
  <c r="B6" i="340" s="1"/>
  <c r="M5" i="340"/>
  <c r="L5" i="340"/>
  <c r="K5" i="340"/>
  <c r="J5" i="340"/>
  <c r="I5" i="340"/>
  <c r="H5" i="340"/>
  <c r="G5" i="340"/>
  <c r="F5" i="340"/>
  <c r="E5" i="340"/>
  <c r="D5" i="340"/>
  <c r="C5" i="340"/>
  <c r="K3" i="403" l="1"/>
  <c r="J3" i="403"/>
  <c r="I3" i="403" s="1"/>
  <c r="M3" i="220" l="1"/>
  <c r="E12" i="339" l="1"/>
  <c r="C12" i="339"/>
  <c r="F12" i="339" s="1"/>
  <c r="B12" i="339"/>
  <c r="J12" i="339" s="1"/>
  <c r="O3" i="377"/>
  <c r="N3" i="377"/>
  <c r="Q3" i="377" s="1"/>
  <c r="K3" i="377"/>
  <c r="P3" i="377" s="1"/>
  <c r="J3" i="377"/>
  <c r="G3" i="377"/>
  <c r="F3" i="377"/>
  <c r="P3" i="345"/>
  <c r="O3" i="345"/>
  <c r="R3" i="345" s="1"/>
  <c r="L3" i="345"/>
  <c r="Q3" i="345" s="1"/>
  <c r="K3" i="345"/>
  <c r="H3" i="345"/>
  <c r="G3" i="345"/>
  <c r="M3" i="390"/>
  <c r="L3" i="390"/>
  <c r="J3" i="390"/>
  <c r="I3" i="390"/>
  <c r="G3" i="390"/>
  <c r="F3" i="390"/>
  <c r="T3" i="347"/>
  <c r="R3" i="347"/>
  <c r="P3" i="347"/>
  <c r="O3" i="347"/>
  <c r="N3" i="347"/>
  <c r="M3" i="347"/>
  <c r="N3" i="220"/>
  <c r="L3" i="220" s="1"/>
  <c r="C23" i="414"/>
  <c r="D23" i="414"/>
  <c r="H3" i="390" l="1"/>
  <c r="Q3" i="347"/>
  <c r="S3" i="347"/>
  <c r="U3" i="347"/>
  <c r="I12" i="339"/>
  <c r="I13" i="339" s="1"/>
  <c r="F13" i="339"/>
  <c r="E13" i="339"/>
  <c r="E15" i="339" s="1"/>
  <c r="H12" i="339"/>
  <c r="G12" i="339"/>
  <c r="K3" i="390"/>
  <c r="A4" i="383"/>
  <c r="A29" i="383"/>
  <c r="A28" i="383"/>
  <c r="A26" i="383"/>
  <c r="A24" i="383"/>
  <c r="A21" i="383"/>
  <c r="A20" i="383"/>
  <c r="A17" i="383"/>
  <c r="A16" i="383"/>
  <c r="A14" i="383"/>
  <c r="A12" i="383"/>
  <c r="A8" i="383"/>
  <c r="A7" i="383"/>
  <c r="A6" i="383"/>
  <c r="A5" i="383"/>
  <c r="C10" i="340"/>
  <c r="D10" i="340" s="1"/>
  <c r="E10" i="340" s="1"/>
  <c r="F10" i="340" s="1"/>
  <c r="G10" i="340" s="1"/>
  <c r="H10" i="340" s="1"/>
  <c r="I10" i="340" s="1"/>
  <c r="J10" i="340" s="1"/>
  <c r="K10" i="340" s="1"/>
  <c r="L10" i="340" s="1"/>
  <c r="M10" i="340" s="1"/>
  <c r="C13" i="339"/>
  <c r="C15" i="339" s="1"/>
  <c r="B13" i="339"/>
  <c r="D17" i="414"/>
  <c r="C4" i="414"/>
  <c r="J13" i="339" l="1"/>
  <c r="B15" i="339"/>
  <c r="H13" i="339"/>
  <c r="F15" i="339"/>
  <c r="E15" i="414"/>
  <c r="E4" i="414"/>
  <c r="C6" i="340"/>
  <c r="D6" i="340" s="1"/>
  <c r="B4" i="340"/>
  <c r="G13" i="339"/>
  <c r="B13" i="340" l="1"/>
  <c r="B12" i="340"/>
  <c r="G15" i="339"/>
  <c r="H15" i="339"/>
  <c r="C4" i="340"/>
  <c r="E18" i="414"/>
  <c r="E23" i="414"/>
  <c r="D4" i="340"/>
  <c r="E6" i="340"/>
  <c r="C17" i="414"/>
  <c r="E17" i="414" l="1"/>
  <c r="E4" i="340"/>
  <c r="F6" i="340"/>
  <c r="G6" i="340" l="1"/>
  <c r="F4" i="340"/>
  <c r="H6" i="340" l="1"/>
  <c r="G4" i="340"/>
  <c r="H4" i="340" l="1"/>
  <c r="I6" i="340"/>
  <c r="I4" i="340" l="1"/>
  <c r="J6" i="340"/>
  <c r="K6" i="340" l="1"/>
  <c r="J4" i="340"/>
  <c r="K4" i="340" l="1"/>
  <c r="L6" i="340"/>
  <c r="L4" i="340" l="1"/>
  <c r="M6" i="340"/>
  <c r="M4" i="340" s="1"/>
</calcChain>
</file>

<file path=xl/comments1.xml><?xml version="1.0" encoding="utf-8"?>
<comments xmlns="http://schemas.openxmlformats.org/spreadsheetml/2006/main">
  <authors>
    <author>62361</author>
  </authors>
  <commentList>
    <comment ref="A4" authorId="0" shapeId="0">
      <text>
        <r>
          <rPr>
            <b/>
            <sz val="9"/>
            <color indexed="81"/>
            <rFont val="Tahoma"/>
            <family val="2"/>
            <charset val="238"/>
          </rPr>
          <t>Zadejte číslo měsíce nebo rok, případně klikněte myší na tuto buňku a pomocí tlačítka s šipkou, které se objeví vpravo, vyberte požadovanou hodnotu.</t>
        </r>
      </text>
    </comment>
  </commentList>
</comments>
</file>

<file path=xl/sharedStrings.xml><?xml version="1.0" encoding="utf-8"?>
<sst xmlns="http://schemas.openxmlformats.org/spreadsheetml/2006/main" count="3416" uniqueCount="1011">
  <si>
    <t>NS</t>
  </si>
  <si>
    <t>Účet</t>
  </si>
  <si>
    <t>%</t>
  </si>
  <si>
    <t>Celkem</t>
  </si>
  <si>
    <t>Č.kl.</t>
  </si>
  <si>
    <t>Klinika</t>
  </si>
  <si>
    <t>Oddělení</t>
  </si>
  <si>
    <t>Č.účtu</t>
  </si>
  <si>
    <t>PL</t>
  </si>
  <si>
    <t>Kód lékárna</t>
  </si>
  <si>
    <t>Kód ZP</t>
  </si>
  <si>
    <t>Název</t>
  </si>
  <si>
    <t>Popis</t>
  </si>
  <si>
    <t>Mn.</t>
  </si>
  <si>
    <t>Kč</t>
  </si>
  <si>
    <t>Předepsáno</t>
  </si>
  <si>
    <t>Zachyceno v lékárně</t>
  </si>
  <si>
    <t>Č.</t>
  </si>
  <si>
    <t>Druh</t>
  </si>
  <si>
    <t>Úhrada Kč</t>
  </si>
  <si>
    <t>Dokl.</t>
  </si>
  <si>
    <t>Zachyceno v lékárně FNOL</t>
  </si>
  <si>
    <t>Úhr.</t>
  </si>
  <si>
    <t>Č.kliniky</t>
  </si>
  <si>
    <t>IČP</t>
  </si>
  <si>
    <t>Typ</t>
  </si>
  <si>
    <t>Náz.skup.</t>
  </si>
  <si>
    <t>Úhr</t>
  </si>
  <si>
    <t>ks</t>
  </si>
  <si>
    <t>Poměrové plnění rozpočtu  v tis. Kč.</t>
  </si>
  <si>
    <t>Rozp. měs. 1/12</t>
  </si>
  <si>
    <t>Rozp.rok tis. Kč</t>
  </si>
  <si>
    <t>Sk. tis Kč</t>
  </si>
  <si>
    <t>% podil</t>
  </si>
  <si>
    <t>501 10     Biologické implantáty</t>
  </si>
  <si>
    <t>501 13 Léky</t>
  </si>
  <si>
    <t>501 14     Krev</t>
  </si>
  <si>
    <t>501 15 SZM</t>
  </si>
  <si>
    <t>501 16     Potraviny</t>
  </si>
  <si>
    <t>501 17     Všeobecný materiál</t>
  </si>
  <si>
    <t>501 18     Náhradní díly</t>
  </si>
  <si>
    <t>501 19     Textil</t>
  </si>
  <si>
    <t>502     Spotřeba energie</t>
  </si>
  <si>
    <t>504     Prodané zboží</t>
  </si>
  <si>
    <t>507 Aktivace</t>
  </si>
  <si>
    <t>511     Opravy a udržování</t>
  </si>
  <si>
    <t>512     Cestovné</t>
  </si>
  <si>
    <t>518     Ostatní služby</t>
  </si>
  <si>
    <t>52     Osobní náklady</t>
  </si>
  <si>
    <t>551, 552, 553 Odpisy, ZC</t>
  </si>
  <si>
    <t>558 DDHM</t>
  </si>
  <si>
    <t>544, 554 - 556 Prodaný materiál a zák.rezervy,opr.p</t>
  </si>
  <si>
    <t>5xx  OStatní náklady</t>
  </si>
  <si>
    <t>501 - 598 Přímé náklady</t>
  </si>
  <si>
    <t>799     Vnitropodnikové náklady</t>
  </si>
  <si>
    <t>501-598, 799 Náklady celkem</t>
  </si>
  <si>
    <t>602 10-15 Přímé platby za zdrav.péči ostatní</t>
  </si>
  <si>
    <t>602 27  ředění cytostatik</t>
  </si>
  <si>
    <t>604, 644 Prodané zboží</t>
  </si>
  <si>
    <t>Čerpání darů, FKSP</t>
  </si>
  <si>
    <t>UKAZATEL ( % Plnění) = vypovídá, zda  čerpání skutečnosti odpovídá plánovanému rozpočtu. Překročení =   &gt; než 100%, úspora = &lt; než 100%, 100% čerpání  = rovnoměrné čerpání rozpočtu</t>
  </si>
  <si>
    <t>Sestava hospodaření za kliniky</t>
  </si>
  <si>
    <t xml:space="preserve">Minulé období </t>
  </si>
  <si>
    <t xml:space="preserve">Aktuální období  </t>
  </si>
  <si>
    <t>1/12 * Měs.do data</t>
  </si>
  <si>
    <t>Sk.do data</t>
  </si>
  <si>
    <t>HV</t>
  </si>
  <si>
    <t>Rozdíl</t>
  </si>
  <si>
    <t>KL</t>
  </si>
  <si>
    <t>Nazev</t>
  </si>
  <si>
    <t>Kód</t>
  </si>
  <si>
    <t>Počet</t>
  </si>
  <si>
    <t>Skutečnost</t>
  </si>
  <si>
    <t>Rozpočet</t>
  </si>
  <si>
    <t>Plnění</t>
  </si>
  <si>
    <t>Ostatní (Kč)</t>
  </si>
  <si>
    <t>Náklady celkem</t>
  </si>
  <si>
    <t>Hospitalizace (casemix * 29500)</t>
  </si>
  <si>
    <t>Ambulance (body)</t>
  </si>
  <si>
    <t>Výnosy celkem</t>
  </si>
  <si>
    <t>Hospodářský index (Výnosy / Náklady)</t>
  </si>
  <si>
    <t>1-1</t>
  </si>
  <si>
    <t>1-2</t>
  </si>
  <si>
    <t>1-3</t>
  </si>
  <si>
    <t>1-4</t>
  </si>
  <si>
    <t>1-5</t>
  </si>
  <si>
    <t>1-6</t>
  </si>
  <si>
    <t>1-7</t>
  </si>
  <si>
    <t>1-8</t>
  </si>
  <si>
    <t>1-9</t>
  </si>
  <si>
    <t>1-10</t>
  </si>
  <si>
    <t>1-11</t>
  </si>
  <si>
    <t>1-12</t>
  </si>
  <si>
    <t>b</t>
  </si>
  <si>
    <t>Odb. sml.</t>
  </si>
  <si>
    <t>S</t>
  </si>
  <si>
    <t>Kod</t>
  </si>
  <si>
    <t>Cena/j.</t>
  </si>
  <si>
    <t>Body (tisíce)</t>
  </si>
  <si>
    <t>ZUM + ZULP (tisíce Kč)</t>
  </si>
  <si>
    <t>ZULP Centra (tisíce Kč)</t>
  </si>
  <si>
    <t>casemix 2012</t>
  </si>
  <si>
    <t>Ambulance</t>
  </si>
  <si>
    <t>Hospodářský index (Výnosy / Náklady) - vývoj</t>
  </si>
  <si>
    <t>Zdravotnické pracoviště vyžadující zdravotní výkon</t>
  </si>
  <si>
    <t>Osobní náklady zdravotnického pracoviště</t>
  </si>
  <si>
    <t>Plán</t>
  </si>
  <si>
    <t>Obsah sešitu</t>
  </si>
  <si>
    <t>Náklady a související sestavy</t>
  </si>
  <si>
    <t>Výnosy a související sestavy</t>
  </si>
  <si>
    <t>HI</t>
  </si>
  <si>
    <t>HI Graf</t>
  </si>
  <si>
    <t>Man Tab</t>
  </si>
  <si>
    <t>Léky Žádanky</t>
  </si>
  <si>
    <t>LŽ Detail</t>
  </si>
  <si>
    <t>Léky Recepty</t>
  </si>
  <si>
    <t>LRp Detail</t>
  </si>
  <si>
    <t>Materiál Žádanky</t>
  </si>
  <si>
    <t>MŽ Detail</t>
  </si>
  <si>
    <t>Osobní náklady</t>
  </si>
  <si>
    <t>Motivační kritéria</t>
  </si>
  <si>
    <t>Motivace</t>
  </si>
  <si>
    <t>ZV Vykáz.-A</t>
  </si>
  <si>
    <t>ZV Vykáz.-A Detail</t>
  </si>
  <si>
    <t>ZV Vykáz.-H</t>
  </si>
  <si>
    <t>ZV Vykáz.-H Detail</t>
  </si>
  <si>
    <t>Zdravotní výkony vykázané na pracovišti pro pacienty hospitalizované ve FNOL</t>
  </si>
  <si>
    <t>Celkem:</t>
  </si>
  <si>
    <t>V rámci PL</t>
  </si>
  <si>
    <t>Mimo PL</t>
  </si>
  <si>
    <t xml:space="preserve">ATC </t>
  </si>
  <si>
    <t>Název Léku</t>
  </si>
  <si>
    <t>Popis Léku</t>
  </si>
  <si>
    <t>% Kč</t>
  </si>
  <si>
    <t>Lékař</t>
  </si>
  <si>
    <t>Hospodaření zdravotnického pracoviště (v tisících)</t>
  </si>
  <si>
    <t>Spotřeba léčivých přípravků</t>
  </si>
  <si>
    <t>Preskripce a záchyt receptů a poukazů</t>
  </si>
  <si>
    <t>Spotřeba zdravotnického materiálu</t>
  </si>
  <si>
    <t>Přehledové sestavy</t>
  </si>
  <si>
    <t>Akt. měsíc</t>
  </si>
  <si>
    <t>Kč/ks</t>
  </si>
  <si>
    <t>LRp PL</t>
  </si>
  <si>
    <t>LRp PL Detail</t>
  </si>
  <si>
    <t>Nezachyceno v lékárně</t>
  </si>
  <si>
    <t>Preskripce a záchyt receptů a poukazů dle lékařů</t>
  </si>
  <si>
    <t>LRp Lékaři</t>
  </si>
  <si>
    <t>Předepsal</t>
  </si>
  <si>
    <t>Léky</t>
  </si>
  <si>
    <t>Recepty</t>
  </si>
  <si>
    <t>Centrové léky (dodržení rozpočtu)</t>
  </si>
  <si>
    <t>"Klinická dokumentace" = metodicky správně sestavený "Hospitalizační účet"</t>
  </si>
  <si>
    <t>KVALITA PÉČE (vyžádaný interní AUDIT "Oddělení jakosti")</t>
  </si>
  <si>
    <t>Žádanky</t>
  </si>
  <si>
    <t>Materiál</t>
  </si>
  <si>
    <t>Celk. Kč</t>
  </si>
  <si>
    <t>* Legenda:</t>
  </si>
  <si>
    <t>Hospitalizace = casemix "DRG total" (dle aktuálního grouperu) vynásobený 30000 Kč</t>
  </si>
  <si>
    <t>Hospodářský index (Výnosy / Náklady) se hodnotí pouze v případě dodržení rozpočtu nákladů</t>
  </si>
  <si>
    <t>Spotřeba léčivých přípravků - orientační přehled</t>
  </si>
  <si>
    <t>Lékař / ATC</t>
  </si>
  <si>
    <t>celý rok</t>
  </si>
  <si>
    <t>leden</t>
  </si>
  <si>
    <t>únor</t>
  </si>
  <si>
    <t>březen</t>
  </si>
  <si>
    <t>duben</t>
  </si>
  <si>
    <t>květen</t>
  </si>
  <si>
    <t>červen</t>
  </si>
  <si>
    <t>červenec</t>
  </si>
  <si>
    <t>srpen</t>
  </si>
  <si>
    <t>září</t>
  </si>
  <si>
    <t>říjen</t>
  </si>
  <si>
    <t>listopad</t>
  </si>
  <si>
    <t>prosinec</t>
  </si>
  <si>
    <t xml:space="preserve">Celkem </t>
  </si>
  <si>
    <t>ÚVAZKY</t>
  </si>
  <si>
    <t>HODINY</t>
  </si>
  <si>
    <t>V rámci úvazku</t>
  </si>
  <si>
    <t>OON (DPP + DPČ)</t>
  </si>
  <si>
    <t>Klinické studie</t>
  </si>
  <si>
    <t>Granty</t>
  </si>
  <si>
    <t>Nad rámec úvazku 1,0 (přesčas)</t>
  </si>
  <si>
    <t>sociálního a zdravotního pojištění hrazeného zaměstnavatelem</t>
  </si>
  <si>
    <t>Osobní náklady = komplexní mzdové náklady zaměstnavatele – vyplacené mzdy, náhrady, odměny atd. včetně</t>
  </si>
  <si>
    <t>Mzdové náklady zaměstnavatele – vyplacené hrubé mzdy, náhrady, odměny atd. bez sociálního a zdravotního pojištění hrazeného zaměstnavatelem</t>
  </si>
  <si>
    <t>MZDY (Kč) *</t>
  </si>
  <si>
    <t>Měsíc/Rok *</t>
  </si>
  <si>
    <t>Rozdíl (zbývá)</t>
  </si>
  <si>
    <t>Plán *</t>
  </si>
  <si>
    <t>Rozpočet na vzdělávání je plánován na rok, měsíční plány jsou v tabulce dvanáctinou ročního rozpočtu</t>
  </si>
  <si>
    <t>Pracoviště/účet</t>
  </si>
  <si>
    <t>Podíl počtu položek žádanek na léky dle typů žádanek</t>
  </si>
  <si>
    <t>Pracoviště</t>
  </si>
  <si>
    <t>Počet položek žádanek</t>
  </si>
  <si>
    <t>Svoz</t>
  </si>
  <si>
    <t>Statim</t>
  </si>
  <si>
    <t>Váz.ATB</t>
  </si>
  <si>
    <t>Centra</t>
  </si>
  <si>
    <t>Počet položek žádanek %</t>
  </si>
  <si>
    <t>Počet žádanek (dokladů)</t>
  </si>
  <si>
    <t>Počet žádanek (dokladů) %</t>
  </si>
  <si>
    <t>LŽ Statim</t>
  </si>
  <si>
    <t>Ambulance = vykázané výkony (body)</t>
  </si>
  <si>
    <t>Počet výkonů</t>
  </si>
  <si>
    <t>ZV Vykáz.-A Lékaři</t>
  </si>
  <si>
    <t>Sml.odb./NS</t>
  </si>
  <si>
    <t>% 2015</t>
  </si>
  <si>
    <t>§</t>
  </si>
  <si>
    <t>ZV Vykáz.-A Det.Lék.</t>
  </si>
  <si>
    <t>Rozdíl 2015</t>
  </si>
  <si>
    <t>Plnění 2015</t>
  </si>
  <si>
    <t xml:space="preserve"> (nápověda se zobrazí po najetí myší na číslo měsíce/rok).</t>
  </si>
  <si>
    <t>Požadované období lze zvolit zapsáním konkrétního čísla měsíce či roku do odpovídající buňky v levém horním rohu tabulky, nebo výběrem z nabídky</t>
  </si>
  <si>
    <t>1 Lékaři</t>
  </si>
  <si>
    <t>17_vzroz</t>
  </si>
  <si>
    <t>16_vzpln</t>
  </si>
  <si>
    <t>15_vzpl</t>
  </si>
  <si>
    <t>14_vzsk</t>
  </si>
  <si>
    <t>13 m_sk</t>
  </si>
  <si>
    <t>12 m_oc</t>
  </si>
  <si>
    <t>11 m_jo</t>
  </si>
  <si>
    <t>10 m_gr</t>
  </si>
  <si>
    <t>09 m_kl</t>
  </si>
  <si>
    <t>08 h_oon</t>
  </si>
  <si>
    <t>07 h_nadzk</t>
  </si>
  <si>
    <t>06 h_naduv</t>
  </si>
  <si>
    <t>05 h_vram</t>
  </si>
  <si>
    <t>04 uv_rozd</t>
  </si>
  <si>
    <t>03 uv_pln</t>
  </si>
  <si>
    <t>02 uv_pla</t>
  </si>
  <si>
    <t>01 uv_sk</t>
  </si>
  <si>
    <t>popis</t>
  </si>
  <si>
    <t>kat</t>
  </si>
  <si>
    <t>Jiné</t>
  </si>
  <si>
    <t>Kategorie</t>
  </si>
  <si>
    <t>Skut.</t>
  </si>
  <si>
    <t>Skutečnost celkem</t>
  </si>
  <si>
    <t>Odměny</t>
  </si>
  <si>
    <t>Nad rámec zkrác. Úvazku</t>
  </si>
  <si>
    <t>Skut. celk.</t>
  </si>
  <si>
    <t>VZDĚLÁVÁNÍ</t>
  </si>
  <si>
    <t>mesic</t>
  </si>
  <si>
    <t xml:space="preserve"> </t>
  </si>
  <si>
    <t>Rozpočet výnosů pro rok 2018 je stanoven jako 100% skutečnosti referenčního období (2017)</t>
  </si>
  <si>
    <t>01/2018</t>
  </si>
  <si>
    <t>02/2018</t>
  </si>
  <si>
    <t>03/2018</t>
  </si>
  <si>
    <t>04/2018</t>
  </si>
  <si>
    <t>05/2018</t>
  </si>
  <si>
    <t>06/2018</t>
  </si>
  <si>
    <t>07/2018</t>
  </si>
  <si>
    <t>08/2018</t>
  </si>
  <si>
    <t>09/2018</t>
  </si>
  <si>
    <t>10/2018</t>
  </si>
  <si>
    <t>11/2018</t>
  </si>
  <si>
    <t>12/2018</t>
  </si>
  <si>
    <t>Rozp. 2017            CELKEM</t>
  </si>
  <si>
    <t>Skut. 2017 CELKEM</t>
  </si>
  <si>
    <t>ROZDÍL  Skut. - Rozp. 2017</t>
  </si>
  <si>
    <t>% plnění rozp.2017</t>
  </si>
  <si>
    <t>Rozp.rok 2018</t>
  </si>
  <si>
    <t>Sk.v tis 2018</t>
  </si>
  <si>
    <t>ROZDÍL (Sk.do data - Rozp.do data 2018)</t>
  </si>
  <si>
    <t>% plnění (Skut.do data/Rozp.rok 2018)</t>
  </si>
  <si>
    <t>POMĚROVÉ  PLNĚNÍ = Rozpočet na rok 2018 celkem a 1/12  ročního rozpočtu, skutečnost daných měsíců a % plnění načítané skutečnosti do data k poměrné části rozpočtu do data.</t>
  </si>
  <si>
    <r>
      <t>Zpět na Obsah</t>
    </r>
    <r>
      <rPr>
        <sz val="9"/>
        <rFont val="Calibri"/>
        <family val="2"/>
        <charset val="238"/>
        <scheme val="minor"/>
      </rPr>
      <t xml:space="preserve"> | 1.-4.měsíc | Ústav lékařské genetiky a fetální medicíny</t>
    </r>
  </si>
  <si>
    <t>/0</t>
  </si>
  <si>
    <t>Plnění rozpočtu po měsících</t>
  </si>
  <si>
    <t>5     Účtová třída 5 - Náklady</t>
  </si>
  <si>
    <t>50     Spotřebované nákupy</t>
  </si>
  <si>
    <t>501     Spotřeba materiálu</t>
  </si>
  <si>
    <t>50109     Cenové odchylky k materiálu</t>
  </si>
  <si>
    <t>50109000     cenové odchylky k materiálu</t>
  </si>
  <si>
    <t>50113     Léky a léčiva</t>
  </si>
  <si>
    <t>50113001     léky - paušál (LEK)</t>
  </si>
  <si>
    <t>50113013     léky - antibiotika (LEK)</t>
  </si>
  <si>
    <t>50115     Zdravotnické prostředky</t>
  </si>
  <si>
    <t>50115020     laboratorní diagnostika-LEK (Z501)</t>
  </si>
  <si>
    <t>50115040     laboratorní materiál (Z505)</t>
  </si>
  <si>
    <t>50115050     obvazový materiál (Z502)</t>
  </si>
  <si>
    <t>50115060     ZPr - ostatní (Z503)</t>
  </si>
  <si>
    <t>50115063     ZPr - vaky, sety (Z528)</t>
  </si>
  <si>
    <t>50115065     ZPr - vpichovací materiál (Z530)</t>
  </si>
  <si>
    <t>50115067     ZPr - rukavice (Z532)</t>
  </si>
  <si>
    <t>50117     Všeobecný materiál</t>
  </si>
  <si>
    <t>50117001     všeobecný materiál (N524,525,P35,49,T13,V26,31,32,34,35,37,47,111,Z510)</t>
  </si>
  <si>
    <t>50117002     prací a čistící prostř.,drog.zboží (sk.V41)</t>
  </si>
  <si>
    <t>50117003     desinfekční prostředky (ID-ř.733-LEK)</t>
  </si>
  <si>
    <t>50117004     tiskopisy a kanc.potřeby (sk.V42, 43)</t>
  </si>
  <si>
    <t>50117005     údržbový materiál ZVIT (sk.B36,61,62,64)</t>
  </si>
  <si>
    <t>50117008     spotřební materiál k PDS (potrubní pošta (sk.V22)</t>
  </si>
  <si>
    <t>--</t>
  </si>
  <si>
    <t>50117011     obalový mat. pro sterilizaci (sk.V20)</t>
  </si>
  <si>
    <t>50117015     IT - spotřební materiál (sk. P37, 48)</t>
  </si>
  <si>
    <t>50117021     všeob.mat. - hosp.přístr.a nářadí (V32) od 1tis do 2999,99</t>
  </si>
  <si>
    <t>50117024     všeob.mat. - ostatní-vyjímky (V44) od 0,01 do 999,99</t>
  </si>
  <si>
    <t>50117190     technické plyny</t>
  </si>
  <si>
    <t>50118     Náhradní díly</t>
  </si>
  <si>
    <t>50118003     ND - ostatní techn.(dispečink)</t>
  </si>
  <si>
    <t>50118004     ND - zdravot.techn.(dispečink)</t>
  </si>
  <si>
    <t>50118006     ND - ZVIT (sk.B63)</t>
  </si>
  <si>
    <t>50119     DDHM a textil</t>
  </si>
  <si>
    <t>50119077     OOPP a prádlo pro zaměstnance (sk.T14)</t>
  </si>
  <si>
    <t>50119101     jednorázový operační materiál (sk.T18B)</t>
  </si>
  <si>
    <t>50119102     jednorázové hygienické potřeby (sk.T18C)</t>
  </si>
  <si>
    <t>50210     Spotřeba energie</t>
  </si>
  <si>
    <t>50210071     elektřina</t>
  </si>
  <si>
    <t>50210072     vodné, stočné</t>
  </si>
  <si>
    <t>50210073     pára</t>
  </si>
  <si>
    <t>51     Služby</t>
  </si>
  <si>
    <t>51102     Technika a stavby</t>
  </si>
  <si>
    <t>51102021     opravy zdravotnické techniky</t>
  </si>
  <si>
    <t>51102023     opravy ostatní techniky</t>
  </si>
  <si>
    <t>51102024     opravy - správa budov</t>
  </si>
  <si>
    <t>51102025     opravy - hl.energetik</t>
  </si>
  <si>
    <t>51201     Cestovné zaměstnanců-tuzemské</t>
  </si>
  <si>
    <t>51201000     cestovné z mezd</t>
  </si>
  <si>
    <t>51201001     cestovné tuzemské - OUC</t>
  </si>
  <si>
    <t>51203     Cestovné zaměstnanců-zahraniční</t>
  </si>
  <si>
    <t>51203000     cestovné zahraniční - mzdy</t>
  </si>
  <si>
    <t>51801     Přepravné</t>
  </si>
  <si>
    <t>51801000     přepravné-lab. vzorky,...</t>
  </si>
  <si>
    <t>51802     Spoje</t>
  </si>
  <si>
    <t>51802001     poštovné</t>
  </si>
  <si>
    <t>51802003     telekom.styk</t>
  </si>
  <si>
    <t>51804     Nájemné</t>
  </si>
  <si>
    <t>51804004     popl. za R a TV, veř. produkce</t>
  </si>
  <si>
    <t>51804005     náj. plynových lahví</t>
  </si>
  <si>
    <t>51806     Úklid, odpad, desinf., deratizace</t>
  </si>
  <si>
    <t>51806001     úklid. služby - paušál</t>
  </si>
  <si>
    <t>51806004     popl. za DDD a ostatní služby</t>
  </si>
  <si>
    <t>51806005     odpad (spalovna)</t>
  </si>
  <si>
    <t>51808     Revize a smluvní servisy majetku</t>
  </si>
  <si>
    <t>51808007     revize, sml.servis - energetik</t>
  </si>
  <si>
    <t>51808008     revize, tech.kontroly, prev.prohl.- OHM</t>
  </si>
  <si>
    <t>51808009     revize, sml.servis PO - OBKR</t>
  </si>
  <si>
    <t>51808013     revize - kalibrace - metrolog</t>
  </si>
  <si>
    <t>51808018     smluvní servis - OHM</t>
  </si>
  <si>
    <t>51874     Ostatní služby</t>
  </si>
  <si>
    <t>51874011     zkoušky kvality</t>
  </si>
  <si>
    <t>51874015     organ.rozvoj (certif., akred.)</t>
  </si>
  <si>
    <t>521     Mzdové náklady</t>
  </si>
  <si>
    <t>52111     Hrubé mzdy</t>
  </si>
  <si>
    <t>52111000     hrubé mzdy</t>
  </si>
  <si>
    <t>52121     OON - dohody</t>
  </si>
  <si>
    <t>52121000     OON - dohody</t>
  </si>
  <si>
    <t>52128     Náhrada mzdy po dobu dočas.prac.neschopnosti</t>
  </si>
  <si>
    <t>52128000     náhrada mzdy po dobu dočas.prac.neschop.-hraz.org.</t>
  </si>
  <si>
    <t>52148     Peněžité dary z FKSP</t>
  </si>
  <si>
    <t>52148000     peněžité dary z FKSP</t>
  </si>
  <si>
    <t>524     Zákonné sociální pojištění</t>
  </si>
  <si>
    <t>52401     Zdravotní pojištění organizace</t>
  </si>
  <si>
    <t>52401000     zdravotní poj. organizace</t>
  </si>
  <si>
    <t>52402     Sociální pojištění organizace</t>
  </si>
  <si>
    <t>52402000     sociální poj. organizace</t>
  </si>
  <si>
    <t>527     Zákonné sociální náklady</t>
  </si>
  <si>
    <t>52710     Zákonné sociální náklady</t>
  </si>
  <si>
    <t>52710001     FKSP - jednotný příděl</t>
  </si>
  <si>
    <t>54     Jiné provozní náklady</t>
  </si>
  <si>
    <t>549     Ostatní náklady z činnosti</t>
  </si>
  <si>
    <t>54910     Ostatní náklady z činnosti</t>
  </si>
  <si>
    <t>54910003     práce výrobní povahy(výroba klíčů,tabulek)</t>
  </si>
  <si>
    <t>54910009     školení, kongresové poplatky tuzemské - ost.zdrav.pracov.</t>
  </si>
  <si>
    <t>54910010     školení - nezdrav.pracov.</t>
  </si>
  <si>
    <t>54925     Ostatní výplaty fyzickým osobám(OPMČ)</t>
  </si>
  <si>
    <t>54925000     odškodn.-náhr.mzdy zam.(OPMČ)</t>
  </si>
  <si>
    <t>54972     Školení, kongres.popl.tuzemské - lékaři (pouze OPMČ)</t>
  </si>
  <si>
    <t>54972000     školení, kongres.popl.tuzemské - lékaři (pouze OPMČ)</t>
  </si>
  <si>
    <t>54973     Školení, kongres.popl.tuzemské - ostatní zdrav.prac.(pouze OPMČ)</t>
  </si>
  <si>
    <t>54973000     školení, kongres.popl.tuzemské - ostatní zdrav.prac.(pouze OPMČ)</t>
  </si>
  <si>
    <t>54977     Registrační poplatky - kongresy zahraniční (pouze OPMČ)</t>
  </si>
  <si>
    <t>54977000     registrační poplatky - kongresy zahraniční (pouze OPMČ)</t>
  </si>
  <si>
    <t>55     Odpisy, rezervy, komplexní náklady příštích období  a opravné položky provozních nákladů</t>
  </si>
  <si>
    <t>551     Odpisy DM</t>
  </si>
  <si>
    <t>55110     Odpisy DM</t>
  </si>
  <si>
    <t>55110002     odpisy DNM z odpisů</t>
  </si>
  <si>
    <t>55110003     odpisy DHM - budovy z odpisů</t>
  </si>
  <si>
    <t>55110004     odpisy DHM - zdravot.techn. z odpisů</t>
  </si>
  <si>
    <t>55110005     odpisy DHM - ostatní z odpisů</t>
  </si>
  <si>
    <t>55110013     odpisy DHM - budovy z dotací</t>
  </si>
  <si>
    <t>558     Náklady z drobného dlouhodobého majetku</t>
  </si>
  <si>
    <t>55801     DDHM zdravotnický a laboratorní</t>
  </si>
  <si>
    <t>55801001     DDHM - zdravotnické přístroje (sk.N_525)</t>
  </si>
  <si>
    <t>55802     DDHM - provozní</t>
  </si>
  <si>
    <t>55802004     DDHM - přepravní pouzdra pro PDS ( Potrubní poštu (sk.V_48)</t>
  </si>
  <si>
    <t>55805     DDHM - inventář</t>
  </si>
  <si>
    <t>55805002     DDHM - nábytek (sk.V_31)</t>
  </si>
  <si>
    <t>56     Finanční náklady</t>
  </si>
  <si>
    <t>563     Kurzové ztráty</t>
  </si>
  <si>
    <t>56301     Kurzové ztráty</t>
  </si>
  <si>
    <t>56301000     kurzové ztráty</t>
  </si>
  <si>
    <t>6     Účtová třída 6 - Výnosy</t>
  </si>
  <si>
    <t>60     Tržby za vlastní výkony a zboží</t>
  </si>
  <si>
    <t>602     Výnosy z prodeje služeb</t>
  </si>
  <si>
    <t>60210     Zdravotní služby samoplátcům a právnickým osobám</t>
  </si>
  <si>
    <t>60210322     zdr.služby - právn.osoby</t>
  </si>
  <si>
    <t>60210354     zdr.služby - cizinci</t>
  </si>
  <si>
    <t>60210359     zdr.služby - tuzemci (plastika atd. ...)</t>
  </si>
  <si>
    <t>60228     Zdr. výkony - VZP sledov.položky    OZPI</t>
  </si>
  <si>
    <t>60228190     výkony pojištěncům EHS</t>
  </si>
  <si>
    <t>60228191     výkony za cizince (mimo EHS)</t>
  </si>
  <si>
    <t>60229     Zdr. výkony - ost. ZP sled.položky  OZPI</t>
  </si>
  <si>
    <t>60229208     výkony + mater. - ZP na výkon</t>
  </si>
  <si>
    <t>60229290     výkony pojištěncům EHS</t>
  </si>
  <si>
    <t>60245     Fakturace ZP - běžný rok (paušál)   OZPI</t>
  </si>
  <si>
    <t>60245400     tržby VZP za zdrav.péči - paušál</t>
  </si>
  <si>
    <t>60245401     tržby ostatní ZP za zdrav.péči - paušál</t>
  </si>
  <si>
    <t>60246     Dorovnání péče ZP - min.let         OZPI</t>
  </si>
  <si>
    <t>60246400     tržby VZP za zdrav.péči - dorovnání min.let</t>
  </si>
  <si>
    <t>60246401     tržby ostat.ZP za zdrav.péči - dorovnání min.let</t>
  </si>
  <si>
    <t>64     Jiné provozní výnosy</t>
  </si>
  <si>
    <t>648     Čerpání fondů</t>
  </si>
  <si>
    <t>64824     Čerpání FKSP</t>
  </si>
  <si>
    <t>64824048     čerpání z FKSP - peněžité dary</t>
  </si>
  <si>
    <t>649     Ostatní výnosy z činnosti</t>
  </si>
  <si>
    <t>64908     Ostatní výnosy z činnosti</t>
  </si>
  <si>
    <t>64908000     rozdíly v zaokrouhlení</t>
  </si>
  <si>
    <t>64924     Ostatní služby - mimo zdrav.výkony  FAKTURACE</t>
  </si>
  <si>
    <t>64924459     školení, stáže, odb. semináře, konference</t>
  </si>
  <si>
    <t>66     Finanční výnosy</t>
  </si>
  <si>
    <t>663     Kurzové zisky</t>
  </si>
  <si>
    <t>66300     Kurzové zisky</t>
  </si>
  <si>
    <t>66300001     kurzové zisky</t>
  </si>
  <si>
    <t>7     Účtová třída 7 - Vnitropodnikové účetnictví - náklady</t>
  </si>
  <si>
    <t>79     Vnitropodnikové náklady</t>
  </si>
  <si>
    <t>79901     VPN - lékárna</t>
  </si>
  <si>
    <t>79901002     výdej HVLP</t>
  </si>
  <si>
    <t>79902     VPN - ZVIT technická údržba</t>
  </si>
  <si>
    <t>79902000     výkony ZVIT - technická údržba</t>
  </si>
  <si>
    <t>79903     VPN - doprava</t>
  </si>
  <si>
    <t>79903001     výkony dopravy - sanitní</t>
  </si>
  <si>
    <t>79903002     výkony dopravy - osobní</t>
  </si>
  <si>
    <t>79903003     výkony dopravy - nákladní</t>
  </si>
  <si>
    <t>79906     VPN - prádelna</t>
  </si>
  <si>
    <t>79906000     výkony prádelny - praní prádla</t>
  </si>
  <si>
    <t>79910     VPN - informační technologie</t>
  </si>
  <si>
    <t>79910001     výkony IT - fixní náklady (z 9086)</t>
  </si>
  <si>
    <t>79920     VPN - mezistřediskové převody</t>
  </si>
  <si>
    <t>79920001     převody - agregované výkony laboratoří</t>
  </si>
  <si>
    <t>79950     VPN - správní režie</t>
  </si>
  <si>
    <t>79950001     režie HTS</t>
  </si>
  <si>
    <t>28</t>
  </si>
  <si>
    <t>GEN: Ústav lékařské genetiky</t>
  </si>
  <si>
    <t/>
  </si>
  <si>
    <t>50113001 - léky - paušál (LEK)</t>
  </si>
  <si>
    <t>50113013 - léky - antibiotika (LEK)</t>
  </si>
  <si>
    <t>50113190 - léky - medicinální plyny (sklad SVM)</t>
  </si>
  <si>
    <t>GEN: Ústav lékařské genetiky Celkem</t>
  </si>
  <si>
    <t>SumaKL</t>
  </si>
  <si>
    <t>2821</t>
  </si>
  <si>
    <t>GEN: ambulance</t>
  </si>
  <si>
    <t>GEN: ambulance Celkem</t>
  </si>
  <si>
    <t>SumaNS</t>
  </si>
  <si>
    <t>mezeraNS</t>
  </si>
  <si>
    <t>2841</t>
  </si>
  <si>
    <t>GEN: laboratoř</t>
  </si>
  <si>
    <t>GEN: laboratoř Celkem</t>
  </si>
  <si>
    <t>léky - paušál (LEK)</t>
  </si>
  <si>
    <t>O</t>
  </si>
  <si>
    <t>HEPARIN LECIVA</t>
  </si>
  <si>
    <t>INJ 1X10ML/50KU</t>
  </si>
  <si>
    <t>CHLORID SODNÝ 0,9% BRAUN</t>
  </si>
  <si>
    <t>INF SOL 20X100MLPELAH</t>
  </si>
  <si>
    <t>KL ETHANOLUM BENZ.DENAT. 900 ml / 720g/</t>
  </si>
  <si>
    <t>KL PRIPRAVEK</t>
  </si>
  <si>
    <t>KL SOL.HYD.PEROX.20% 500g</t>
  </si>
  <si>
    <t>28 - Ústav lékařské genetiky</t>
  </si>
  <si>
    <t>2821 - ambulance</t>
  </si>
  <si>
    <t>2841 - laboratoř</t>
  </si>
  <si>
    <t>Ústav lékařské genetiky a fet.med.</t>
  </si>
  <si>
    <t>HVLP</t>
  </si>
  <si>
    <t>89301282</t>
  </si>
  <si>
    <t>Ambulance odd.lékařské genetiky Celkem</t>
  </si>
  <si>
    <t>Ústav lékařské genetiky a fet.med. Celkem</t>
  </si>
  <si>
    <t>* Legenda</t>
  </si>
  <si>
    <t>DIAPZT = Pomůcky pro diabetiky, jejichž název začíná slovem "Pumpa"</t>
  </si>
  <si>
    <t>Curtisová Václava</t>
  </si>
  <si>
    <t>Černičková Renáta</t>
  </si>
  <si>
    <t>Mracká Enkhjargal</t>
  </si>
  <si>
    <t>Štellmachová Júlia</t>
  </si>
  <si>
    <t>DESLORATADIN</t>
  </si>
  <si>
    <t>168836</t>
  </si>
  <si>
    <t>DASSELTA</t>
  </si>
  <si>
    <t>5MG TBL FLM 30</t>
  </si>
  <si>
    <t>DIAZEPAM</t>
  </si>
  <si>
    <t>208695</t>
  </si>
  <si>
    <t>DIAZEPAM SLOVAKOFARMA</t>
  </si>
  <si>
    <t>10MG TBL NOB 20(1X20)</t>
  </si>
  <si>
    <t>ESTRADIOL</t>
  </si>
  <si>
    <t>53797</t>
  </si>
  <si>
    <t>ESTROFEM</t>
  </si>
  <si>
    <t>1MG TBL FLM 28</t>
  </si>
  <si>
    <t>HOŘČÍK (RŮZNÉ SOLE V KOMBINACI)</t>
  </si>
  <si>
    <t>66555</t>
  </si>
  <si>
    <t>MAGNOSOLV</t>
  </si>
  <si>
    <t>365MG POR GRA SOL SCC 30</t>
  </si>
  <si>
    <t>215978</t>
  </si>
  <si>
    <t>INDOMETACIN</t>
  </si>
  <si>
    <t>93724</t>
  </si>
  <si>
    <t>INDOMETACIN BERLIN-CHEMIE</t>
  </si>
  <si>
    <t>100MG SUP 10</t>
  </si>
  <si>
    <t>KLOMIFEN</t>
  </si>
  <si>
    <t>40455</t>
  </si>
  <si>
    <t>CLOSTILBEGYT</t>
  </si>
  <si>
    <t>50MG TBL NOB 10</t>
  </si>
  <si>
    <t>PROGESTERON</t>
  </si>
  <si>
    <t>76921</t>
  </si>
  <si>
    <t>UTROGESTAN</t>
  </si>
  <si>
    <t>100MG CPS MOL 30</t>
  </si>
  <si>
    <t>132648</t>
  </si>
  <si>
    <t>RAMIPRIL</t>
  </si>
  <si>
    <t>56976</t>
  </si>
  <si>
    <t>TRITACE</t>
  </si>
  <si>
    <t>2,5MG TBL NOB 20</t>
  </si>
  <si>
    <t>SÍRAN ŽELEZNATÝ</t>
  </si>
  <si>
    <t>14712</t>
  </si>
  <si>
    <t>TARDYFERON</t>
  </si>
  <si>
    <t>80MG TBL RET 100 I</t>
  </si>
  <si>
    <t>VALSARTAN</t>
  </si>
  <si>
    <t>125598</t>
  </si>
  <si>
    <t>VALSACOR</t>
  </si>
  <si>
    <t>160MG TBL FLM 84</t>
  </si>
  <si>
    <t>ZOLPIDEM</t>
  </si>
  <si>
    <t>146899</t>
  </si>
  <si>
    <t>ZOLPIDEM MYLAN</t>
  </si>
  <si>
    <t>10MG TBL FLM 50</t>
  </si>
  <si>
    <t>FOSFOMYCIN</t>
  </si>
  <si>
    <t>216283</t>
  </si>
  <si>
    <t>URIFOS</t>
  </si>
  <si>
    <t>3G POR GRA SOL 1</t>
  </si>
  <si>
    <t>CEFUROXIM</t>
  </si>
  <si>
    <t>18547</t>
  </si>
  <si>
    <t>XORIMAX</t>
  </si>
  <si>
    <t>500MG TBL FLM 10</t>
  </si>
  <si>
    <t>CETIRIZIN</t>
  </si>
  <si>
    <t>5496</t>
  </si>
  <si>
    <t>ZODAC</t>
  </si>
  <si>
    <t>10MG TBL FLM 60</t>
  </si>
  <si>
    <t>183804</t>
  </si>
  <si>
    <t>DESLORATADIN APOTEX</t>
  </si>
  <si>
    <t>5MG TBL FLM 50 II</t>
  </si>
  <si>
    <t>DIKLOFENAK</t>
  </si>
  <si>
    <t>89026</t>
  </si>
  <si>
    <t>DICLOFENAC AL 50</t>
  </si>
  <si>
    <t>50MG TBL ENT 100</t>
  </si>
  <si>
    <t>ERDOSTEIN</t>
  </si>
  <si>
    <t>87076</t>
  </si>
  <si>
    <t>ERDOMED</t>
  </si>
  <si>
    <t>300MG CPS DUR 20</t>
  </si>
  <si>
    <t>FLUKONAZOL</t>
  </si>
  <si>
    <t>64941</t>
  </si>
  <si>
    <t>DIFLUCAN</t>
  </si>
  <si>
    <t>150MG CPS DUR 1 I</t>
  </si>
  <si>
    <t>CHOLEKALCIFEROL</t>
  </si>
  <si>
    <t>12023</t>
  </si>
  <si>
    <t>VIGANTOL</t>
  </si>
  <si>
    <t>0,5MG/ML POR GTT SOL 1X10ML</t>
  </si>
  <si>
    <t>JINÁ ANTIBIOTIKA PRO LOKÁLNÍ APLIKACI</t>
  </si>
  <si>
    <t>1066</t>
  </si>
  <si>
    <t>FRAMYKOIN</t>
  </si>
  <si>
    <t>250IU/G+5,2MG/G UNG 10G</t>
  </si>
  <si>
    <t>KLARITHROMYCIN</t>
  </si>
  <si>
    <t>53190</t>
  </si>
  <si>
    <t>KLACID SR</t>
  </si>
  <si>
    <t>500MG TBL RET 14</t>
  </si>
  <si>
    <t>203299</t>
  </si>
  <si>
    <t>KLACID</t>
  </si>
  <si>
    <t>125MG/5ML POR GRA SUS 60ML</t>
  </si>
  <si>
    <t>216199</t>
  </si>
  <si>
    <t>500MG TBL FLM 14</t>
  </si>
  <si>
    <t>KOMBINACE RŮZNÝCH ANTIBIOTIK</t>
  </si>
  <si>
    <t>1076</t>
  </si>
  <si>
    <t>OPHTHALMO-FRAMYKOIN</t>
  </si>
  <si>
    <t>OPH UNG 5G</t>
  </si>
  <si>
    <t>KORTIKOSTEROIDY</t>
  </si>
  <si>
    <t>84700</t>
  </si>
  <si>
    <t>OTOBACID N</t>
  </si>
  <si>
    <t>0,2MG/G+5MG/G+479,8MG/G AUR GTT SOL 1X5ML</t>
  </si>
  <si>
    <t>KYSELINA ACETYLSALICYLOVÁ</t>
  </si>
  <si>
    <t>203564</t>
  </si>
  <si>
    <t>ANOPYRIN</t>
  </si>
  <si>
    <t>100MG TBL NOB 100</t>
  </si>
  <si>
    <t>MEFENOXALON</t>
  </si>
  <si>
    <t>85656</t>
  </si>
  <si>
    <t>DORSIFLEX</t>
  </si>
  <si>
    <t>200MG TBL NOB 30</t>
  </si>
  <si>
    <t>NATAMYCIN</t>
  </si>
  <si>
    <t>3800</t>
  </si>
  <si>
    <t>PIMAFUCIN</t>
  </si>
  <si>
    <t>20MG/G CRM 30G</t>
  </si>
  <si>
    <t>SALBUTAMOL</t>
  </si>
  <si>
    <t>31934</t>
  </si>
  <si>
    <t>VENTOLIN INHALER N</t>
  </si>
  <si>
    <t>100MCG/DÁV INH SUS PSS 200DÁV</t>
  </si>
  <si>
    <t>179093</t>
  </si>
  <si>
    <t>RAPIDNORM</t>
  </si>
  <si>
    <t>3000MG POR GRA SOL 1</t>
  </si>
  <si>
    <t>AMOXICILIN A  INHIBITOR BETA-LAKTAMASY</t>
  </si>
  <si>
    <t>5951</t>
  </si>
  <si>
    <t>AMOKSIKLAV 1 G</t>
  </si>
  <si>
    <t>875MG/125MG TBL FLM 14</t>
  </si>
  <si>
    <t>BROMAZEPAM</t>
  </si>
  <si>
    <t>88217</t>
  </si>
  <si>
    <t>LEXAURIN 1,5</t>
  </si>
  <si>
    <t>1,5MG TBL NOB 30</t>
  </si>
  <si>
    <t>Ambulance odd.lékařské genetiky</t>
  </si>
  <si>
    <t>P</t>
  </si>
  <si>
    <t>Preskripce a záchyt receptů a poukazů - orientační přehled</t>
  </si>
  <si>
    <t>Přehled plnění pozitivního listu (PL) - 
   preskripce léčivých přípravků dle objemu Kč mimo PL</t>
  </si>
  <si>
    <t>R06AX27 - DESLORATADIN</t>
  </si>
  <si>
    <t>R03AC02 - SALBUTAMOL</t>
  </si>
  <si>
    <t>C09AA05 - RAMIPRIL</t>
  </si>
  <si>
    <t>C09CA03 - VALSARTAN</t>
  </si>
  <si>
    <t>R06AE07 - CETIRIZIN</t>
  </si>
  <si>
    <t>J01DC02 - CEFUROXIM</t>
  </si>
  <si>
    <t>J01CR02 - AMOXICILIN A  INHIBITOR BETA-LAKTAMASY</t>
  </si>
  <si>
    <t>J02AC01 - FLUKONAZOL</t>
  </si>
  <si>
    <t>N05CF02 - ZOLPIDEM</t>
  </si>
  <si>
    <t>N05CF02</t>
  </si>
  <si>
    <t>C09AA05</t>
  </si>
  <si>
    <t>C09CA03</t>
  </si>
  <si>
    <t>R06AX27</t>
  </si>
  <si>
    <t>J01CR02</t>
  </si>
  <si>
    <t>J01DC02</t>
  </si>
  <si>
    <t>J02AC01</t>
  </si>
  <si>
    <t>R03AC02</t>
  </si>
  <si>
    <t>R06AE07</t>
  </si>
  <si>
    <t>Přehled plnění PL - Preskripce léčivých přípravků - orientační přehled</t>
  </si>
  <si>
    <t>50115020 - laboratorní diagnostika-LEK (Z501)</t>
  </si>
  <si>
    <t>50115040 - laboratorní materiál (Z505)</t>
  </si>
  <si>
    <t>50115050 - obvazový materiál (Z502)</t>
  </si>
  <si>
    <t>50115060 - ZPr - ostatní (Z503)</t>
  </si>
  <si>
    <t>50115063 - ZPr - vaky, sety (Z528)</t>
  </si>
  <si>
    <t>50115065 - ZPr - vpichovací materiál (Z530)</t>
  </si>
  <si>
    <t>50115067 - ZPr - rukavice (Z532)</t>
  </si>
  <si>
    <t>50115050</t>
  </si>
  <si>
    <t>obvazový materiál (Z502)</t>
  </si>
  <si>
    <t>ZA411</t>
  </si>
  <si>
    <t>Gáza přířezy 30 cm x 30 cm 17 nití 07004</t>
  </si>
  <si>
    <t>ZL790</t>
  </si>
  <si>
    <t>Obvaz sterilní hotový č. 3 A4101144</t>
  </si>
  <si>
    <t>ZC100</t>
  </si>
  <si>
    <t>Vata buničitá dělená 2 role / 500 ks 40 x 50 mm 1230200310</t>
  </si>
  <si>
    <t>ZA446</t>
  </si>
  <si>
    <t>Vata buničitá přířezy 20 x 30 cm 1230200129</t>
  </si>
  <si>
    <t>50115060</t>
  </si>
  <si>
    <t>ZPr - ostatní (Z503)</t>
  </si>
  <si>
    <t>ZB771</t>
  </si>
  <si>
    <t>Držák jehly základní 450201</t>
  </si>
  <si>
    <t>ZD801</t>
  </si>
  <si>
    <t>Fonendoskop jednostranný červený P00176</t>
  </si>
  <si>
    <t>ZA728</t>
  </si>
  <si>
    <t>Lopatka ústní dřevěná lékařská nesterilní bal. á 100 ks 1320100655</t>
  </si>
  <si>
    <t>ZE159</t>
  </si>
  <si>
    <t>Nádoba na kontaminovaný odpad 2 l 15-0003</t>
  </si>
  <si>
    <t>ZB066</t>
  </si>
  <si>
    <t>Stříkačka janett 3-dílná 100 ml sterilní vyplachovací adaptér TS-100ML( PLS1710)</t>
  </si>
  <si>
    <t>ZA964</t>
  </si>
  <si>
    <t>Stříkačka janett 3-dílná 60 ml sterilní vyplachovací 050ML3CZ-CEW (MRG564)</t>
  </si>
  <si>
    <t>ZB755</t>
  </si>
  <si>
    <t>Zkumavka 1,0 ml K3 edta fialová 454034</t>
  </si>
  <si>
    <t>ZB758</t>
  </si>
  <si>
    <t>Zkumavka 9 ml K3 edta NR 455036</t>
  </si>
  <si>
    <t>ZB777</t>
  </si>
  <si>
    <t>Zkumavka červená 3,5 ml gel 454071</t>
  </si>
  <si>
    <t>ZB775</t>
  </si>
  <si>
    <t>Zkumavka koagulace modrá Quick 4 ml modrá 454329</t>
  </si>
  <si>
    <t>ZB764</t>
  </si>
  <si>
    <t>Zkumavka zelená 4 ml 454051</t>
  </si>
  <si>
    <t>50115065</t>
  </si>
  <si>
    <t>ZPr - vpichovací materiál (Z530)</t>
  </si>
  <si>
    <t>ZB768</t>
  </si>
  <si>
    <t>Jehla vakuová 216/38 mm zelená 450076</t>
  </si>
  <si>
    <t>50115067</t>
  </si>
  <si>
    <t>ZPr - rukavice (Z532)</t>
  </si>
  <si>
    <t>ZP948</t>
  </si>
  <si>
    <t>Rukavice nitril basic bez p. modré L bal. á 200 ks 44752</t>
  </si>
  <si>
    <t>ZP947</t>
  </si>
  <si>
    <t>Rukavice nitril basic bez p. modré M bal. á 200 ks 44751</t>
  </si>
  <si>
    <t>ZP946</t>
  </si>
  <si>
    <t>Rukavice nitril basic bez p. modré S bal. á 200 ks 44750</t>
  </si>
  <si>
    <t>50115020</t>
  </si>
  <si>
    <t>laboratorní diagnostika-LEK (Z501)</t>
  </si>
  <si>
    <t>DE260</t>
  </si>
  <si>
    <t>AmnioGrow CE IVD</t>
  </si>
  <si>
    <t>DG227</t>
  </si>
  <si>
    <t>BENZEN p.a., 1L</t>
  </si>
  <si>
    <t>DE667</t>
  </si>
  <si>
    <t>COLLAGENASE TYPE IA-S</t>
  </si>
  <si>
    <t>DE045</t>
  </si>
  <si>
    <t>Combi PPP Master Mix, 1000 reakcí</t>
  </si>
  <si>
    <t>DH088</t>
  </si>
  <si>
    <t>Devyser CFTR core</t>
  </si>
  <si>
    <t>804536</t>
  </si>
  <si>
    <t xml:space="preserve">-Diagnostikum připr. </t>
  </si>
  <si>
    <t>DG379</t>
  </si>
  <si>
    <t>Doprava 21%</t>
  </si>
  <si>
    <t>DG393</t>
  </si>
  <si>
    <t>Ethanol 96%</t>
  </si>
  <si>
    <t>DI103</t>
  </si>
  <si>
    <t>FastFrax FMR1 sizing kit 50 testů</t>
  </si>
  <si>
    <t>DE452</t>
  </si>
  <si>
    <t>Flushing medium, 500 ml,CFLM-500</t>
  </si>
  <si>
    <t>DF545</t>
  </si>
  <si>
    <t>GeneTrace 500bp sizing std (800 reactions)</t>
  </si>
  <si>
    <t>DA181</t>
  </si>
  <si>
    <t>Hank's balanced salt solution (HBSS), 500 ml</t>
  </si>
  <si>
    <t>801335</t>
  </si>
  <si>
    <t>-HCl 0,1 M 1000 ml, 500 ml</t>
  </si>
  <si>
    <t>DG163</t>
  </si>
  <si>
    <t>HYDROXID SODNY P.A.</t>
  </si>
  <si>
    <t>DG202</t>
  </si>
  <si>
    <t>CHLORID AMONNY P.A.</t>
  </si>
  <si>
    <t>DA982</t>
  </si>
  <si>
    <t>Chromosome Synchro P</t>
  </si>
  <si>
    <t>DG598</t>
  </si>
  <si>
    <t>Illumina MiSeq reagent kit v3 (150 cycles)</t>
  </si>
  <si>
    <t>DH922</t>
  </si>
  <si>
    <t>Ion 318™ Chip Kit v2 BC</t>
  </si>
  <si>
    <t>DB186</t>
  </si>
  <si>
    <t>Ion Library Equalizer Kit</t>
  </si>
  <si>
    <t>DE997</t>
  </si>
  <si>
    <t>KAPA HyperPlus kit - 96 rxn</t>
  </si>
  <si>
    <t>DC487</t>
  </si>
  <si>
    <t>KARYOMAX COLCEMID SOLUTION (CE LABEL)</t>
  </si>
  <si>
    <t>DD659</t>
  </si>
  <si>
    <t>kyselina octová p.a.</t>
  </si>
  <si>
    <t>DG143</t>
  </si>
  <si>
    <t>kyselina SÍROVÁ P.A.</t>
  </si>
  <si>
    <t>DG229</t>
  </si>
  <si>
    <t>METHANOL P.A.</t>
  </si>
  <si>
    <t>DB209</t>
  </si>
  <si>
    <t>Nucleo spin blood (240)</t>
  </si>
  <si>
    <t>920003</t>
  </si>
  <si>
    <t>-PBS PUFR 20X KONC,250ML (GEN) 250 ml</t>
  </si>
  <si>
    <t>DC341</t>
  </si>
  <si>
    <t>PHYTOHAEMAGLUTININ REAGENT</t>
  </si>
  <si>
    <t>920001</t>
  </si>
  <si>
    <t>-PRACOVNI ROZTOK, 1L (GEN) 1000 ml</t>
  </si>
  <si>
    <t>DC858</t>
  </si>
  <si>
    <t>PRIMER</t>
  </si>
  <si>
    <t>DF216</t>
  </si>
  <si>
    <t>QIAamp Circulating Nucleic Acid Kit (50)</t>
  </si>
  <si>
    <t>500886</t>
  </si>
  <si>
    <t>-Roztok kolchicinu 0,2% (GEN) 100 ml</t>
  </si>
  <si>
    <t>920002</t>
  </si>
  <si>
    <t xml:space="preserve">-ROZTOK VERSENU 1L (GEN) </t>
  </si>
  <si>
    <t>DE371</t>
  </si>
  <si>
    <t>RPMI-1640 medium,w glutamine and sodium bicarbonate 100 ml</t>
  </si>
  <si>
    <t>DA293</t>
  </si>
  <si>
    <t>SALSA MLPA EK1 reagent kit –100rxn -FAM</t>
  </si>
  <si>
    <t>DG939</t>
  </si>
  <si>
    <t>SALSA MLPA EK5 reagent kit- 500 reactions (5x6 vials) - FAM</t>
  </si>
  <si>
    <t>DH224</t>
  </si>
  <si>
    <t>SALSA MLPA ME028 Prader Willi/Angelman</t>
  </si>
  <si>
    <t>DI101</t>
  </si>
  <si>
    <t>SALSA MLPA P 313, 25 reakcí</t>
  </si>
  <si>
    <t>DG585</t>
  </si>
  <si>
    <t>SALSA MLPA P002  BRCA 1 probemix 100R</t>
  </si>
  <si>
    <t>DI123</t>
  </si>
  <si>
    <t>SALSA MLPA P003 - D1 MLH1/MSH2  25 r</t>
  </si>
  <si>
    <t>DI124</t>
  </si>
  <si>
    <t>SALSA MLPA P008 - C1 PMS2  25 r</t>
  </si>
  <si>
    <t>DG295</t>
  </si>
  <si>
    <t>SALSA MLPA P036 Hu Telomere-3 probemix 50rxn</t>
  </si>
  <si>
    <t>DH770</t>
  </si>
  <si>
    <t>SALSA MLPA P051- Parkinson mix 25 tests</t>
  </si>
  <si>
    <t>DI122</t>
  </si>
  <si>
    <t>SALSA MLPA P056 -C1 TP53 probemix 25 r</t>
  </si>
  <si>
    <t>DI125</t>
  </si>
  <si>
    <t>SALSA MLPA P072 - C1 MSH6  25 r</t>
  </si>
  <si>
    <t>DE922</t>
  </si>
  <si>
    <t>SALSA MLPA P077 BRCA2 probemix – 100 rxn, ver.A3</t>
  </si>
  <si>
    <t>DI128</t>
  </si>
  <si>
    <t>SALSA MLPA P087 - BRCA1  25 r</t>
  </si>
  <si>
    <t>DA292</t>
  </si>
  <si>
    <t>SALSA MLPA P245 Microdel.Syndr.-1 probemix 25rxn</t>
  </si>
  <si>
    <t>DG399</t>
  </si>
  <si>
    <t>SALSA MLPA P250 DiGeorge probemix-25R</t>
  </si>
  <si>
    <t>DG607</t>
  </si>
  <si>
    <t>SALSA MLPA P297 Microdel.Syndr.-2 probemix 50rxn</t>
  </si>
  <si>
    <t>DG606</t>
  </si>
  <si>
    <t>SALSA MLPA P311 CHD probemix - 50 reactions</t>
  </si>
  <si>
    <t>DH135</t>
  </si>
  <si>
    <t>SALSA MLPA P339-A1 SHANK3 probemix – 25 rxn</t>
  </si>
  <si>
    <t>DA810</t>
  </si>
  <si>
    <t>SALSA MLPA P343 Autism-1 probemix - 25 reactions</t>
  </si>
  <si>
    <t>DH638</t>
  </si>
  <si>
    <t>SALSA MLPA probemix P060-SMA 50rxn</t>
  </si>
  <si>
    <t>DI121</t>
  </si>
  <si>
    <t>SALSA MLPA probemix P101-B2 STK11 25 r</t>
  </si>
  <si>
    <t>920005</t>
  </si>
  <si>
    <t xml:space="preserve">-SORENS.PUFR PH 6,8 500ML (GEN) </t>
  </si>
  <si>
    <t>803815</t>
  </si>
  <si>
    <t>-SSC pufr 20x, pH=7 250 ml</t>
  </si>
  <si>
    <t>DI062</t>
  </si>
  <si>
    <t>SureFISH 11p12 RAG2 46 kb, červená 5ul</t>
  </si>
  <si>
    <t>920006</t>
  </si>
  <si>
    <t xml:space="preserve">-TRYPS/EDTA V HBSS/M 250ml (GEN) </t>
  </si>
  <si>
    <t>DF133</t>
  </si>
  <si>
    <t>TRYPSIN 1:250 100g</t>
  </si>
  <si>
    <t>DC444</t>
  </si>
  <si>
    <t>Tween 20, 100 ml</t>
  </si>
  <si>
    <t>50115040</t>
  </si>
  <si>
    <t>laboratorní materiál (Z505)</t>
  </si>
  <si>
    <t>ZB070</t>
  </si>
  <si>
    <t>Filtr tips 1000ul (1024) 990352</t>
  </si>
  <si>
    <t>ZL046</t>
  </si>
  <si>
    <t>Microtubes Clear 1.7 ml  bal. á 500 ks BCN1700-BP(7100)</t>
  </si>
  <si>
    <t>ZE908</t>
  </si>
  <si>
    <t>Mikrozkumavka PCR individual Tube Domed Cap 0,2 ml bal. á 1000 ks 4Ti-0790</t>
  </si>
  <si>
    <t>ZC046</t>
  </si>
  <si>
    <t>Miska petri sklo 100 mm (391-2730) KAVAN632492003100</t>
  </si>
  <si>
    <t>ZF245</t>
  </si>
  <si>
    <t>SC Adapter S0101 bal á 100 ks S0120-100</t>
  </si>
  <si>
    <t>ZC831</t>
  </si>
  <si>
    <t>Sklo podložní mat. okraj bal. á 50 ks AA00000112E (2501)</t>
  </si>
  <si>
    <t>ZO833</t>
  </si>
  <si>
    <t>Špička Capp Expellplus 1000ul bez filtru FT bal. á 768 ks 5130140</t>
  </si>
  <si>
    <t>ZI771</t>
  </si>
  <si>
    <t>Špička Capp ExpellPlus 20ul FT bal. 10 x 96 ks 5030062</t>
  </si>
  <si>
    <t>ZB605</t>
  </si>
  <si>
    <t>Špička modrá krátká manžeta 1108</t>
  </si>
  <si>
    <t>ZE719</t>
  </si>
  <si>
    <t>Špička pipetovací 0.5-10ul á 1000 ks BUN001P-BP(3110)</t>
  </si>
  <si>
    <t>ZQ163</t>
  </si>
  <si>
    <t>Špička pipetovací Finntip Flex Filter 1-10 ml Ext. sterilní bal. á 50 ks 9994.0009</t>
  </si>
  <si>
    <t>ZB000</t>
  </si>
  <si>
    <t>Špička s filtrem 1000 ul bal. á 480 ks (96.10298.9.01- končí) 96.11194.9.01</t>
  </si>
  <si>
    <t>ZB788</t>
  </si>
  <si>
    <t>Špička s filtrem 20 ul bal. á 480 ks 96.11190.9.01 (staré.k.č. 96.10296.9.01)</t>
  </si>
  <si>
    <t>ZA793</t>
  </si>
  <si>
    <t>Špička s filtrem 200 ul bal. á 480 ks (96.9263.9.01) 96.11193.9.01</t>
  </si>
  <si>
    <t>ZI560</t>
  </si>
  <si>
    <t>Špička žlutá dlouhá manžeta gilson 1 - 200 ul FLME28063</t>
  </si>
  <si>
    <t>ZC681</t>
  </si>
  <si>
    <t>Zkumavka 0,2 ml PCR ve 12 stripech 10 x 12 stripů AB-1113</t>
  </si>
  <si>
    <t>ZA557</t>
  </si>
  <si>
    <t>Kompresa gáza 10 x 20 cm/5 ks sterilní 26013</t>
  </si>
  <si>
    <t>ZF613</t>
  </si>
  <si>
    <t>Kryozkumavka 4,5 ml bal. á 400 ks 89050</t>
  </si>
  <si>
    <t>ZE836</t>
  </si>
  <si>
    <t>Miska petri plast bal. á 960 ks GAMA400927</t>
  </si>
  <si>
    <t>ZM583</t>
  </si>
  <si>
    <t>Nádoba barvící na 10 sklíček 105 x 85 x 80 mm (631-9328) HECH2480</t>
  </si>
  <si>
    <t>ZF192</t>
  </si>
  <si>
    <t>Nádoba na kontaminovaný odpad 4 l 15-0004</t>
  </si>
  <si>
    <t>ZA813</t>
  </si>
  <si>
    <t>Rotor adapters (10 x 24) elution tubes (1,5 ml) 990394</t>
  </si>
  <si>
    <t>ZH680</t>
  </si>
  <si>
    <t>Stojan kombi čtyři v jednom žlutý R009471.Y</t>
  </si>
  <si>
    <t>ZA789</t>
  </si>
  <si>
    <t>Stříkačka injekční 2-dílná 2 ml L Inject Solo 4606027V</t>
  </si>
  <si>
    <t>ZA790</t>
  </si>
  <si>
    <t>Stříkačka injekční 2-dílná 5 ml L Inject Solo4606051V</t>
  </si>
  <si>
    <t>ZJ278</t>
  </si>
  <si>
    <t>Zkumavka PP 10 ml sterilní bal. á 200 ks FLME21150</t>
  </si>
  <si>
    <t>ZA832</t>
  </si>
  <si>
    <t>Jehla injekční 0,9 x 40 mm žlutá 4657519</t>
  </si>
  <si>
    <t>ZK475</t>
  </si>
  <si>
    <t>Rukavice operační latexové s pudrem ansell, vasco surgical powderet vel. 7 6035526 (303504EU)</t>
  </si>
  <si>
    <t>Spotřeba zdravotnického materiálu - orientační přehled</t>
  </si>
  <si>
    <t>2 VŠ NLZP</t>
  </si>
  <si>
    <t>3 NLZP</t>
  </si>
  <si>
    <t>4 THP</t>
  </si>
  <si>
    <t>(prázdné)</t>
  </si>
  <si>
    <t>1 Celkem</t>
  </si>
  <si>
    <t>2 Celkem</t>
  </si>
  <si>
    <t>3 Celkem</t>
  </si>
  <si>
    <t>4 Celkem</t>
  </si>
  <si>
    <t>ON Data</t>
  </si>
  <si>
    <t>lékaři pod odborným dozorem</t>
  </si>
  <si>
    <t>lékaři specialisté</t>
  </si>
  <si>
    <t>odborní pracovníci v lab. metodách</t>
  </si>
  <si>
    <t>abs. stud. oboru přirodověd. zaměření</t>
  </si>
  <si>
    <t>všeobecné sestry bez dohl.</t>
  </si>
  <si>
    <t>všeobecné sestry bez dohl., spec.</t>
  </si>
  <si>
    <t>všeobecné sestry VŠ</t>
  </si>
  <si>
    <t>zdravotní laboranti</t>
  </si>
  <si>
    <t>sanitáři</t>
  </si>
  <si>
    <t>THP</t>
  </si>
  <si>
    <t>Specializovaná ambulantní péče</t>
  </si>
  <si>
    <t>107 - Pracoviště kardiologie</t>
  </si>
  <si>
    <t>208 - Pracoviště lékařské genetiky</t>
  </si>
  <si>
    <t>816 - Laboratoř lékařské genetiky</t>
  </si>
  <si>
    <t>Zdravotní výkony vykázané na pracovišti v rámci ambulantní péče *</t>
  </si>
  <si>
    <t>beze jména</t>
  </si>
  <si>
    <t>se jménem</t>
  </si>
  <si>
    <t>Ambulantní péče znamená, že pacient v den poskytnutí zdravotní péče není hospitalizován ve FNOL</t>
  </si>
  <si>
    <t>Vyjmenované odbornosti dle §9 jsou tyto: 222,801,802,804,805,807,809,810,812,813,814,815,817,818,819,822,823</t>
  </si>
  <si>
    <t>Petřková Jana</t>
  </si>
  <si>
    <t>Zdravotní výkony vykázané na pracovišti v rámci ambulantní péče dle lékařů *</t>
  </si>
  <si>
    <t>06</t>
  </si>
  <si>
    <t>107</t>
  </si>
  <si>
    <t>V</t>
  </si>
  <si>
    <t>09511</t>
  </si>
  <si>
    <t xml:space="preserve">MINIMÁLNÍ KONTAKT LÉKAŘE S PACIENTEM              </t>
  </si>
  <si>
    <t>09513</t>
  </si>
  <si>
    <t>TELEFONICKÁ KONZULTACE OŠETŘUJÍCÍHO LÉKAŘE PACIENT</t>
  </si>
  <si>
    <t>208</t>
  </si>
  <si>
    <t>09117</t>
  </si>
  <si>
    <t xml:space="preserve">ODBĚR KRVE ZE ŽÍLY U DÍTĚTĚ DO 10 LET             </t>
  </si>
  <si>
    <t>28021</t>
  </si>
  <si>
    <t>KLINICKO GENETICKÉ VYŠETŘENÍ KOMPLEXNÍ NAPLNĚNÉ ST</t>
  </si>
  <si>
    <t>28105</t>
  </si>
  <si>
    <t>GENETICKÉ HODNOCENÍ RIZIKA VROZENÝCH CHROMOSOMÁLNÍ</t>
  </si>
  <si>
    <t>28023</t>
  </si>
  <si>
    <t xml:space="preserve">KLINICKOGENETICKÉ VYŠETŘENÍ KONTROLNÍ             </t>
  </si>
  <si>
    <t>09543</t>
  </si>
  <si>
    <t xml:space="preserve">Signalni kod                                      </t>
  </si>
  <si>
    <t>28022</t>
  </si>
  <si>
    <t>CÍLENÉ KLINICKOGENETICKÉ VYŠETŘENÍ PŘI DOSUD NEUZA</t>
  </si>
  <si>
    <t>09555</t>
  </si>
  <si>
    <t xml:space="preserve">OŠETŘENÍ DÍTĚTE DO 6 LET                          </t>
  </si>
  <si>
    <t>09119</t>
  </si>
  <si>
    <t xml:space="preserve">ODBĚR KRVE ZE ŽÍLY U DOSPĚLÉHO NEBO DÍTĚTE NAD 10 </t>
  </si>
  <si>
    <t>09115</t>
  </si>
  <si>
    <t>ODBĚR BIOLOGICKÉHO MATERIÁLU JINÉHO NEŽ KREV NA KV</t>
  </si>
  <si>
    <t>09</t>
  </si>
  <si>
    <t>816</t>
  </si>
  <si>
    <t>94161</t>
  </si>
  <si>
    <t>VYŠETŘENÍ CHROMOZOMŮ Z CHORIOVÉ TKÁNĚ DLOUHODOBĚ K</t>
  </si>
  <si>
    <t>94181</t>
  </si>
  <si>
    <t xml:space="preserve">ZHOTOVENÍ KARYOTYPU Z JEDNÉ MITÓZY                </t>
  </si>
  <si>
    <t>94119</t>
  </si>
  <si>
    <t xml:space="preserve">IZOLACE A UCHOVÁNÍ LIDSKÉ DNA (RNA)               </t>
  </si>
  <si>
    <t>94115</t>
  </si>
  <si>
    <t xml:space="preserve">IN SITU HYBRIDIZACE LIDSKÉ DNA SE ZNAČENOU SONDOU </t>
  </si>
  <si>
    <t>94193</t>
  </si>
  <si>
    <t xml:space="preserve">ELEKTROFORÉZA NUKLEOVÝCH KYSELIN                  </t>
  </si>
  <si>
    <t>94199</t>
  </si>
  <si>
    <t xml:space="preserve">AMPLIFIKACE METODOU PCR                           </t>
  </si>
  <si>
    <t>94123</t>
  </si>
  <si>
    <t xml:space="preserve">PCR ANALÝZA LIDSKÉ DNA                            </t>
  </si>
  <si>
    <t>94113</t>
  </si>
  <si>
    <t>SEPARACE MATEŘSKÉ A PLODOVÉ TKÁNĚ PRO CHORIOVÉ BIO</t>
  </si>
  <si>
    <t>94165</t>
  </si>
  <si>
    <t xml:space="preserve">G PRUHOVÁNÍ CHROMOZOMŮ                            </t>
  </si>
  <si>
    <t>94129</t>
  </si>
  <si>
    <t xml:space="preserve">RUTINNÍ VYŠETŘENÍ CHROMOZOMU Z PERIFERNÍ KRVE     </t>
  </si>
  <si>
    <t>94135</t>
  </si>
  <si>
    <t xml:space="preserve">ZHODNOCENÍ ZÍSKANÝCH ABERACÍ V PERIFERNÍ KRVI     </t>
  </si>
  <si>
    <t>94153</t>
  </si>
  <si>
    <t xml:space="preserve">VYŠETŘENÍ CHROMOZOMŮ Z PLODOVÉ VODY               </t>
  </si>
  <si>
    <t>94163</t>
  </si>
  <si>
    <t>VYŠETŘENÍ CHROMOZOMŮ Z TKÁNÍ DLOUHODOBĚ KULTIVOVAN</t>
  </si>
  <si>
    <t>94175</t>
  </si>
  <si>
    <t xml:space="preserve">HODNOCENÍ DALŠÍCH MITÓZ                           </t>
  </si>
  <si>
    <t>94173</t>
  </si>
  <si>
    <t xml:space="preserve">C PRUHOVÁNÍ CHROMOZOMŮ                            </t>
  </si>
  <si>
    <t>94295</t>
  </si>
  <si>
    <t>94976</t>
  </si>
  <si>
    <t>94296</t>
  </si>
  <si>
    <t>94977</t>
  </si>
  <si>
    <t>94235</t>
  </si>
  <si>
    <t>IZOLACE NUKLEOVÝCH KYSELIN (DNA, RNA) Z MALÉHO MNO</t>
  </si>
  <si>
    <t>94345</t>
  </si>
  <si>
    <t>CÍLENÉ STANOVENÍ PRIVÁTNÍ MUTACE LIDSKÉHO GERMINÁL</t>
  </si>
  <si>
    <t>94225</t>
  </si>
  <si>
    <t>IZOLACE A BANKING LIDSKÝCH NUKLEOVÝCH KYSELIN (DNA</t>
  </si>
  <si>
    <t>94331</t>
  </si>
  <si>
    <t xml:space="preserve">ANALÝZA LIDSKÉHO GERMINÁLNÍHO GENOMU METODOU MLPA </t>
  </si>
  <si>
    <t>94237</t>
  </si>
  <si>
    <t xml:space="preserve">FRAGMENTAČNÍ ANALÝZA LIDSKÉHO GERMINÁLNÍHO GENOMU </t>
  </si>
  <si>
    <t>94221</t>
  </si>
  <si>
    <t xml:space="preserve">PŘÍMÁ SEKVENACE DNA LIDSKÉHO GERMINÁLNÍHO GENOMU  </t>
  </si>
  <si>
    <t>94363</t>
  </si>
  <si>
    <t>CÍLENÁ ANALÝZA LIDSKÉHO GERMINÁLNÍHO GENOMU TECHNO</t>
  </si>
  <si>
    <t>94335</t>
  </si>
  <si>
    <t>ANALÝZA LIDSKÉHO GERMINÁLNÍHO GENOMU METODOU KVANT</t>
  </si>
  <si>
    <t>94972</t>
  </si>
  <si>
    <t>(VZP) SY. FRAGILNÍHO X (FRAXA) - STANOVENÍ ROZSAHU</t>
  </si>
  <si>
    <t>94950</t>
  </si>
  <si>
    <t xml:space="preserve">(VZP) CYSTICKÁ FIBRÓZA                            </t>
  </si>
  <si>
    <t>94967</t>
  </si>
  <si>
    <t>(VZP) ANEUPLOIDIE CHROMOZOMŮ 13,18,21, X A Y METOD</t>
  </si>
  <si>
    <t>94948</t>
  </si>
  <si>
    <t xml:space="preserve">(VZP) SIGNÁLNÍ VÝKON - DOVYŠETŘENÍ PACIENTA       </t>
  </si>
  <si>
    <t>94970</t>
  </si>
  <si>
    <t xml:space="preserve">(VZP) SPINÁLNÍ SVALOVÁ ATROFIE                    </t>
  </si>
  <si>
    <t>94996</t>
  </si>
  <si>
    <t xml:space="preserve">(VZP) NESPECIFICKÝ ORPHA                          </t>
  </si>
  <si>
    <t>94125</t>
  </si>
  <si>
    <t>MEMBRÁNOVÁ HYBRIDIZACE LIDSKÉ DNA SE ZNAČENOU SOND</t>
  </si>
  <si>
    <t>94982</t>
  </si>
  <si>
    <t>(VZP) KOMPLEXNÍ MOLEKULÁRNÍ ANALÝZA 1 (NGS MENŠÍ R</t>
  </si>
  <si>
    <t>94952</t>
  </si>
  <si>
    <t>(VZP) DELECE AZF OBLASTI NA CHROMOZOMU Y (STERILIT</t>
  </si>
  <si>
    <t>94968</t>
  </si>
  <si>
    <t xml:space="preserve">(VZP) HLUCHOTA (NESYNDROMÁLNÍ) - DFNB1            </t>
  </si>
  <si>
    <t>94981</t>
  </si>
  <si>
    <t xml:space="preserve">(VZP) HEREDITÁRNÍ NÁDOROVÉ SYNDROMY               </t>
  </si>
  <si>
    <t>Zdravotní výkony + ZUM + ZULP vykázané na pracovišti v rámci ambulantní péče - orientační přehled</t>
  </si>
  <si>
    <t>Zdravotní výkony + ZUM + ZULP vykázané na pracovišti v rámci ambulantní péče - orientační přehled dle lékařů</t>
  </si>
  <si>
    <t>06 - Neurochirurgická klinika</t>
  </si>
  <si>
    <t>08 - Porodnicko-gynekologická klinika</t>
  </si>
  <si>
    <t>09 - Novorozenecké oddělení</t>
  </si>
  <si>
    <t>10 - Dětská klinika</t>
  </si>
  <si>
    <t>17 - Neurologická klinika</t>
  </si>
  <si>
    <t>18 - Klinika psychiatrie</t>
  </si>
  <si>
    <t>21 - Onkologická klinika</t>
  </si>
  <si>
    <t>26 - Oddělení rehabilitace</t>
  </si>
  <si>
    <t>08</t>
  </si>
  <si>
    <t>10</t>
  </si>
  <si>
    <t>94211</t>
  </si>
  <si>
    <t>DLOUHODOBÁ KULTIVACE BUNĚK RŮZNÝCH TKÁNÍ Z PRENATÁ</t>
  </si>
  <si>
    <t>17</t>
  </si>
  <si>
    <t>18</t>
  </si>
  <si>
    <t>21</t>
  </si>
  <si>
    <t>26</t>
  </si>
  <si>
    <t>Zdravotní výkony vykázané na pracovišti pro pacienty hospitalizované ve FNOL - orientační přehled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</si>
</sst>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3">
    <numFmt numFmtId="44" formatCode="_(&quot;Kč&quot;* #,##0.00_);_(&quot;Kč&quot;* \(#,##0.00\);_(&quot;Kč&quot;* &quot;-&quot;??_);_(@_)"/>
    <numFmt numFmtId="164" formatCode="#\ ###\ ###\ ##0"/>
    <numFmt numFmtId="165" formatCode="#\ ###\ ##0.0"/>
    <numFmt numFmtId="166" formatCode="#,##0.0"/>
    <numFmt numFmtId="168" formatCode="0.0"/>
    <numFmt numFmtId="169" formatCode="#,##0,"/>
    <numFmt numFmtId="171" formatCode="0.000"/>
    <numFmt numFmtId="172" formatCode="#.##0"/>
    <numFmt numFmtId="173" formatCode="#,##0;\-#,##0;"/>
    <numFmt numFmtId="174" formatCode="General;\-General;"/>
    <numFmt numFmtId="175" formatCode="#,##0%;\-#,##0%;"/>
    <numFmt numFmtId="176" formatCode="#,##0.0;\-#,##0.0;"/>
    <numFmt numFmtId="177" formatCode="#,##0%"/>
  </numFmts>
  <fonts count="63" x14ac:knownFonts="1">
    <font>
      <sz val="11"/>
      <color theme="1"/>
      <name val="Calibri"/>
      <family val="2"/>
      <charset val="238"/>
      <scheme val="minor"/>
    </font>
    <font>
      <sz val="11"/>
      <color indexed="8"/>
      <name val="Calibri"/>
      <family val="2"/>
      <charset val="238"/>
    </font>
    <font>
      <sz val="14"/>
      <color indexed="8"/>
      <name val="Calibri"/>
      <family val="2"/>
      <charset val="238"/>
    </font>
    <font>
      <b/>
      <sz val="10"/>
      <name val="Calibri"/>
      <family val="2"/>
      <charset val="238"/>
    </font>
    <font>
      <sz val="10"/>
      <name val="Arial"/>
      <family val="2"/>
      <charset val="238"/>
    </font>
    <font>
      <sz val="10"/>
      <name val="Calibri"/>
      <family val="2"/>
      <charset val="238"/>
    </font>
    <font>
      <sz val="14"/>
      <name val="Calibri"/>
      <family val="2"/>
      <charset val="238"/>
    </font>
    <font>
      <sz val="10"/>
      <color indexed="8"/>
      <name val="Calibri"/>
      <family val="2"/>
      <charset val="238"/>
    </font>
    <font>
      <sz val="10"/>
      <color indexed="8"/>
      <name val="Tahoma"/>
      <family val="2"/>
    </font>
    <font>
      <b/>
      <u/>
      <sz val="10"/>
      <color indexed="63"/>
      <name val="Calibri"/>
      <family val="2"/>
      <charset val="238"/>
    </font>
    <font>
      <sz val="11"/>
      <color indexed="8"/>
      <name val="Calibri"/>
      <family val="2"/>
    </font>
    <font>
      <sz val="10"/>
      <name val="Arial CE"/>
      <charset val="238"/>
    </font>
    <font>
      <sz val="10"/>
      <name val="Arial"/>
      <family val="2"/>
      <charset val="238"/>
    </font>
    <font>
      <sz val="10"/>
      <name val="Arial CE"/>
    </font>
    <font>
      <sz val="10"/>
      <name val="Arial"/>
      <family val="2"/>
      <charset val="238"/>
    </font>
    <font>
      <sz val="10"/>
      <name val="Arial"/>
      <family val="2"/>
      <charset val="238"/>
    </font>
    <font>
      <sz val="10"/>
      <name val="Arial"/>
      <family val="2"/>
      <charset val="238"/>
    </font>
    <font>
      <sz val="10"/>
      <name val="Arial"/>
      <family val="2"/>
      <charset val="238"/>
    </font>
    <font>
      <sz val="10"/>
      <name val="Arial"/>
      <family val="2"/>
      <charset val="238"/>
    </font>
    <font>
      <sz val="10"/>
      <name val="Arial"/>
      <family val="2"/>
      <charset val="238"/>
    </font>
    <font>
      <sz val="10"/>
      <name val="Arial"/>
      <family val="2"/>
      <charset val="238"/>
    </font>
    <font>
      <sz val="10"/>
      <name val="Arial"/>
      <family val="2"/>
      <charset val="238"/>
    </font>
    <font>
      <sz val="10"/>
      <name val="Arial"/>
      <family val="2"/>
      <charset val="238"/>
    </font>
    <font>
      <sz val="10"/>
      <name val="Arial"/>
      <family val="2"/>
      <charset val="238"/>
    </font>
    <font>
      <sz val="10"/>
      <name val="Arial"/>
      <family val="2"/>
      <charset val="238"/>
    </font>
    <font>
      <sz val="11"/>
      <color theme="1"/>
      <name val="Calibri"/>
      <family val="2"/>
      <charset val="238"/>
      <scheme val="minor"/>
    </font>
    <font>
      <u/>
      <sz val="11"/>
      <color theme="10"/>
      <name val="Calibri"/>
      <family val="2"/>
      <charset val="238"/>
      <scheme val="minor"/>
    </font>
    <font>
      <sz val="11"/>
      <color theme="1"/>
      <name val="Calibri"/>
      <family val="2"/>
      <scheme val="minor"/>
    </font>
    <font>
      <sz val="10"/>
      <color indexed="8"/>
      <name val="Calibri"/>
      <family val="2"/>
      <charset val="238"/>
      <scheme val="minor"/>
    </font>
    <font>
      <b/>
      <sz val="10"/>
      <color indexed="8"/>
      <name val="Calibri"/>
      <family val="2"/>
      <charset val="238"/>
      <scheme val="minor"/>
    </font>
    <font>
      <sz val="10"/>
      <name val="Calibri"/>
      <family val="2"/>
      <charset val="238"/>
      <scheme val="minor"/>
    </font>
    <font>
      <b/>
      <sz val="10"/>
      <color theme="0"/>
      <name val="Calibri"/>
      <family val="2"/>
      <charset val="238"/>
      <scheme val="minor"/>
    </font>
    <font>
      <b/>
      <sz val="10"/>
      <name val="Calibri"/>
      <family val="2"/>
      <charset val="238"/>
      <scheme val="minor"/>
    </font>
    <font>
      <sz val="10"/>
      <color theme="1"/>
      <name val="Calibri"/>
      <family val="2"/>
      <charset val="238"/>
      <scheme val="minor"/>
    </font>
    <font>
      <sz val="10"/>
      <color rgb="FF454545"/>
      <name val="Calibri"/>
      <family val="2"/>
      <charset val="238"/>
    </font>
    <font>
      <sz val="10"/>
      <color rgb="FF222222"/>
      <name val="Calibri"/>
      <family val="2"/>
      <charset val="238"/>
    </font>
    <font>
      <b/>
      <sz val="10"/>
      <color rgb="FF454545"/>
      <name val="Calibri"/>
      <family val="2"/>
      <charset val="238"/>
    </font>
    <font>
      <b/>
      <sz val="10"/>
      <color rgb="FF222222"/>
      <name val="Calibri"/>
      <family val="2"/>
      <charset val="238"/>
    </font>
    <font>
      <sz val="10"/>
      <color rgb="FF333333"/>
      <name val="Calibri"/>
      <family val="2"/>
      <charset val="238"/>
    </font>
    <font>
      <b/>
      <sz val="10"/>
      <color rgb="FF333333"/>
      <name val="Calibri"/>
      <family val="2"/>
      <charset val="238"/>
    </font>
    <font>
      <b/>
      <sz val="10"/>
      <color theme="1"/>
      <name val="Calibri"/>
      <family val="2"/>
      <charset val="238"/>
      <scheme val="minor"/>
    </font>
    <font>
      <sz val="9"/>
      <color theme="1"/>
      <name val="Calibri"/>
      <family val="2"/>
      <charset val="238"/>
      <scheme val="minor"/>
    </font>
    <font>
      <sz val="10"/>
      <color theme="0"/>
      <name val="Calibri"/>
      <family val="2"/>
      <charset val="238"/>
      <scheme val="minor"/>
    </font>
    <font>
      <sz val="14"/>
      <color theme="1"/>
      <name val="Calibri"/>
      <family val="2"/>
      <charset val="238"/>
      <scheme val="minor"/>
    </font>
    <font>
      <sz val="14"/>
      <color indexed="8"/>
      <name val="Calibri"/>
      <family val="2"/>
      <charset val="238"/>
      <scheme val="minor"/>
    </font>
    <font>
      <b/>
      <sz val="10"/>
      <color indexed="63"/>
      <name val="Calibri"/>
      <family val="2"/>
      <charset val="238"/>
      <scheme val="minor"/>
    </font>
    <font>
      <sz val="9"/>
      <name val="Calibri"/>
      <family val="2"/>
      <charset val="238"/>
      <scheme val="minor"/>
    </font>
    <font>
      <u/>
      <sz val="10"/>
      <color theme="10"/>
      <name val="Calibri"/>
      <family val="2"/>
      <charset val="238"/>
      <scheme val="minor"/>
    </font>
    <font>
      <b/>
      <i/>
      <sz val="10"/>
      <name val="Calibri"/>
      <family val="2"/>
      <charset val="238"/>
      <scheme val="minor"/>
    </font>
    <font>
      <i/>
      <sz val="10"/>
      <name val="Calibri"/>
      <family val="2"/>
      <charset val="238"/>
      <scheme val="minor"/>
    </font>
    <font>
      <i/>
      <sz val="10"/>
      <color theme="1"/>
      <name val="Calibri"/>
      <family val="2"/>
      <charset val="238"/>
    </font>
    <font>
      <b/>
      <u/>
      <sz val="10"/>
      <color theme="10"/>
      <name val="Calibri"/>
      <family val="2"/>
      <charset val="238"/>
      <scheme val="minor"/>
    </font>
    <font>
      <b/>
      <u/>
      <sz val="10"/>
      <color indexed="63"/>
      <name val="Arial"/>
      <family val="2"/>
    </font>
    <font>
      <b/>
      <sz val="10"/>
      <name val="Arial CE"/>
      <charset val="238"/>
    </font>
    <font>
      <b/>
      <sz val="11"/>
      <color theme="0"/>
      <name val="Calibri"/>
      <family val="2"/>
      <charset val="238"/>
      <scheme val="minor"/>
    </font>
    <font>
      <u/>
      <sz val="9"/>
      <color theme="10"/>
      <name val="Calibri"/>
      <family val="2"/>
      <charset val="238"/>
      <scheme val="minor"/>
    </font>
    <font>
      <b/>
      <sz val="9"/>
      <color theme="1"/>
      <name val="Calibri"/>
      <family val="2"/>
      <charset val="238"/>
      <scheme val="minor"/>
    </font>
    <font>
      <b/>
      <sz val="9"/>
      <color indexed="81"/>
      <name val="Tahoma"/>
      <family val="2"/>
      <charset val="238"/>
    </font>
    <font>
      <i/>
      <sz val="10"/>
      <color rgb="FF000000"/>
      <name val="Calibri"/>
      <family val="2"/>
      <charset val="238"/>
    </font>
    <font>
      <i/>
      <sz val="11"/>
      <color theme="1"/>
      <name val="Calibri"/>
      <family val="2"/>
      <charset val="238"/>
      <scheme val="minor"/>
    </font>
    <font>
      <b/>
      <sz val="11"/>
      <color theme="1"/>
      <name val="Calibri"/>
      <family val="2"/>
      <charset val="238"/>
      <scheme val="minor"/>
    </font>
    <font>
      <i/>
      <sz val="10"/>
      <color theme="1"/>
      <name val="Calibri"/>
      <family val="2"/>
      <charset val="238"/>
      <scheme val="minor"/>
    </font>
    <font>
      <b/>
      <i/>
      <sz val="10"/>
      <color theme="1"/>
      <name val="Calibri"/>
      <family val="2"/>
      <charset val="238"/>
      <scheme val="minor"/>
    </font>
  </fonts>
  <fills count="12">
    <fill>
      <patternFill patternType="none"/>
    </fill>
    <fill>
      <patternFill patternType="gray125"/>
    </fill>
    <fill>
      <patternFill patternType="solid">
        <fgColor theme="3" tint="0.79998168889431442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5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theme="4" tint="0.79998168889431442"/>
        <bgColor theme="4" tint="0.79998168889431442"/>
      </patternFill>
    </fill>
    <fill>
      <patternFill patternType="solid">
        <fgColor theme="4"/>
        <bgColor theme="4"/>
      </patternFill>
    </fill>
    <fill>
      <patternFill patternType="solid">
        <fgColor rgb="FFE0EBF8"/>
        <bgColor indexed="64"/>
      </patternFill>
    </fill>
    <fill>
      <patternFill patternType="solid">
        <fgColor rgb="FFFFFFFF"/>
      </patternFill>
    </fill>
    <fill>
      <patternFill patternType="solid">
        <fgColor theme="3" tint="0.79995117038483843"/>
        <bgColor indexed="64"/>
      </patternFill>
    </fill>
  </fills>
  <borders count="149">
    <border>
      <left/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8"/>
      </left>
      <right/>
      <top/>
      <bottom/>
      <diagonal/>
    </border>
    <border>
      <left style="thin">
        <color indexed="8"/>
      </left>
      <right/>
      <top/>
      <bottom style="thin">
        <color indexed="8"/>
      </bottom>
      <diagonal/>
    </border>
    <border>
      <left/>
      <right/>
      <top/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medium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medium">
        <color indexed="8"/>
      </top>
      <bottom style="thin">
        <color indexed="8"/>
      </bottom>
      <diagonal/>
    </border>
    <border>
      <left style="thin">
        <color indexed="8"/>
      </left>
      <right style="medium">
        <color indexed="8"/>
      </right>
      <top style="medium">
        <color indexed="8"/>
      </top>
      <bottom style="thin">
        <color indexed="8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8"/>
      </left>
      <right style="thin">
        <color indexed="8"/>
      </right>
      <top style="medium">
        <color indexed="8"/>
      </top>
      <bottom style="medium">
        <color indexed="8"/>
      </bottom>
      <diagonal/>
    </border>
    <border>
      <left style="thin">
        <color indexed="8"/>
      </left>
      <right style="thin">
        <color indexed="8"/>
      </right>
      <top style="medium">
        <color indexed="8"/>
      </top>
      <bottom style="medium">
        <color indexed="8"/>
      </bottom>
      <diagonal/>
    </border>
    <border>
      <left style="thin">
        <color indexed="8"/>
      </left>
      <right style="medium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medium">
        <color theme="1"/>
      </left>
      <right style="medium">
        <color theme="1"/>
      </right>
      <top style="medium">
        <color theme="1"/>
      </top>
      <bottom style="medium">
        <color indexed="64"/>
      </bottom>
      <diagonal/>
    </border>
    <border>
      <left/>
      <right style="thin">
        <color indexed="23"/>
      </right>
      <top style="medium">
        <color theme="1"/>
      </top>
      <bottom style="medium">
        <color indexed="64"/>
      </bottom>
      <diagonal/>
    </border>
    <border>
      <left style="thin">
        <color indexed="23"/>
      </left>
      <right style="thin">
        <color indexed="23"/>
      </right>
      <top style="medium">
        <color theme="1"/>
      </top>
      <bottom style="medium">
        <color indexed="64"/>
      </bottom>
      <diagonal/>
    </border>
    <border>
      <left style="thin">
        <color indexed="23"/>
      </left>
      <right style="medium">
        <color theme="1"/>
      </right>
      <top style="medium">
        <color theme="1"/>
      </top>
      <bottom style="medium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 style="thin">
        <color theme="4" tint="0.39997558519241921"/>
      </left>
      <right/>
      <top style="thin">
        <color theme="4" tint="0.39997558519241921"/>
      </top>
      <bottom style="thin">
        <color theme="4" tint="0.39997558519241921"/>
      </bottom>
      <diagonal/>
    </border>
    <border>
      <left style="medium">
        <color auto="1"/>
      </left>
      <right style="medium">
        <color auto="1"/>
      </right>
      <top style="medium">
        <color auto="1"/>
      </top>
      <bottom/>
      <diagonal/>
    </border>
    <border>
      <left/>
      <right style="medium">
        <color auto="1"/>
      </right>
      <top style="medium">
        <color auto="1"/>
      </top>
      <bottom/>
      <diagonal/>
    </border>
    <border>
      <left style="medium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/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medium">
        <color auto="1"/>
      </right>
      <top style="thin">
        <color auto="1"/>
      </top>
      <bottom/>
      <diagonal/>
    </border>
    <border>
      <left/>
      <right style="medium">
        <color auto="1"/>
      </right>
      <top style="thin">
        <color auto="1"/>
      </top>
      <bottom style="medium">
        <color auto="1"/>
      </bottom>
      <diagonal/>
    </border>
    <border>
      <left/>
      <right style="thin">
        <color auto="1"/>
      </right>
      <top style="thin">
        <color auto="1"/>
      </top>
      <bottom style="medium">
        <color auto="1"/>
      </bottom>
      <diagonal/>
    </border>
    <border>
      <left/>
      <right style="medium">
        <color auto="1"/>
      </right>
      <top/>
      <bottom style="thin">
        <color auto="1"/>
      </bottom>
      <diagonal/>
    </border>
    <border>
      <left/>
      <right/>
      <top style="medium">
        <color auto="1"/>
      </top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medium">
        <color auto="1"/>
      </top>
      <bottom style="thin">
        <color auto="1"/>
      </bottom>
      <diagonal/>
    </border>
    <border>
      <left style="medium">
        <color auto="1"/>
      </left>
      <right/>
      <top style="thin">
        <color auto="1"/>
      </top>
      <bottom style="medium">
        <color auto="1"/>
      </bottom>
      <diagonal/>
    </border>
    <border>
      <left style="medium">
        <color auto="1"/>
      </left>
      <right/>
      <top style="medium">
        <color auto="1"/>
      </top>
      <bottom style="thin">
        <color auto="1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/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medium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 style="medium">
        <color auto="1"/>
      </right>
      <top style="medium">
        <color auto="1"/>
      </top>
      <bottom/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/>
      <top/>
      <bottom/>
      <diagonal/>
    </border>
    <border>
      <left style="thin">
        <color auto="1"/>
      </left>
      <right/>
      <top style="thin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/>
      <bottom style="thin">
        <color auto="1"/>
      </bottom>
      <diagonal/>
    </border>
    <border>
      <left style="medium">
        <color auto="1"/>
      </left>
      <right/>
      <top/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 style="medium">
        <color auto="1"/>
      </left>
      <right/>
      <top style="thin">
        <color auto="1"/>
      </top>
      <bottom style="thin">
        <color auto="1"/>
      </bottom>
      <diagonal/>
    </border>
    <border>
      <left/>
      <right style="thin">
        <color theme="4" tint="0.39997558519241921"/>
      </right>
      <top style="thin">
        <color theme="4" tint="0.39997558519241921"/>
      </top>
      <bottom style="thin">
        <color theme="4" tint="0.39997558519241921"/>
      </bottom>
      <diagonal/>
    </border>
    <border>
      <left/>
      <right style="thin">
        <color theme="4" tint="0.39997558519241921"/>
      </right>
      <top style="thin">
        <color theme="4" tint="0.39997558519241921"/>
      </top>
      <bottom/>
      <diagonal/>
    </border>
    <border>
      <left style="thin">
        <color theme="4" tint="0.39997558519241921"/>
      </left>
      <right/>
      <top style="thin">
        <color theme="4" tint="0.39997558519241921"/>
      </top>
      <bottom/>
      <diagonal/>
    </border>
    <border>
      <left style="medium">
        <color auto="1"/>
      </left>
      <right style="medium">
        <color auto="1"/>
      </right>
      <top style="medium">
        <color rgb="FFC0C0C0"/>
      </top>
      <bottom style="medium">
        <color rgb="FFC0C0C0"/>
      </bottom>
      <diagonal/>
    </border>
    <border>
      <left style="medium">
        <color rgb="FFEFEFEF"/>
      </left>
      <right style="medium">
        <color rgb="FFEFEFEF"/>
      </right>
      <top style="medium">
        <color rgb="FFEFEFEF"/>
      </top>
      <bottom style="medium">
        <color rgb="FFEFEFEF"/>
      </bottom>
      <diagonal/>
    </border>
    <border>
      <left style="medium">
        <color rgb="FFE2E2E2"/>
      </left>
      <right style="medium">
        <color rgb="FFE2E2E2"/>
      </right>
      <top style="medium">
        <color rgb="FFE2E2E2"/>
      </top>
      <bottom style="medium">
        <color rgb="FFE2E2E2"/>
      </bottom>
      <diagonal/>
    </border>
    <border>
      <left style="medium">
        <color rgb="FFE2E2E2"/>
      </left>
      <right style="medium">
        <color auto="1"/>
      </right>
      <top style="medium">
        <color rgb="FFE2E2E2"/>
      </top>
      <bottom style="medium">
        <color rgb="FFE2E2E2"/>
      </bottom>
      <diagonal/>
    </border>
    <border>
      <left style="medium">
        <color rgb="FFEFEFEF"/>
      </left>
      <right style="medium">
        <color auto="1"/>
      </right>
      <top style="medium">
        <color rgb="FFEFEFEF"/>
      </top>
      <bottom style="medium">
        <color rgb="FFEFEFEF"/>
      </bottom>
      <diagonal/>
    </border>
    <border>
      <left style="medium">
        <color auto="1"/>
      </left>
      <right style="medium">
        <color auto="1"/>
      </right>
      <top style="medium">
        <color auto="1"/>
      </top>
      <bottom style="medium">
        <color rgb="FFC0C0C0"/>
      </bottom>
      <diagonal/>
    </border>
    <border>
      <left style="medium">
        <color rgb="FFEFEFEF"/>
      </left>
      <right style="medium">
        <color rgb="FFEFEFEF"/>
      </right>
      <top style="medium">
        <color auto="1"/>
      </top>
      <bottom style="medium">
        <color rgb="FFEFEFEF"/>
      </bottom>
      <diagonal/>
    </border>
    <border>
      <left style="medium">
        <color rgb="FFE2E2E2"/>
      </left>
      <right style="medium">
        <color rgb="FFE2E2E2"/>
      </right>
      <top style="medium">
        <color auto="1"/>
      </top>
      <bottom style="medium">
        <color rgb="FFE2E2E2"/>
      </bottom>
      <diagonal/>
    </border>
    <border>
      <left style="medium">
        <color rgb="FFE2E2E2"/>
      </left>
      <right style="medium">
        <color auto="1"/>
      </right>
      <top style="medium">
        <color auto="1"/>
      </top>
      <bottom style="medium">
        <color rgb="FFE2E2E2"/>
      </bottom>
      <diagonal/>
    </border>
    <border>
      <left style="medium">
        <color rgb="FFEFEFEF"/>
      </left>
      <right style="medium">
        <color auto="1"/>
      </right>
      <top style="medium">
        <color auto="1"/>
      </top>
      <bottom style="medium">
        <color rgb="FFEFEFEF"/>
      </bottom>
      <diagonal/>
    </border>
    <border>
      <left style="medium">
        <color rgb="FFEFEFEF"/>
      </left>
      <right style="medium">
        <color rgb="FFEFEFEF"/>
      </right>
      <top style="medium">
        <color auto="1"/>
      </top>
      <bottom style="medium">
        <color auto="1"/>
      </bottom>
      <diagonal/>
    </border>
    <border>
      <left style="medium">
        <color rgb="FFE2E2E2"/>
      </left>
      <right style="medium">
        <color rgb="FFE2E2E2"/>
      </right>
      <top style="medium">
        <color auto="1"/>
      </top>
      <bottom style="medium">
        <color auto="1"/>
      </bottom>
      <diagonal/>
    </border>
    <border>
      <left style="medium">
        <color rgb="FFE2E2E2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rgb="FFEFEFEF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/>
      <right style="thin">
        <color auto="1"/>
      </right>
      <top style="thin">
        <color auto="1"/>
      </top>
      <bottom/>
      <diagonal/>
    </border>
    <border>
      <left/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/>
      <top style="medium">
        <color auto="1"/>
      </top>
      <bottom style="thin">
        <color auto="1"/>
      </bottom>
      <diagonal/>
    </border>
    <border>
      <left style="medium">
        <color indexed="8"/>
      </left>
      <right style="thin">
        <color indexed="8"/>
      </right>
      <top style="medium">
        <color indexed="8"/>
      </top>
      <bottom/>
      <diagonal/>
    </border>
    <border>
      <left style="thin">
        <color indexed="8"/>
      </left>
      <right style="thin">
        <color indexed="8"/>
      </right>
      <top style="medium">
        <color indexed="8"/>
      </top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/>
      <diagonal/>
    </border>
    <border>
      <left style="thin">
        <color indexed="8"/>
      </left>
      <right style="medium">
        <color indexed="8"/>
      </right>
      <top style="thin">
        <color indexed="8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98">
    <xf numFmtId="0" fontId="0" fillId="0" borderId="0"/>
    <xf numFmtId="0" fontId="26" fillId="0" borderId="0" applyNumberFormat="0" applyFill="0" applyBorder="0" applyAlignment="0" applyProtection="0"/>
    <xf numFmtId="44" fontId="21" fillId="0" borderId="0" applyFont="0" applyFill="0" applyBorder="0" applyAlignment="0" applyProtection="0"/>
    <xf numFmtId="44" fontId="22" fillId="0" borderId="0" applyFont="0" applyFill="0" applyBorder="0" applyAlignment="0" applyProtection="0"/>
    <xf numFmtId="44" fontId="23" fillId="0" borderId="0" applyFont="0" applyFill="0" applyBorder="0" applyAlignment="0" applyProtection="0"/>
    <xf numFmtId="44" fontId="2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6" fillId="0" borderId="0" applyFont="0" applyFill="0" applyBorder="0" applyAlignment="0" applyProtection="0"/>
    <xf numFmtId="44" fontId="17" fillId="0" borderId="0" applyFont="0" applyFill="0" applyBorder="0" applyAlignment="0" applyProtection="0"/>
    <xf numFmtId="44" fontId="18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20" fillId="0" borderId="0" applyFont="0" applyFill="0" applyBorder="0" applyAlignment="0" applyProtection="0"/>
    <xf numFmtId="0" fontId="25" fillId="0" borderId="0"/>
    <xf numFmtId="0" fontId="14" fillId="0" borderId="0"/>
    <xf numFmtId="0" fontId="15" fillId="0" borderId="0"/>
    <xf numFmtId="0" fontId="16" fillId="0" borderId="0"/>
    <xf numFmtId="0" fontId="17" fillId="0" borderId="0"/>
    <xf numFmtId="0" fontId="18" fillId="0" borderId="0"/>
    <xf numFmtId="0" fontId="19" fillId="0" borderId="0"/>
    <xf numFmtId="0" fontId="20" fillId="0" borderId="0"/>
    <xf numFmtId="0" fontId="21" fillId="0" borderId="0"/>
    <xf numFmtId="0" fontId="22" fillId="0" borderId="0"/>
    <xf numFmtId="0" fontId="11" fillId="0" borderId="0"/>
    <xf numFmtId="0" fontId="12" fillId="0" borderId="0"/>
    <xf numFmtId="0" fontId="4" fillId="0" borderId="0"/>
    <xf numFmtId="0" fontId="11" fillId="0" borderId="0"/>
    <xf numFmtId="0" fontId="11" fillId="0" borderId="0"/>
    <xf numFmtId="0" fontId="4" fillId="0" borderId="0"/>
    <xf numFmtId="0" fontId="13" fillId="0" borderId="0"/>
    <xf numFmtId="0" fontId="11" fillId="0" borderId="0"/>
    <xf numFmtId="0" fontId="4" fillId="0" borderId="0"/>
    <xf numFmtId="0" fontId="4" fillId="0" borderId="0"/>
    <xf numFmtId="0" fontId="12" fillId="0" borderId="0"/>
    <xf numFmtId="0" fontId="4" fillId="0" borderId="0"/>
    <xf numFmtId="0" fontId="12" fillId="0" borderId="0"/>
    <xf numFmtId="0" fontId="4" fillId="0" borderId="0"/>
    <xf numFmtId="0" fontId="12" fillId="0" borderId="0"/>
    <xf numFmtId="0" fontId="4" fillId="0" borderId="0"/>
    <xf numFmtId="0" fontId="12" fillId="0" borderId="0"/>
    <xf numFmtId="0" fontId="4" fillId="0" borderId="0"/>
    <xf numFmtId="0" fontId="12" fillId="0" borderId="0"/>
    <xf numFmtId="0" fontId="4" fillId="0" borderId="0"/>
    <xf numFmtId="0" fontId="11" fillId="0" borderId="0"/>
    <xf numFmtId="0" fontId="23" fillId="0" borderId="0"/>
    <xf numFmtId="0" fontId="24" fillId="0" borderId="0"/>
    <xf numFmtId="0" fontId="27" fillId="0" borderId="0"/>
    <xf numFmtId="0" fontId="10" fillId="0" borderId="0"/>
    <xf numFmtId="0" fontId="4" fillId="0" borderId="0"/>
    <xf numFmtId="0" fontId="10" fillId="0" borderId="0"/>
    <xf numFmtId="0" fontId="10" fillId="0" borderId="0"/>
    <xf numFmtId="0" fontId="10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10" fillId="0" borderId="0"/>
    <xf numFmtId="0" fontId="1" fillId="0" borderId="0"/>
    <xf numFmtId="0" fontId="10" fillId="0" borderId="0"/>
    <xf numFmtId="0" fontId="10" fillId="0" borderId="0"/>
    <xf numFmtId="0" fontId="1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" fillId="0" borderId="0"/>
    <xf numFmtId="0" fontId="4" fillId="0" borderId="0"/>
    <xf numFmtId="0" fontId="4" fillId="0" borderId="0"/>
    <xf numFmtId="0" fontId="25" fillId="0" borderId="0"/>
    <xf numFmtId="0" fontId="25" fillId="0" borderId="0"/>
    <xf numFmtId="0" fontId="4" fillId="0" borderId="0"/>
    <xf numFmtId="0" fontId="4" fillId="0" borderId="0"/>
    <xf numFmtId="0" fontId="1" fillId="0" borderId="0"/>
    <xf numFmtId="0" fontId="1" fillId="0" borderId="0"/>
    <xf numFmtId="0" fontId="1" fillId="0" borderId="0"/>
    <xf numFmtId="0" fontId="8" fillId="0" borderId="0"/>
    <xf numFmtId="0" fontId="8" fillId="0" borderId="0"/>
    <xf numFmtId="9" fontId="20" fillId="0" borderId="0" applyFont="0" applyFill="0" applyBorder="0" applyAlignment="0" applyProtection="0"/>
    <xf numFmtId="9" fontId="21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5" fillId="0" borderId="0" applyFont="0" applyFill="0" applyBorder="0" applyAlignment="0" applyProtection="0"/>
    <xf numFmtId="9" fontId="16" fillId="0" borderId="0" applyFont="0" applyFill="0" applyBorder="0" applyAlignment="0" applyProtection="0"/>
    <xf numFmtId="9" fontId="17" fillId="0" borderId="0" applyFont="0" applyFill="0" applyBorder="0" applyAlignment="0" applyProtection="0"/>
    <xf numFmtId="9" fontId="18" fillId="0" borderId="0" applyFont="0" applyFill="0" applyBorder="0" applyAlignment="0" applyProtection="0"/>
    <xf numFmtId="9" fontId="19" fillId="0" borderId="0" applyFont="0" applyFill="0" applyBorder="0" applyAlignment="0" applyProtection="0"/>
    <xf numFmtId="0" fontId="25" fillId="0" borderId="0"/>
  </cellStyleXfs>
  <cellXfs count="660">
    <xf numFmtId="0" fontId="0" fillId="0" borderId="0" xfId="0"/>
    <xf numFmtId="0" fontId="28" fillId="2" borderId="18" xfId="81" applyFont="1" applyFill="1" applyBorder="1"/>
    <xf numFmtId="0" fontId="29" fillId="2" borderId="19" xfId="81" applyFont="1" applyFill="1" applyBorder="1"/>
    <xf numFmtId="3" fontId="29" fillId="2" borderId="20" xfId="81" applyNumberFormat="1" applyFont="1" applyFill="1" applyBorder="1"/>
    <xf numFmtId="0" fontId="29" fillId="4" borderId="19" xfId="81" applyFont="1" applyFill="1" applyBorder="1"/>
    <xf numFmtId="3" fontId="29" fillId="4" borderId="20" xfId="81" applyNumberFormat="1" applyFont="1" applyFill="1" applyBorder="1"/>
    <xf numFmtId="171" fontId="29" fillId="3" borderId="20" xfId="81" applyNumberFormat="1" applyFont="1" applyFill="1" applyBorder="1"/>
    <xf numFmtId="0" fontId="30" fillId="5" borderId="0" xfId="74" applyFont="1" applyFill="1"/>
    <xf numFmtId="0" fontId="33" fillId="5" borderId="0" xfId="74" applyFont="1" applyFill="1"/>
    <xf numFmtId="3" fontId="28" fillId="5" borderId="25" xfId="81" applyNumberFormat="1" applyFont="1" applyFill="1" applyBorder="1"/>
    <xf numFmtId="3" fontId="28" fillId="5" borderId="9" xfId="81" applyNumberFormat="1" applyFont="1" applyFill="1" applyBorder="1"/>
    <xf numFmtId="3" fontId="28" fillId="5" borderId="13" xfId="81" applyNumberFormat="1" applyFont="1" applyFill="1" applyBorder="1"/>
    <xf numFmtId="0" fontId="28" fillId="5" borderId="0" xfId="81" applyFont="1" applyFill="1"/>
    <xf numFmtId="10" fontId="28" fillId="5" borderId="0" xfId="81" applyNumberFormat="1" applyFont="1" applyFill="1"/>
    <xf numFmtId="0" fontId="38" fillId="2" borderId="34" xfId="0" applyFont="1" applyFill="1" applyBorder="1" applyAlignment="1">
      <alignment vertical="top"/>
    </xf>
    <xf numFmtId="0" fontId="38" fillId="2" borderId="35" xfId="0" applyFont="1" applyFill="1" applyBorder="1" applyAlignment="1">
      <alignment vertical="top"/>
    </xf>
    <xf numFmtId="0" fontId="35" fillId="2" borderId="35" xfId="0" applyFont="1" applyFill="1" applyBorder="1" applyAlignment="1">
      <alignment vertical="top"/>
    </xf>
    <xf numFmtId="0" fontId="39" fillId="2" borderId="35" xfId="0" applyFont="1" applyFill="1" applyBorder="1" applyAlignment="1">
      <alignment vertical="top"/>
    </xf>
    <xf numFmtId="0" fontId="37" fillId="2" borderId="35" xfId="0" applyFont="1" applyFill="1" applyBorder="1" applyAlignment="1">
      <alignment vertical="top"/>
    </xf>
    <xf numFmtId="0" fontId="35" fillId="2" borderId="36" xfId="0" applyFont="1" applyFill="1" applyBorder="1" applyAlignment="1">
      <alignment vertical="top"/>
    </xf>
    <xf numFmtId="0" fontId="38" fillId="2" borderId="9" xfId="0" applyFont="1" applyFill="1" applyBorder="1" applyAlignment="1">
      <alignment horizontal="center" vertical="center"/>
    </xf>
    <xf numFmtId="0" fontId="38" fillId="2" borderId="22" xfId="0" applyFont="1" applyFill="1" applyBorder="1" applyAlignment="1">
      <alignment horizontal="center" vertical="center"/>
    </xf>
    <xf numFmtId="0" fontId="38" fillId="2" borderId="24" xfId="0" applyFont="1" applyFill="1" applyBorder="1" applyAlignment="1">
      <alignment horizontal="center" vertical="center"/>
    </xf>
    <xf numFmtId="0" fontId="38" fillId="2" borderId="23" xfId="0" applyFont="1" applyFill="1" applyBorder="1" applyAlignment="1">
      <alignment horizontal="center" vertical="center"/>
    </xf>
    <xf numFmtId="0" fontId="39" fillId="2" borderId="22" xfId="0" applyFont="1" applyFill="1" applyBorder="1" applyAlignment="1">
      <alignment horizontal="center" vertical="center" wrapText="1"/>
    </xf>
    <xf numFmtId="0" fontId="39" fillId="2" borderId="24" xfId="0" applyFont="1" applyFill="1" applyBorder="1" applyAlignment="1">
      <alignment horizontal="center" vertical="center" wrapText="1"/>
    </xf>
    <xf numFmtId="0" fontId="37" fillId="2" borderId="24" xfId="0" applyFont="1" applyFill="1" applyBorder="1" applyAlignment="1">
      <alignment horizontal="center" vertical="center" wrapText="1"/>
    </xf>
    <xf numFmtId="3" fontId="28" fillId="5" borderId="5" xfId="81" applyNumberFormat="1" applyFont="1" applyFill="1" applyBorder="1"/>
    <xf numFmtId="3" fontId="28" fillId="5" borderId="30" xfId="81" applyNumberFormat="1" applyFont="1" applyFill="1" applyBorder="1"/>
    <xf numFmtId="3" fontId="28" fillId="5" borderId="26" xfId="81" applyNumberFormat="1" applyFont="1" applyFill="1" applyBorder="1"/>
    <xf numFmtId="3" fontId="28" fillId="5" borderId="10" xfId="81" applyNumberFormat="1" applyFont="1" applyFill="1" applyBorder="1"/>
    <xf numFmtId="3" fontId="28" fillId="5" borderId="11" xfId="81" applyNumberFormat="1" applyFont="1" applyFill="1" applyBorder="1"/>
    <xf numFmtId="3" fontId="28" fillId="5" borderId="14" xfId="81" applyNumberFormat="1" applyFont="1" applyFill="1" applyBorder="1"/>
    <xf numFmtId="3" fontId="28" fillId="5" borderId="15" xfId="81" applyNumberFormat="1" applyFont="1" applyFill="1" applyBorder="1"/>
    <xf numFmtId="3" fontId="29" fillId="2" borderId="28" xfId="81" applyNumberFormat="1" applyFont="1" applyFill="1" applyBorder="1"/>
    <xf numFmtId="3" fontId="29" fillId="2" borderId="21" xfId="81" applyNumberFormat="1" applyFont="1" applyFill="1" applyBorder="1"/>
    <xf numFmtId="3" fontId="29" fillId="4" borderId="28" xfId="81" applyNumberFormat="1" applyFont="1" applyFill="1" applyBorder="1"/>
    <xf numFmtId="3" fontId="29" fillId="4" borderId="21" xfId="81" applyNumberFormat="1" applyFont="1" applyFill="1" applyBorder="1"/>
    <xf numFmtId="171" fontId="29" fillId="3" borderId="28" xfId="81" applyNumberFormat="1" applyFont="1" applyFill="1" applyBorder="1"/>
    <xf numFmtId="171" fontId="29" fillId="3" borderId="21" xfId="81" applyNumberFormat="1" applyFont="1" applyFill="1" applyBorder="1"/>
    <xf numFmtId="0" fontId="32" fillId="2" borderId="26" xfId="81" applyFont="1" applyFill="1" applyBorder="1" applyAlignment="1">
      <alignment horizontal="center"/>
    </xf>
    <xf numFmtId="0" fontId="40" fillId="0" borderId="2" xfId="0" applyFont="1" applyFill="1" applyBorder="1"/>
    <xf numFmtId="0" fontId="40" fillId="0" borderId="3" xfId="0" applyFont="1" applyFill="1" applyBorder="1"/>
    <xf numFmtId="3" fontId="29" fillId="0" borderId="28" xfId="78" applyNumberFormat="1" applyFont="1" applyFill="1" applyBorder="1" applyAlignment="1">
      <alignment horizontal="right"/>
    </xf>
    <xf numFmtId="9" fontId="29" fillId="0" borderId="28" xfId="78" applyNumberFormat="1" applyFont="1" applyFill="1" applyBorder="1" applyAlignment="1">
      <alignment horizontal="right"/>
    </xf>
    <xf numFmtId="3" fontId="29" fillId="0" borderId="21" xfId="78" applyNumberFormat="1" applyFont="1" applyFill="1" applyBorder="1" applyAlignment="1">
      <alignment horizontal="right"/>
    </xf>
    <xf numFmtId="0" fontId="33" fillId="0" borderId="44" xfId="0" applyFont="1" applyFill="1" applyBorder="1" applyAlignment="1"/>
    <xf numFmtId="0" fontId="42" fillId="0" borderId="0" xfId="0" applyFont="1" applyFill="1" applyBorder="1" applyAlignment="1"/>
    <xf numFmtId="3" fontId="34" fillId="0" borderId="8" xfId="0" applyNumberFormat="1" applyFont="1" applyFill="1" applyBorder="1" applyAlignment="1">
      <alignment horizontal="right" vertical="top"/>
    </xf>
    <xf numFmtId="3" fontId="34" fillId="0" borderId="6" xfId="0" applyNumberFormat="1" applyFont="1" applyFill="1" applyBorder="1" applyAlignment="1">
      <alignment horizontal="right" vertical="top"/>
    </xf>
    <xf numFmtId="3" fontId="35" fillId="0" borderId="6" xfId="0" applyNumberFormat="1" applyFont="1" applyFill="1" applyBorder="1" applyAlignment="1">
      <alignment horizontal="right" vertical="top"/>
    </xf>
    <xf numFmtId="3" fontId="34" fillId="0" borderId="12" xfId="0" applyNumberFormat="1" applyFont="1" applyFill="1" applyBorder="1" applyAlignment="1">
      <alignment horizontal="right" vertical="top"/>
    </xf>
    <xf numFmtId="3" fontId="34" fillId="0" borderId="10" xfId="0" applyNumberFormat="1" applyFont="1" applyFill="1" applyBorder="1" applyAlignment="1">
      <alignment horizontal="right" vertical="top"/>
    </xf>
    <xf numFmtId="3" fontId="35" fillId="0" borderId="10" xfId="0" applyNumberFormat="1" applyFont="1" applyFill="1" applyBorder="1" applyAlignment="1">
      <alignment horizontal="right" vertical="top"/>
    </xf>
    <xf numFmtId="3" fontId="36" fillId="0" borderId="12" xfId="0" applyNumberFormat="1" applyFont="1" applyFill="1" applyBorder="1" applyAlignment="1">
      <alignment horizontal="right" vertical="top"/>
    </xf>
    <xf numFmtId="3" fontId="36" fillId="0" borderId="10" xfId="0" applyNumberFormat="1" applyFont="1" applyFill="1" applyBorder="1" applyAlignment="1">
      <alignment horizontal="right" vertical="top"/>
    </xf>
    <xf numFmtId="3" fontId="37" fillId="0" borderId="10" xfId="0" applyNumberFormat="1" applyFont="1" applyFill="1" applyBorder="1" applyAlignment="1">
      <alignment horizontal="right" vertical="top"/>
    </xf>
    <xf numFmtId="3" fontId="34" fillId="0" borderId="33" xfId="0" applyNumberFormat="1" applyFont="1" applyFill="1" applyBorder="1" applyAlignment="1">
      <alignment horizontal="right" vertical="top"/>
    </xf>
    <xf numFmtId="3" fontId="34" fillId="0" borderId="24" xfId="0" applyNumberFormat="1" applyFont="1" applyFill="1" applyBorder="1" applyAlignment="1">
      <alignment horizontal="right" vertical="top"/>
    </xf>
    <xf numFmtId="3" fontId="35" fillId="0" borderId="24" xfId="0" applyNumberFormat="1" applyFont="1" applyFill="1" applyBorder="1" applyAlignment="1">
      <alignment horizontal="right" vertical="top"/>
    </xf>
    <xf numFmtId="0" fontId="7" fillId="0" borderId="0" xfId="82" applyFont="1" applyFill="1"/>
    <xf numFmtId="0" fontId="9" fillId="0" borderId="44" xfId="82" applyFont="1" applyFill="1" applyBorder="1" applyAlignment="1"/>
    <xf numFmtId="0" fontId="30" fillId="0" borderId="0" xfId="49" applyFont="1" applyFill="1"/>
    <xf numFmtId="3" fontId="7" fillId="0" borderId="0" xfId="78" applyNumberFormat="1" applyFont="1" applyFill="1" applyAlignment="1">
      <alignment horizontal="left"/>
    </xf>
    <xf numFmtId="9" fontId="7" fillId="0" borderId="0" xfId="78" applyNumberFormat="1" applyFont="1" applyFill="1"/>
    <xf numFmtId="3" fontId="7" fillId="0" borderId="0" xfId="78" applyNumberFormat="1" applyFont="1" applyFill="1"/>
    <xf numFmtId="3" fontId="3" fillId="0" borderId="42" xfId="79" applyNumberFormat="1" applyFont="1" applyFill="1" applyBorder="1"/>
    <xf numFmtId="9" fontId="3" fillId="0" borderId="42" xfId="79" applyNumberFormat="1" applyFont="1" applyFill="1" applyBorder="1"/>
    <xf numFmtId="9" fontId="3" fillId="0" borderId="43" xfId="79" applyNumberFormat="1" applyFont="1" applyFill="1" applyBorder="1"/>
    <xf numFmtId="0" fontId="3" fillId="0" borderId="37" xfId="79" applyFont="1" applyFill="1" applyBorder="1"/>
    <xf numFmtId="0" fontId="3" fillId="0" borderId="0" xfId="79" applyFont="1" applyFill="1" applyBorder="1"/>
    <xf numFmtId="0" fontId="3" fillId="0" borderId="0" xfId="79" applyFont="1" applyFill="1" applyBorder="1" applyAlignment="1">
      <alignment horizontal="right"/>
    </xf>
    <xf numFmtId="0" fontId="3" fillId="0" borderId="38" xfId="79" applyFont="1" applyFill="1" applyBorder="1"/>
    <xf numFmtId="0" fontId="3" fillId="0" borderId="39" xfId="79" applyFont="1" applyFill="1" applyBorder="1"/>
    <xf numFmtId="164" fontId="3" fillId="0" borderId="71" xfId="53" applyNumberFormat="1" applyFont="1" applyFill="1" applyBorder="1"/>
    <xf numFmtId="9" fontId="3" fillId="0" borderId="71" xfId="53" applyNumberFormat="1" applyFont="1" applyFill="1" applyBorder="1"/>
    <xf numFmtId="0" fontId="33" fillId="0" borderId="31" xfId="0" applyFont="1" applyFill="1" applyBorder="1" applyAlignment="1"/>
    <xf numFmtId="0" fontId="33" fillId="0" borderId="32" xfId="0" applyFont="1" applyFill="1" applyBorder="1" applyAlignment="1"/>
    <xf numFmtId="0" fontId="33" fillId="0" borderId="63" xfId="0" applyFont="1" applyFill="1" applyBorder="1" applyAlignment="1"/>
    <xf numFmtId="0" fontId="29" fillId="2" borderId="27" xfId="78" applyFont="1" applyFill="1" applyBorder="1" applyAlignment="1">
      <alignment horizontal="right"/>
    </xf>
    <xf numFmtId="3" fontId="29" fillId="2" borderId="62" xfId="78" applyNumberFormat="1" applyFont="1" applyFill="1" applyBorder="1"/>
    <xf numFmtId="0" fontId="3" fillId="2" borderId="20" xfId="79" applyFont="1" applyFill="1" applyBorder="1" applyAlignment="1">
      <alignment horizontal="left"/>
    </xf>
    <xf numFmtId="0" fontId="3" fillId="2" borderId="28" xfId="79" applyFont="1" applyFill="1" applyBorder="1" applyAlignment="1">
      <alignment horizontal="left"/>
    </xf>
    <xf numFmtId="0" fontId="3" fillId="2" borderId="24" xfId="80" applyFont="1" applyFill="1" applyBorder="1"/>
    <xf numFmtId="0" fontId="3" fillId="2" borderId="23" xfId="80" applyFont="1" applyFill="1" applyBorder="1"/>
    <xf numFmtId="0" fontId="3" fillId="2" borderId="41" xfId="79" applyFont="1" applyFill="1" applyBorder="1"/>
    <xf numFmtId="0" fontId="3" fillId="2" borderId="40" xfId="79" applyFont="1" applyFill="1" applyBorder="1"/>
    <xf numFmtId="0" fontId="3" fillId="2" borderId="69" xfId="53" applyFont="1" applyFill="1" applyBorder="1" applyAlignment="1">
      <alignment horizontal="right"/>
    </xf>
    <xf numFmtId="0" fontId="33" fillId="0" borderId="26" xfId="0" applyFont="1" applyBorder="1" applyAlignment="1"/>
    <xf numFmtId="0" fontId="33" fillId="5" borderId="7" xfId="0" applyFont="1" applyFill="1" applyBorder="1"/>
    <xf numFmtId="0" fontId="33" fillId="5" borderId="11" xfId="0" applyFont="1" applyFill="1" applyBorder="1"/>
    <xf numFmtId="0" fontId="33" fillId="5" borderId="23" xfId="0" applyFont="1" applyFill="1" applyBorder="1"/>
    <xf numFmtId="0" fontId="33" fillId="5" borderId="44" xfId="0" applyFont="1" applyFill="1" applyBorder="1"/>
    <xf numFmtId="0" fontId="33" fillId="5" borderId="52" xfId="0" applyFont="1" applyFill="1" applyBorder="1"/>
    <xf numFmtId="9" fontId="35" fillId="0" borderId="7" xfId="0" applyNumberFormat="1" applyFont="1" applyFill="1" applyBorder="1" applyAlignment="1">
      <alignment horizontal="right" vertical="top"/>
    </xf>
    <xf numFmtId="9" fontId="35" fillId="0" borderId="11" xfId="0" applyNumberFormat="1" applyFont="1" applyFill="1" applyBorder="1" applyAlignment="1">
      <alignment horizontal="right" vertical="top"/>
    </xf>
    <xf numFmtId="9" fontId="37" fillId="0" borderId="11" xfId="0" applyNumberFormat="1" applyFont="1" applyFill="1" applyBorder="1" applyAlignment="1">
      <alignment horizontal="right" vertical="top"/>
    </xf>
    <xf numFmtId="9" fontId="35" fillId="0" borderId="23" xfId="0" applyNumberFormat="1" applyFont="1" applyFill="1" applyBorder="1" applyAlignment="1">
      <alignment horizontal="right" vertical="top"/>
    </xf>
    <xf numFmtId="3" fontId="32" fillId="0" borderId="30" xfId="53" applyNumberFormat="1" applyFont="1" applyFill="1" applyBorder="1"/>
    <xf numFmtId="3" fontId="32" fillId="0" borderId="26" xfId="53" applyNumberFormat="1" applyFont="1" applyFill="1" applyBorder="1"/>
    <xf numFmtId="0" fontId="29" fillId="0" borderId="3" xfId="78" applyFont="1" applyFill="1" applyBorder="1" applyAlignment="1">
      <alignment horizontal="left"/>
    </xf>
    <xf numFmtId="0" fontId="32" fillId="2" borderId="52" xfId="0" applyFont="1" applyFill="1" applyBorder="1" applyAlignment="1">
      <alignment horizontal="center"/>
    </xf>
    <xf numFmtId="3" fontId="3" fillId="0" borderId="70" xfId="53" applyNumberFormat="1" applyFont="1" applyFill="1" applyBorder="1"/>
    <xf numFmtId="3" fontId="3" fillId="0" borderId="71" xfId="53" applyNumberFormat="1" applyFont="1" applyFill="1" applyBorder="1"/>
    <xf numFmtId="3" fontId="3" fillId="0" borderId="72" xfId="53" applyNumberFormat="1" applyFont="1" applyFill="1" applyBorder="1"/>
    <xf numFmtId="0" fontId="32" fillId="2" borderId="52" xfId="0" applyNumberFormat="1" applyFont="1" applyFill="1" applyBorder="1" applyAlignment="1">
      <alignment horizontal="center"/>
    </xf>
    <xf numFmtId="169" fontId="33" fillId="0" borderId="0" xfId="0" applyNumberFormat="1" applyFont="1" applyFill="1"/>
    <xf numFmtId="0" fontId="32" fillId="2" borderId="48" xfId="74" applyFont="1" applyFill="1" applyBorder="1" applyAlignment="1">
      <alignment horizontal="center"/>
    </xf>
    <xf numFmtId="0" fontId="28" fillId="5" borderId="44" xfId="81" applyFont="1" applyFill="1" applyBorder="1"/>
    <xf numFmtId="0" fontId="32" fillId="2" borderId="24" xfId="81" applyFont="1" applyFill="1" applyBorder="1" applyAlignment="1">
      <alignment horizontal="center"/>
    </xf>
    <xf numFmtId="0" fontId="32" fillId="2" borderId="23" xfId="81" applyFont="1" applyFill="1" applyBorder="1" applyAlignment="1">
      <alignment horizontal="center"/>
    </xf>
    <xf numFmtId="0" fontId="33" fillId="0" borderId="0" xfId="0" applyFont="1" applyFill="1" applyBorder="1" applyAlignment="1"/>
    <xf numFmtId="0" fontId="47" fillId="2" borderId="18" xfId="1" applyFont="1" applyFill="1" applyBorder="1"/>
    <xf numFmtId="0" fontId="48" fillId="0" borderId="0" xfId="0" applyFont="1" applyFill="1"/>
    <xf numFmtId="0" fontId="49" fillId="0" borderId="0" xfId="0" applyFont="1" applyFill="1"/>
    <xf numFmtId="0" fontId="49" fillId="0" borderId="0" xfId="0" applyFont="1" applyFill="1" applyBorder="1"/>
    <xf numFmtId="3" fontId="33" fillId="0" borderId="30" xfId="0" applyNumberFormat="1" applyFont="1" applyFill="1" applyBorder="1"/>
    <xf numFmtId="3" fontId="33" fillId="0" borderId="25" xfId="0" applyNumberFormat="1" applyFont="1" applyFill="1" applyBorder="1"/>
    <xf numFmtId="3" fontId="33" fillId="0" borderId="9" xfId="0" applyNumberFormat="1" applyFont="1" applyFill="1" applyBorder="1"/>
    <xf numFmtId="3" fontId="33" fillId="0" borderId="10" xfId="0" applyNumberFormat="1" applyFont="1" applyFill="1" applyBorder="1"/>
    <xf numFmtId="3" fontId="33" fillId="0" borderId="13" xfId="0" applyNumberFormat="1" applyFont="1" applyFill="1" applyBorder="1"/>
    <xf numFmtId="3" fontId="33" fillId="0" borderId="14" xfId="0" applyNumberFormat="1" applyFont="1" applyFill="1" applyBorder="1"/>
    <xf numFmtId="9" fontId="33" fillId="0" borderId="26" xfId="0" applyNumberFormat="1" applyFont="1" applyFill="1" applyBorder="1"/>
    <xf numFmtId="9" fontId="33" fillId="0" borderId="11" xfId="0" applyNumberFormat="1" applyFont="1" applyFill="1" applyBorder="1"/>
    <xf numFmtId="9" fontId="33" fillId="0" borderId="15" xfId="0" applyNumberFormat="1" applyFont="1" applyFill="1" applyBorder="1"/>
    <xf numFmtId="9" fontId="29" fillId="2" borderId="21" xfId="81" applyNumberFormat="1" applyFont="1" applyFill="1" applyBorder="1"/>
    <xf numFmtId="9" fontId="29" fillId="4" borderId="21" xfId="81" applyNumberFormat="1" applyFont="1" applyFill="1" applyBorder="1"/>
    <xf numFmtId="9" fontId="29" fillId="3" borderId="21" xfId="81" applyNumberFormat="1" applyFont="1" applyFill="1" applyBorder="1"/>
    <xf numFmtId="0" fontId="32" fillId="2" borderId="22" xfId="81" applyFont="1" applyFill="1" applyBorder="1" applyAlignment="1">
      <alignment horizontal="center"/>
    </xf>
    <xf numFmtId="0" fontId="33" fillId="0" borderId="0" xfId="0" applyFont="1" applyFill="1"/>
    <xf numFmtId="0" fontId="33" fillId="0" borderId="52" xfId="0" applyFont="1" applyFill="1" applyBorder="1" applyAlignment="1"/>
    <xf numFmtId="0" fontId="33" fillId="0" borderId="0" xfId="0" applyFont="1" applyFill="1" applyAlignment="1"/>
    <xf numFmtId="0" fontId="47" fillId="4" borderId="34" xfId="1" applyFont="1" applyFill="1" applyBorder="1"/>
    <xf numFmtId="0" fontId="47" fillId="4" borderId="18" xfId="1" applyFont="1" applyFill="1" applyBorder="1"/>
    <xf numFmtId="0" fontId="47" fillId="3" borderId="19" xfId="1" applyFont="1" applyFill="1" applyBorder="1"/>
    <xf numFmtId="0" fontId="50" fillId="0" borderId="0" xfId="0" applyFont="1" applyFill="1" applyBorder="1" applyAlignment="1">
      <alignment vertical="center"/>
    </xf>
    <xf numFmtId="0" fontId="50" fillId="0" borderId="0" xfId="0" applyFont="1" applyFill="1" applyAlignment="1">
      <alignment vertical="center"/>
    </xf>
    <xf numFmtId="0" fontId="33" fillId="2" borderId="30" xfId="0" applyFont="1" applyFill="1" applyBorder="1" applyAlignment="1">
      <alignment horizontal="center" vertical="center"/>
    </xf>
    <xf numFmtId="0" fontId="38" fillId="2" borderId="10" xfId="0" applyFont="1" applyFill="1" applyBorder="1" applyAlignment="1">
      <alignment horizontal="center" vertical="center"/>
    </xf>
    <xf numFmtId="0" fontId="33" fillId="2" borderId="26" xfId="0" applyFont="1" applyFill="1" applyBorder="1" applyAlignment="1">
      <alignment horizontal="center" vertical="center"/>
    </xf>
    <xf numFmtId="0" fontId="39" fillId="2" borderId="10" xfId="0" applyFont="1" applyFill="1" applyBorder="1" applyAlignment="1">
      <alignment horizontal="center" vertical="center" wrapText="1"/>
    </xf>
    <xf numFmtId="164" fontId="32" fillId="2" borderId="25" xfId="53" applyNumberFormat="1" applyFont="1" applyFill="1" applyBorder="1" applyAlignment="1">
      <alignment horizontal="right"/>
    </xf>
    <xf numFmtId="0" fontId="3" fillId="2" borderId="30" xfId="80" applyFont="1" applyFill="1" applyBorder="1" applyAlignment="1">
      <alignment horizontal="left"/>
    </xf>
    <xf numFmtId="0" fontId="3" fillId="0" borderId="0" xfId="79" applyFont="1" applyFill="1" applyBorder="1" applyAlignment="1">
      <alignment horizontal="left"/>
    </xf>
    <xf numFmtId="0" fontId="47" fillId="3" borderId="9" xfId="1" applyFont="1" applyFill="1" applyBorder="1"/>
    <xf numFmtId="0" fontId="47" fillId="3" borderId="5" xfId="1" applyFont="1" applyFill="1" applyBorder="1"/>
    <xf numFmtId="0" fontId="47" fillId="6" borderId="5" xfId="1" applyFont="1" applyFill="1" applyBorder="1"/>
    <xf numFmtId="0" fontId="47" fillId="6" borderId="61" xfId="1" applyFont="1" applyFill="1" applyBorder="1"/>
    <xf numFmtId="0" fontId="47" fillId="2" borderId="5" xfId="1" applyFont="1" applyFill="1" applyBorder="1"/>
    <xf numFmtId="0" fontId="47" fillId="4" borderId="5" xfId="1" applyFont="1" applyFill="1" applyBorder="1"/>
    <xf numFmtId="0" fontId="33" fillId="0" borderId="0" xfId="0" applyFont="1"/>
    <xf numFmtId="0" fontId="33" fillId="0" borderId="0" xfId="0" applyFont="1" applyBorder="1" applyAlignment="1"/>
    <xf numFmtId="3" fontId="33" fillId="0" borderId="0" xfId="0" applyNumberFormat="1" applyFont="1"/>
    <xf numFmtId="9" fontId="33" fillId="0" borderId="0" xfId="0" applyNumberFormat="1" applyFont="1"/>
    <xf numFmtId="0" fontId="33" fillId="0" borderId="0" xfId="0" applyFont="1" applyBorder="1"/>
    <xf numFmtId="3" fontId="40" fillId="2" borderId="55" xfId="0" applyNumberFormat="1" applyFont="1" applyFill="1" applyBorder="1"/>
    <xf numFmtId="3" fontId="40" fillId="2" borderId="57" xfId="0" applyNumberFormat="1" applyFont="1" applyFill="1" applyBorder="1"/>
    <xf numFmtId="9" fontId="40" fillId="2" borderId="62" xfId="0" applyNumberFormat="1" applyFont="1" applyFill="1" applyBorder="1"/>
    <xf numFmtId="0" fontId="51" fillId="2" borderId="19" xfId="1" applyFont="1" applyFill="1" applyBorder="1" applyAlignment="1"/>
    <xf numFmtId="0" fontId="33" fillId="2" borderId="29" xfId="0" applyFont="1" applyFill="1" applyBorder="1" applyAlignment="1"/>
    <xf numFmtId="3" fontId="33" fillId="2" borderId="28" xfId="0" applyNumberFormat="1" applyFont="1" applyFill="1" applyBorder="1" applyAlignment="1"/>
    <xf numFmtId="9" fontId="33" fillId="2" borderId="21" xfId="0" applyNumberFormat="1" applyFont="1" applyFill="1" applyBorder="1" applyAlignment="1"/>
    <xf numFmtId="0" fontId="40" fillId="2" borderId="60" xfId="0" applyFont="1" applyFill="1" applyBorder="1" applyAlignment="1"/>
    <xf numFmtId="0" fontId="33" fillId="0" borderId="8" xfId="0" applyFont="1" applyBorder="1" applyAlignment="1"/>
    <xf numFmtId="3" fontId="33" fillId="0" borderId="6" xfId="0" applyNumberFormat="1" applyFont="1" applyBorder="1" applyAlignment="1"/>
    <xf numFmtId="9" fontId="33" fillId="0" borderId="11" xfId="0" applyNumberFormat="1" applyFont="1" applyBorder="1" applyAlignment="1"/>
    <xf numFmtId="0" fontId="30" fillId="2" borderId="35" xfId="1" applyFont="1" applyFill="1" applyBorder="1" applyAlignment="1">
      <alignment horizontal="left" indent="2"/>
    </xf>
    <xf numFmtId="0" fontId="33" fillId="0" borderId="12" xfId="0" applyFont="1" applyBorder="1" applyAlignment="1"/>
    <xf numFmtId="3" fontId="33" fillId="0" borderId="10" xfId="0" applyNumberFormat="1" applyFont="1" applyBorder="1" applyAlignment="1"/>
    <xf numFmtId="9" fontId="33" fillId="0" borderId="10" xfId="0" applyNumberFormat="1" applyFont="1" applyBorder="1" applyAlignment="1"/>
    <xf numFmtId="0" fontId="33" fillId="2" borderId="35" xfId="0" applyFont="1" applyFill="1" applyBorder="1" applyAlignment="1">
      <alignment horizontal="left" indent="2"/>
    </xf>
    <xf numFmtId="0" fontId="32" fillId="2" borderId="35" xfId="1" applyFont="1" applyFill="1" applyBorder="1" applyAlignment="1"/>
    <xf numFmtId="0" fontId="47" fillId="2" borderId="35" xfId="1" applyFont="1" applyFill="1" applyBorder="1" applyAlignment="1">
      <alignment horizontal="left" indent="2"/>
    </xf>
    <xf numFmtId="0" fontId="51" fillId="2" borderId="35" xfId="1" applyFont="1" applyFill="1" applyBorder="1" applyAlignment="1"/>
    <xf numFmtId="0" fontId="33" fillId="0" borderId="33" xfId="0" applyFont="1" applyBorder="1" applyAlignment="1"/>
    <xf numFmtId="3" fontId="33" fillId="0" borderId="24" xfId="0" applyNumberFormat="1" applyFont="1" applyBorder="1" applyAlignment="1"/>
    <xf numFmtId="9" fontId="33" fillId="0" borderId="23" xfId="0" applyNumberFormat="1" applyFont="1" applyBorder="1" applyAlignment="1"/>
    <xf numFmtId="0" fontId="40" fillId="0" borderId="44" xfId="0" applyFont="1" applyFill="1" applyBorder="1" applyAlignment="1">
      <alignment horizontal="left" indent="2"/>
    </xf>
    <xf numFmtId="0" fontId="33" fillId="0" borderId="44" xfId="0" applyFont="1" applyBorder="1" applyAlignment="1"/>
    <xf numFmtId="3" fontId="33" fillId="0" borderId="44" xfId="0" applyNumberFormat="1" applyFont="1" applyBorder="1" applyAlignment="1"/>
    <xf numFmtId="9" fontId="33" fillId="0" borderId="44" xfId="0" applyNumberFormat="1" applyFont="1" applyBorder="1" applyAlignment="1"/>
    <xf numFmtId="0" fontId="51" fillId="4" borderId="19" xfId="1" applyFont="1" applyFill="1" applyBorder="1" applyAlignment="1">
      <alignment horizontal="left"/>
    </xf>
    <xf numFmtId="0" fontId="33" fillId="4" borderId="29" xfId="0" applyFont="1" applyFill="1" applyBorder="1" applyAlignment="1"/>
    <xf numFmtId="3" fontId="33" fillId="4" borderId="28" xfId="0" applyNumberFormat="1" applyFont="1" applyFill="1" applyBorder="1" applyAlignment="1"/>
    <xf numFmtId="9" fontId="33" fillId="4" borderId="21" xfId="0" applyNumberFormat="1" applyFont="1" applyFill="1" applyBorder="1" applyAlignment="1"/>
    <xf numFmtId="0" fontId="51" fillId="4" borderId="60" xfId="1" applyFont="1" applyFill="1" applyBorder="1" applyAlignment="1">
      <alignment horizontal="left"/>
    </xf>
    <xf numFmtId="0" fontId="47" fillId="4" borderId="35" xfId="1" applyFont="1" applyFill="1" applyBorder="1" applyAlignment="1">
      <alignment horizontal="left" indent="2"/>
    </xf>
    <xf numFmtId="0" fontId="51" fillId="4" borderId="35" xfId="1" applyFont="1" applyFill="1" applyBorder="1" applyAlignment="1">
      <alignment horizontal="left"/>
    </xf>
    <xf numFmtId="0" fontId="33" fillId="4" borderId="36" xfId="0" applyFont="1" applyFill="1" applyBorder="1" applyAlignment="1">
      <alignment horizontal="left" indent="2"/>
    </xf>
    <xf numFmtId="0" fontId="40" fillId="0" borderId="0" xfId="0" applyFont="1" applyFill="1" applyBorder="1" applyAlignment="1"/>
    <xf numFmtId="0" fontId="33" fillId="0" borderId="0" xfId="0" applyFont="1" applyAlignment="1"/>
    <xf numFmtId="3" fontId="33" fillId="0" borderId="0" xfId="0" applyNumberFormat="1" applyFont="1" applyAlignment="1"/>
    <xf numFmtId="9" fontId="33" fillId="0" borderId="52" xfId="0" applyNumberFormat="1" applyFont="1" applyBorder="1" applyAlignment="1"/>
    <xf numFmtId="0" fontId="40" fillId="3" borderId="19" xfId="0" applyFont="1" applyFill="1" applyBorder="1" applyAlignment="1"/>
    <xf numFmtId="0" fontId="33" fillId="3" borderId="29" xfId="0" applyFont="1" applyFill="1" applyBorder="1" applyAlignment="1"/>
    <xf numFmtId="3" fontId="33" fillId="3" borderId="28" xfId="0" applyNumberFormat="1" applyFont="1" applyFill="1" applyBorder="1" applyAlignment="1"/>
    <xf numFmtId="9" fontId="33" fillId="3" borderId="21" xfId="0" applyNumberFormat="1" applyFont="1" applyFill="1" applyBorder="1" applyAlignment="1"/>
    <xf numFmtId="0" fontId="41" fillId="0" borderId="0" xfId="0" applyFont="1" applyFill="1" applyBorder="1" applyAlignment="1"/>
    <xf numFmtId="0" fontId="42" fillId="0" borderId="0" xfId="0" applyFont="1" applyFill="1"/>
    <xf numFmtId="16" fontId="42" fillId="0" borderId="0" xfId="0" quotePrefix="1" applyNumberFormat="1" applyFont="1" applyFill="1"/>
    <xf numFmtId="0" fontId="42" fillId="0" borderId="0" xfId="0" quotePrefix="1" applyFont="1" applyFill="1"/>
    <xf numFmtId="171" fontId="42" fillId="0" borderId="0" xfId="0" applyNumberFormat="1" applyFont="1" applyFill="1"/>
    <xf numFmtId="172" fontId="42" fillId="0" borderId="0" xfId="0" applyNumberFormat="1" applyFont="1" applyFill="1"/>
    <xf numFmtId="3" fontId="42" fillId="0" borderId="0" xfId="0" applyNumberFormat="1" applyFont="1" applyFill="1"/>
    <xf numFmtId="0" fontId="8" fillId="0" borderId="0" xfId="81" applyFont="1" applyFill="1"/>
    <xf numFmtId="0" fontId="52" fillId="0" borderId="44" xfId="81" applyFont="1" applyFill="1" applyBorder="1" applyAlignment="1"/>
    <xf numFmtId="0" fontId="7" fillId="0" borderId="0" xfId="78" applyFont="1" applyFill="1" applyBorder="1" applyAlignment="1"/>
    <xf numFmtId="3" fontId="33" fillId="0" borderId="0" xfId="0" applyNumberFormat="1" applyFont="1" applyFill="1"/>
    <xf numFmtId="0" fontId="33" fillId="0" borderId="0" xfId="0" applyFont="1" applyFill="1" applyAlignment="1">
      <alignment horizontal="left"/>
    </xf>
    <xf numFmtId="164" fontId="33" fillId="0" borderId="0" xfId="0" applyNumberFormat="1" applyFont="1" applyFill="1"/>
    <xf numFmtId="9" fontId="33" fillId="0" borderId="0" xfId="0" applyNumberFormat="1" applyFont="1" applyFill="1"/>
    <xf numFmtId="164" fontId="28" fillId="0" borderId="0" xfId="78" applyNumberFormat="1" applyFont="1" applyFill="1" applyBorder="1" applyAlignment="1"/>
    <xf numFmtId="3" fontId="28" fillId="0" borderId="0" xfId="78" applyNumberFormat="1" applyFont="1" applyFill="1" applyBorder="1" applyAlignment="1"/>
    <xf numFmtId="164" fontId="33" fillId="0" borderId="0" xfId="0" applyNumberFormat="1" applyFont="1" applyFill="1" applyAlignment="1">
      <alignment horizontal="right"/>
    </xf>
    <xf numFmtId="3" fontId="7" fillId="0" borderId="0" xfId="78" applyNumberFormat="1" applyFont="1" applyFill="1" applyBorder="1" applyAlignment="1"/>
    <xf numFmtId="9" fontId="7" fillId="0" borderId="0" xfId="78" applyNumberFormat="1" applyFont="1" applyFill="1" applyBorder="1" applyAlignment="1"/>
    <xf numFmtId="0" fontId="7" fillId="0" borderId="0" xfId="78" applyFont="1" applyFill="1"/>
    <xf numFmtId="0" fontId="7" fillId="0" borderId="0" xfId="78" applyFont="1" applyFill="1" applyBorder="1" applyAlignment="1">
      <alignment horizontal="left"/>
    </xf>
    <xf numFmtId="0" fontId="33" fillId="0" borderId="0" xfId="0" applyFont="1" applyFill="1" applyAlignment="1">
      <alignment horizontal="right"/>
    </xf>
    <xf numFmtId="165" fontId="33" fillId="0" borderId="0" xfId="0" applyNumberFormat="1" applyFont="1" applyFill="1"/>
    <xf numFmtId="0" fontId="40" fillId="2" borderId="27" xfId="0" applyFont="1" applyFill="1" applyBorder="1" applyAlignment="1">
      <alignment horizontal="right"/>
    </xf>
    <xf numFmtId="169" fontId="40" fillId="0" borderId="20" xfId="0" applyNumberFormat="1" applyFont="1" applyFill="1" applyBorder="1" applyAlignment="1"/>
    <xf numFmtId="169" fontId="40" fillId="0" borderId="28" xfId="0" applyNumberFormat="1" applyFont="1" applyFill="1" applyBorder="1" applyAlignment="1"/>
    <xf numFmtId="9" fontId="40" fillId="0" borderId="21" xfId="0" applyNumberFormat="1" applyFont="1" applyFill="1" applyBorder="1" applyAlignment="1"/>
    <xf numFmtId="169" fontId="40" fillId="0" borderId="29" xfId="0" applyNumberFormat="1" applyFont="1" applyFill="1" applyBorder="1" applyAlignment="1"/>
    <xf numFmtId="9" fontId="40" fillId="0" borderId="54" xfId="0" applyNumberFormat="1" applyFont="1" applyFill="1" applyBorder="1" applyAlignment="1"/>
    <xf numFmtId="169" fontId="33" fillId="0" borderId="0" xfId="0" applyNumberFormat="1" applyFont="1" applyFill="1" applyBorder="1" applyAlignment="1"/>
    <xf numFmtId="9" fontId="33" fillId="0" borderId="0" xfId="0" applyNumberFormat="1" applyFont="1" applyFill="1" applyBorder="1" applyAlignment="1"/>
    <xf numFmtId="3" fontId="33" fillId="0" borderId="52" xfId="0" applyNumberFormat="1" applyFont="1" applyFill="1" applyBorder="1" applyAlignment="1"/>
    <xf numFmtId="9" fontId="33" fillId="0" borderId="52" xfId="0" applyNumberFormat="1" applyFont="1" applyFill="1" applyBorder="1" applyAlignment="1"/>
    <xf numFmtId="3" fontId="33" fillId="0" borderId="0" xfId="0" applyNumberFormat="1" applyFont="1" applyFill="1" applyBorder="1" applyAlignment="1"/>
    <xf numFmtId="3" fontId="0" fillId="0" borderId="0" xfId="0" applyNumberFormat="1"/>
    <xf numFmtId="0" fontId="55" fillId="0" borderId="0" xfId="1" applyFont="1" applyFill="1"/>
    <xf numFmtId="3" fontId="53" fillId="0" borderId="0" xfId="26" applyNumberFormat="1" applyFont="1" applyFill="1" applyBorder="1" applyAlignment="1"/>
    <xf numFmtId="0" fontId="58" fillId="0" borderId="0" xfId="0" applyFont="1" applyAlignment="1">
      <alignment horizontal="left" vertical="center" indent="1"/>
    </xf>
    <xf numFmtId="0" fontId="58" fillId="0" borderId="0" xfId="0" applyFont="1" applyAlignment="1">
      <alignment vertical="center"/>
    </xf>
    <xf numFmtId="0" fontId="0" fillId="0" borderId="0" xfId="0" applyAlignment="1"/>
    <xf numFmtId="0" fontId="59" fillId="0" borderId="0" xfId="0" applyFont="1"/>
    <xf numFmtId="0" fontId="32" fillId="2" borderId="99" xfId="74" applyFont="1" applyFill="1" applyBorder="1" applyAlignment="1">
      <alignment horizontal="center"/>
    </xf>
    <xf numFmtId="0" fontId="32" fillId="2" borderId="80" xfId="81" applyFont="1" applyFill="1" applyBorder="1" applyAlignment="1">
      <alignment horizontal="center"/>
    </xf>
    <xf numFmtId="0" fontId="32" fillId="2" borderId="81" xfId="81" applyFont="1" applyFill="1" applyBorder="1" applyAlignment="1">
      <alignment horizontal="center"/>
    </xf>
    <xf numFmtId="0" fontId="32" fillId="2" borderId="82" xfId="81" applyFont="1" applyFill="1" applyBorder="1" applyAlignment="1">
      <alignment horizontal="center"/>
    </xf>
    <xf numFmtId="0" fontId="32" fillId="2" borderId="83" xfId="81" applyFont="1" applyFill="1" applyBorder="1" applyAlignment="1">
      <alignment horizontal="center"/>
    </xf>
    <xf numFmtId="0" fontId="3" fillId="2" borderId="20" xfId="79" applyFont="1" applyFill="1" applyBorder="1" applyAlignment="1"/>
    <xf numFmtId="0" fontId="3" fillId="2" borderId="28" xfId="79" applyFont="1" applyFill="1" applyBorder="1" applyAlignment="1"/>
    <xf numFmtId="0" fontId="30" fillId="5" borderId="0" xfId="74" applyFont="1" applyFill="1" applyAlignment="1">
      <alignment horizontal="center"/>
    </xf>
    <xf numFmtId="0" fontId="3" fillId="0" borderId="0" xfId="79" applyFont="1" applyFill="1" applyBorder="1" applyAlignment="1">
      <alignment horizontal="left"/>
    </xf>
    <xf numFmtId="0" fontId="3" fillId="2" borderId="27" xfId="79" applyFont="1" applyFill="1" applyBorder="1" applyAlignment="1">
      <alignment horizontal="right"/>
    </xf>
    <xf numFmtId="9" fontId="33" fillId="0" borderId="28" xfId="0" applyNumberFormat="1" applyFont="1" applyFill="1" applyBorder="1"/>
    <xf numFmtId="9" fontId="33" fillId="0" borderId="21" xfId="0" applyNumberFormat="1" applyFont="1" applyFill="1" applyBorder="1"/>
    <xf numFmtId="9" fontId="33" fillId="0" borderId="29" xfId="0" applyNumberFormat="1" applyFont="1" applyFill="1" applyBorder="1"/>
    <xf numFmtId="3" fontId="7" fillId="0" borderId="20" xfId="78" applyNumberFormat="1" applyFont="1" applyFill="1" applyBorder="1" applyAlignment="1"/>
    <xf numFmtId="3" fontId="7" fillId="0" borderId="28" xfId="78" applyNumberFormat="1" applyFont="1" applyFill="1" applyBorder="1" applyAlignment="1"/>
    <xf numFmtId="3" fontId="7" fillId="0" borderId="21" xfId="78" applyNumberFormat="1" applyFont="1" applyFill="1" applyBorder="1" applyAlignment="1"/>
    <xf numFmtId="0" fontId="33" fillId="5" borderId="88" xfId="0" applyFont="1" applyFill="1" applyBorder="1"/>
    <xf numFmtId="0" fontId="33" fillId="0" borderId="89" xfId="0" applyFont="1" applyBorder="1" applyAlignment="1"/>
    <xf numFmtId="9" fontId="33" fillId="0" borderId="87" xfId="0" applyNumberFormat="1" applyFont="1" applyBorder="1" applyAlignment="1"/>
    <xf numFmtId="0" fontId="26" fillId="2" borderId="35" xfId="1" applyFill="1" applyBorder="1" applyAlignment="1">
      <alignment horizontal="left" indent="4"/>
    </xf>
    <xf numFmtId="0" fontId="40" fillId="0" borderId="0" xfId="0" applyFont="1" applyFill="1" applyAlignment="1">
      <alignment horizontal="left" indent="1"/>
    </xf>
    <xf numFmtId="3" fontId="40" fillId="0" borderId="20" xfId="0" applyNumberFormat="1" applyFont="1" applyFill="1" applyBorder="1" applyAlignment="1"/>
    <xf numFmtId="3" fontId="40" fillId="0" borderId="28" xfId="0" applyNumberFormat="1" applyFont="1" applyFill="1" applyBorder="1" applyAlignment="1"/>
    <xf numFmtId="169" fontId="40" fillId="0" borderId="21" xfId="0" applyNumberFormat="1" applyFont="1" applyFill="1" applyBorder="1" applyAlignment="1"/>
    <xf numFmtId="49" fontId="38" fillId="2" borderId="87" xfId="0" quotePrefix="1" applyNumberFormat="1" applyFont="1" applyFill="1" applyBorder="1" applyAlignment="1">
      <alignment horizontal="center" vertical="center"/>
    </xf>
    <xf numFmtId="0" fontId="26" fillId="4" borderId="85" xfId="1" applyFill="1" applyBorder="1" applyAlignment="1">
      <alignment horizontal="left" indent="4"/>
    </xf>
    <xf numFmtId="0" fontId="26" fillId="4" borderId="35" xfId="1" applyFill="1" applyBorder="1" applyAlignment="1">
      <alignment horizontal="left" indent="2"/>
    </xf>
    <xf numFmtId="0" fontId="33" fillId="0" borderId="86" xfId="0" applyFont="1" applyBorder="1"/>
    <xf numFmtId="0" fontId="32" fillId="2" borderId="76" xfId="0" applyFont="1" applyFill="1" applyBorder="1" applyAlignment="1">
      <alignment horizontal="center" vertical="top" wrapText="1"/>
    </xf>
    <xf numFmtId="0" fontId="26" fillId="6" borderId="5" xfId="1" applyFill="1" applyBorder="1"/>
    <xf numFmtId="0" fontId="32" fillId="2" borderId="46" xfId="81" applyFont="1" applyFill="1" applyBorder="1" applyAlignment="1">
      <alignment horizontal="center"/>
    </xf>
    <xf numFmtId="0" fontId="32" fillId="2" borderId="47" xfId="81" applyFont="1" applyFill="1" applyBorder="1" applyAlignment="1">
      <alignment horizontal="center"/>
    </xf>
    <xf numFmtId="0" fontId="32" fillId="2" borderId="25" xfId="74" applyFont="1" applyFill="1" applyBorder="1" applyAlignment="1">
      <alignment horizontal="center"/>
    </xf>
    <xf numFmtId="0" fontId="7" fillId="0" borderId="3" xfId="78" applyFont="1" applyFill="1" applyBorder="1" applyAlignment="1"/>
    <xf numFmtId="3" fontId="40" fillId="0" borderId="21" xfId="0" applyNumberFormat="1" applyFont="1" applyFill="1" applyBorder="1" applyAlignment="1"/>
    <xf numFmtId="0" fontId="40" fillId="2" borderId="19" xfId="0" applyFont="1" applyFill="1" applyBorder="1" applyAlignment="1">
      <alignment horizontal="right"/>
    </xf>
    <xf numFmtId="0" fontId="28" fillId="0" borderId="0" xfId="78" applyNumberFormat="1" applyFont="1" applyFill="1" applyBorder="1" applyAlignment="1"/>
    <xf numFmtId="0" fontId="33" fillId="0" borderId="0" xfId="0" applyNumberFormat="1" applyFont="1" applyFill="1"/>
    <xf numFmtId="9" fontId="0" fillId="0" borderId="0" xfId="0" applyNumberFormat="1"/>
    <xf numFmtId="168" fontId="0" fillId="0" borderId="0" xfId="0" applyNumberFormat="1"/>
    <xf numFmtId="0" fontId="49" fillId="0" borderId="0" xfId="0" applyFont="1" applyFill="1" applyAlignment="1">
      <alignment horizontal="left" indent="2"/>
    </xf>
    <xf numFmtId="176" fontId="40" fillId="0" borderId="16" xfId="0" applyNumberFormat="1" applyFont="1" applyBorder="1" applyAlignment="1">
      <alignment vertical="center"/>
    </xf>
    <xf numFmtId="173" fontId="40" fillId="0" borderId="32" xfId="0" applyNumberFormat="1" applyFont="1" applyBorder="1" applyAlignment="1">
      <alignment vertical="center"/>
    </xf>
    <xf numFmtId="173" fontId="33" fillId="0" borderId="17" xfId="0" applyNumberFormat="1" applyFont="1" applyBorder="1" applyAlignment="1">
      <alignment vertical="center"/>
    </xf>
    <xf numFmtId="173" fontId="33" fillId="0" borderId="0" xfId="0" applyNumberFormat="1" applyFont="1" applyBorder="1" applyAlignment="1">
      <alignment vertical="center"/>
    </xf>
    <xf numFmtId="173" fontId="33" fillId="0" borderId="16" xfId="0" applyNumberFormat="1" applyFont="1" applyBorder="1" applyAlignment="1">
      <alignment vertical="center"/>
    </xf>
    <xf numFmtId="174" fontId="33" fillId="0" borderId="0" xfId="0" applyNumberFormat="1" applyFont="1" applyBorder="1" applyAlignment="1">
      <alignment vertical="center"/>
    </xf>
    <xf numFmtId="0" fontId="56" fillId="0" borderId="17" xfId="0" applyFont="1" applyFill="1" applyBorder="1" applyAlignment="1">
      <alignment horizontal="left" vertical="center"/>
    </xf>
    <xf numFmtId="0" fontId="40" fillId="2" borderId="0" xfId="0" applyFont="1" applyFill="1" applyBorder="1" applyAlignment="1">
      <alignment horizontal="center" vertical="center"/>
    </xf>
    <xf numFmtId="173" fontId="33" fillId="0" borderId="0" xfId="0" applyNumberFormat="1" applyFont="1" applyBorder="1" applyAlignment="1">
      <alignment horizontal="right" vertical="center"/>
    </xf>
    <xf numFmtId="175" fontId="33" fillId="0" borderId="0" xfId="0" applyNumberFormat="1" applyFont="1" applyBorder="1" applyAlignment="1">
      <alignment horizontal="right" vertical="center"/>
    </xf>
    <xf numFmtId="3" fontId="40" fillId="0" borderId="68" xfId="0" applyNumberFormat="1" applyFont="1" applyBorder="1" applyAlignment="1">
      <alignment horizontal="right" vertical="center"/>
    </xf>
    <xf numFmtId="9" fontId="40" fillId="0" borderId="106" xfId="0" applyNumberFormat="1" applyFont="1" applyBorder="1" applyAlignment="1">
      <alignment horizontal="right" vertical="center"/>
    </xf>
    <xf numFmtId="173" fontId="40" fillId="0" borderId="106" xfId="0" applyNumberFormat="1" applyFont="1" applyBorder="1" applyAlignment="1">
      <alignment horizontal="right" vertical="center"/>
    </xf>
    <xf numFmtId="173" fontId="40" fillId="0" borderId="74" xfId="0" applyNumberFormat="1" applyFont="1" applyBorder="1" applyAlignment="1">
      <alignment horizontal="right" vertical="center"/>
    </xf>
    <xf numFmtId="173" fontId="40" fillId="0" borderId="76" xfId="0" applyNumberFormat="1" applyFont="1" applyBorder="1" applyAlignment="1">
      <alignment vertical="center"/>
    </xf>
    <xf numFmtId="173" fontId="40" fillId="0" borderId="107" xfId="0" applyNumberFormat="1" applyFont="1" applyBorder="1" applyAlignment="1">
      <alignment vertical="center"/>
    </xf>
    <xf numFmtId="173" fontId="40" fillId="0" borderId="106" xfId="0" applyNumberFormat="1" applyFont="1" applyBorder="1" applyAlignment="1">
      <alignment vertical="center"/>
    </xf>
    <xf numFmtId="173" fontId="40" fillId="0" borderId="74" xfId="0" applyNumberFormat="1" applyFont="1" applyBorder="1" applyAlignment="1">
      <alignment vertical="center"/>
    </xf>
    <xf numFmtId="173" fontId="40" fillId="0" borderId="108" xfId="0" applyNumberFormat="1" applyFont="1" applyBorder="1" applyAlignment="1">
      <alignment vertical="center"/>
    </xf>
    <xf numFmtId="174" fontId="40" fillId="0" borderId="109" xfId="0" applyNumberFormat="1" applyFont="1" applyBorder="1" applyAlignment="1">
      <alignment vertical="center"/>
    </xf>
    <xf numFmtId="174" fontId="40" fillId="0" borderId="106" xfId="0" applyNumberFormat="1" applyFont="1" applyBorder="1" applyAlignment="1">
      <alignment vertical="center"/>
    </xf>
    <xf numFmtId="174" fontId="40" fillId="0" borderId="74" xfId="0" applyNumberFormat="1" applyFont="1" applyBorder="1" applyAlignment="1">
      <alignment vertical="center"/>
    </xf>
    <xf numFmtId="168" fontId="40" fillId="0" borderId="100" xfId="0" applyNumberFormat="1" applyFont="1" applyBorder="1" applyAlignment="1">
      <alignment vertical="center"/>
    </xf>
    <xf numFmtId="0" fontId="33" fillId="0" borderId="107" xfId="0" applyFont="1" applyBorder="1" applyAlignment="1">
      <alignment horizontal="center" vertical="center"/>
    </xf>
    <xf numFmtId="166" fontId="40" fillId="2" borderId="74" xfId="0" applyNumberFormat="1" applyFont="1" applyFill="1" applyBorder="1" applyAlignment="1">
      <alignment horizontal="center" vertical="center"/>
    </xf>
    <xf numFmtId="173" fontId="40" fillId="0" borderId="83" xfId="0" applyNumberFormat="1" applyFont="1" applyBorder="1" applyAlignment="1">
      <alignment horizontal="right" vertical="center"/>
    </xf>
    <xf numFmtId="175" fontId="40" fillId="0" borderId="82" xfId="0" applyNumberFormat="1" applyFont="1" applyBorder="1" applyAlignment="1">
      <alignment horizontal="right" vertical="center"/>
    </xf>
    <xf numFmtId="173" fontId="40" fillId="0" borderId="82" xfId="0" applyNumberFormat="1" applyFont="1" applyBorder="1" applyAlignment="1">
      <alignment horizontal="right" vertical="center"/>
    </xf>
    <xf numFmtId="173" fontId="40" fillId="0" borderId="83" xfId="0" applyNumberFormat="1" applyFont="1" applyBorder="1" applyAlignment="1">
      <alignment vertical="center"/>
    </xf>
    <xf numFmtId="173" fontId="40" fillId="0" borderId="82" xfId="0" applyNumberFormat="1" applyFont="1" applyBorder="1" applyAlignment="1">
      <alignment vertical="center"/>
    </xf>
    <xf numFmtId="173" fontId="40" fillId="0" borderId="81" xfId="0" applyNumberFormat="1" applyFont="1" applyBorder="1" applyAlignment="1">
      <alignment vertical="center"/>
    </xf>
    <xf numFmtId="176" fontId="40" fillId="0" borderId="81" xfId="0" applyNumberFormat="1" applyFont="1" applyBorder="1" applyAlignment="1">
      <alignment vertical="center"/>
    </xf>
    <xf numFmtId="0" fontId="0" fillId="0" borderId="0" xfId="0" applyAlignment="1">
      <alignment wrapText="1"/>
    </xf>
    <xf numFmtId="0" fontId="56" fillId="9" borderId="87" xfId="0" quotePrefix="1" applyFont="1" applyFill="1" applyBorder="1" applyAlignment="1">
      <alignment horizontal="center" vertical="center" wrapText="1"/>
    </xf>
    <xf numFmtId="0" fontId="41" fillId="9" borderId="87" xfId="0" quotePrefix="1" applyFont="1" applyFill="1" applyBorder="1" applyAlignment="1">
      <alignment horizontal="center" vertical="center" wrapText="1"/>
    </xf>
    <xf numFmtId="0" fontId="41" fillId="9" borderId="86" xfId="0" quotePrefix="1" applyFont="1" applyFill="1" applyBorder="1" applyAlignment="1">
      <alignment horizontal="center" vertical="center" wrapText="1"/>
    </xf>
    <xf numFmtId="4" fontId="0" fillId="0" borderId="0" xfId="0" applyNumberFormat="1"/>
    <xf numFmtId="0" fontId="0" fillId="0" borderId="0" xfId="0" applyAlignment="1">
      <alignment horizontal="left"/>
    </xf>
    <xf numFmtId="0" fontId="0" fillId="7" borderId="115" xfId="0" applyNumberFormat="1" applyFont="1" applyFill="1" applyBorder="1"/>
    <xf numFmtId="3" fontId="0" fillId="7" borderId="75" xfId="0" applyNumberFormat="1" applyFont="1" applyFill="1" applyBorder="1"/>
    <xf numFmtId="0" fontId="0" fillId="0" borderId="116" xfId="0" applyNumberFormat="1" applyFont="1" applyBorder="1"/>
    <xf numFmtId="3" fontId="0" fillId="0" borderId="117" xfId="0" applyNumberFormat="1" applyFont="1" applyBorder="1"/>
    <xf numFmtId="0" fontId="0" fillId="7" borderId="116" xfId="0" applyNumberFormat="1" applyFont="1" applyFill="1" applyBorder="1"/>
    <xf numFmtId="3" fontId="0" fillId="7" borderId="117" xfId="0" applyNumberFormat="1" applyFont="1" applyFill="1" applyBorder="1"/>
    <xf numFmtId="0" fontId="54" fillId="8" borderId="116" xfId="0" applyNumberFormat="1" applyFont="1" applyFill="1" applyBorder="1"/>
    <xf numFmtId="3" fontId="54" fillId="8" borderId="117" xfId="0" applyNumberFormat="1" applyFont="1" applyFill="1" applyBorder="1"/>
    <xf numFmtId="0" fontId="40" fillId="3" borderId="27" xfId="0" applyFont="1" applyFill="1" applyBorder="1" applyAlignment="1"/>
    <xf numFmtId="0" fontId="33" fillId="0" borderId="45" xfId="0" applyFont="1" applyBorder="1" applyAlignment="1"/>
    <xf numFmtId="0" fontId="40" fillId="2" borderId="27" xfId="0" applyFont="1" applyFill="1" applyBorder="1" applyAlignment="1"/>
    <xf numFmtId="0" fontId="40" fillId="4" borderId="27" xfId="0" applyFont="1" applyFill="1" applyBorder="1" applyAlignment="1"/>
    <xf numFmtId="0" fontId="43" fillId="0" borderId="2" xfId="0" applyFont="1" applyFill="1" applyBorder="1" applyAlignment="1"/>
    <xf numFmtId="0" fontId="43" fillId="0" borderId="2" xfId="0" applyFont="1" applyBorder="1" applyAlignment="1"/>
    <xf numFmtId="0" fontId="31" fillId="5" borderId="17" xfId="81" applyFont="1" applyFill="1" applyBorder="1" applyAlignment="1">
      <alignment horizontal="center" vertical="center"/>
    </xf>
    <xf numFmtId="0" fontId="42" fillId="0" borderId="3" xfId="0" applyFont="1" applyBorder="1" applyAlignment="1">
      <alignment horizontal="center" vertical="center"/>
    </xf>
    <xf numFmtId="0" fontId="32" fillId="2" borderId="50" xfId="81" applyFont="1" applyFill="1" applyBorder="1" applyAlignment="1">
      <alignment horizontal="center"/>
    </xf>
    <xf numFmtId="0" fontId="32" fillId="2" borderId="51" xfId="81" applyFont="1" applyFill="1" applyBorder="1" applyAlignment="1">
      <alignment horizontal="center"/>
    </xf>
    <xf numFmtId="0" fontId="32" fillId="2" borderId="48" xfId="81" applyFont="1" applyFill="1" applyBorder="1" applyAlignment="1">
      <alignment horizontal="center"/>
    </xf>
    <xf numFmtId="0" fontId="32" fillId="2" borderId="73" xfId="81" applyFont="1" applyFill="1" applyBorder="1" applyAlignment="1">
      <alignment horizontal="center"/>
    </xf>
    <xf numFmtId="0" fontId="32" fillId="2" borderId="49" xfId="81" applyFont="1" applyFill="1" applyBorder="1" applyAlignment="1">
      <alignment horizontal="center"/>
    </xf>
    <xf numFmtId="0" fontId="32" fillId="2" borderId="99" xfId="81" applyFont="1" applyFill="1" applyBorder="1" applyAlignment="1">
      <alignment horizontal="center"/>
    </xf>
    <xf numFmtId="0" fontId="32" fillId="2" borderId="84" xfId="81" applyFont="1" applyFill="1" applyBorder="1" applyAlignment="1">
      <alignment horizontal="center"/>
    </xf>
    <xf numFmtId="0" fontId="43" fillId="0" borderId="2" xfId="0" applyFont="1" applyFill="1" applyBorder="1" applyAlignment="1">
      <alignment horizontal="center"/>
    </xf>
    <xf numFmtId="0" fontId="2" fillId="0" borderId="2" xfId="0" applyFont="1" applyFill="1" applyBorder="1" applyAlignment="1"/>
    <xf numFmtId="0" fontId="39" fillId="2" borderId="25" xfId="0" applyFont="1" applyFill="1" applyBorder="1" applyAlignment="1">
      <alignment horizontal="center" vertical="center"/>
    </xf>
    <xf numFmtId="0" fontId="33" fillId="2" borderId="30" xfId="0" applyFont="1" applyFill="1" applyBorder="1" applyAlignment="1">
      <alignment horizontal="center" vertical="center"/>
    </xf>
    <xf numFmtId="0" fontId="38" fillId="2" borderId="10" xfId="0" applyFont="1" applyFill="1" applyBorder="1" applyAlignment="1">
      <alignment horizontal="center" vertical="center"/>
    </xf>
    <xf numFmtId="0" fontId="33" fillId="2" borderId="11" xfId="0" applyFont="1" applyFill="1" applyBorder="1" applyAlignment="1">
      <alignment horizontal="center" vertical="center"/>
    </xf>
    <xf numFmtId="0" fontId="6" fillId="0" borderId="2" xfId="0" applyFont="1" applyFill="1" applyBorder="1" applyAlignment="1"/>
    <xf numFmtId="0" fontId="33" fillId="2" borderId="9" xfId="0" applyFont="1" applyFill="1" applyBorder="1" applyAlignment="1">
      <alignment horizontal="center" vertical="center"/>
    </xf>
    <xf numFmtId="0" fontId="33" fillId="2" borderId="10" xfId="0" applyFont="1" applyFill="1" applyBorder="1" applyAlignment="1">
      <alignment horizontal="center" vertical="center"/>
    </xf>
    <xf numFmtId="0" fontId="39" fillId="2" borderId="30" xfId="0" applyFont="1" applyFill="1" applyBorder="1" applyAlignment="1">
      <alignment horizontal="center" vertical="center"/>
    </xf>
    <xf numFmtId="0" fontId="33" fillId="2" borderId="26" xfId="0" applyFont="1" applyFill="1" applyBorder="1" applyAlignment="1">
      <alignment horizontal="center" vertical="center"/>
    </xf>
    <xf numFmtId="0" fontId="39" fillId="2" borderId="10" xfId="0" applyFont="1" applyFill="1" applyBorder="1" applyAlignment="1">
      <alignment horizontal="center" vertical="center" wrapText="1"/>
    </xf>
    <xf numFmtId="0" fontId="33" fillId="2" borderId="24" xfId="0" applyFont="1" applyFill="1" applyBorder="1" applyAlignment="1">
      <alignment horizontal="center" vertical="center" wrapText="1"/>
    </xf>
    <xf numFmtId="0" fontId="37" fillId="2" borderId="10" xfId="0" applyFont="1" applyFill="1" applyBorder="1" applyAlignment="1">
      <alignment horizontal="center" vertical="center" wrapText="1"/>
    </xf>
    <xf numFmtId="0" fontId="37" fillId="2" borderId="11" xfId="0" applyFont="1" applyFill="1" applyBorder="1" applyAlignment="1">
      <alignment horizontal="center" vertical="center" wrapText="1"/>
    </xf>
    <xf numFmtId="0" fontId="33" fillId="2" borderId="23" xfId="0" applyFont="1" applyFill="1" applyBorder="1" applyAlignment="1">
      <alignment horizontal="center" vertical="center" wrapText="1"/>
    </xf>
    <xf numFmtId="0" fontId="32" fillId="2" borderId="97" xfId="81" applyFont="1" applyFill="1" applyBorder="1" applyAlignment="1">
      <alignment horizontal="center"/>
    </xf>
    <xf numFmtId="0" fontId="32" fillId="2" borderId="98" xfId="81" applyFont="1" applyFill="1" applyBorder="1" applyAlignment="1">
      <alignment horizontal="center"/>
    </xf>
    <xf numFmtId="0" fontId="32" fillId="2" borderId="92" xfId="81" applyFont="1" applyFill="1" applyBorder="1" applyAlignment="1">
      <alignment horizontal="center"/>
    </xf>
    <xf numFmtId="0" fontId="2" fillId="0" borderId="2" xfId="14" applyFont="1" applyFill="1" applyBorder="1" applyAlignment="1"/>
    <xf numFmtId="0" fontId="43" fillId="0" borderId="2" xfId="14" applyFont="1" applyFill="1" applyBorder="1" applyAlignment="1"/>
    <xf numFmtId="0" fontId="0" fillId="0" borderId="2" xfId="0" applyBorder="1" applyAlignment="1"/>
    <xf numFmtId="164" fontId="32" fillId="0" borderId="0" xfId="53" applyNumberFormat="1" applyFont="1" applyFill="1" applyBorder="1" applyAlignment="1">
      <alignment horizontal="center"/>
    </xf>
    <xf numFmtId="164" fontId="30" fillId="0" borderId="0" xfId="79" applyNumberFormat="1" applyFont="1" applyFill="1" applyBorder="1" applyAlignment="1">
      <alignment horizontal="center"/>
    </xf>
    <xf numFmtId="164" fontId="32" fillId="2" borderId="25" xfId="53" applyNumberFormat="1" applyFont="1" applyFill="1" applyBorder="1" applyAlignment="1">
      <alignment horizontal="right"/>
    </xf>
    <xf numFmtId="164" fontId="30" fillId="2" borderId="30" xfId="79" applyNumberFormat="1" applyFont="1" applyFill="1" applyBorder="1" applyAlignment="1">
      <alignment horizontal="right"/>
    </xf>
    <xf numFmtId="164" fontId="44" fillId="0" borderId="2" xfId="14" applyNumberFormat="1" applyFont="1" applyFill="1" applyBorder="1" applyAlignment="1"/>
    <xf numFmtId="0" fontId="6" fillId="0" borderId="2" xfId="14" applyFont="1" applyFill="1" applyBorder="1" applyAlignment="1">
      <alignment wrapText="1"/>
    </xf>
    <xf numFmtId="0" fontId="6" fillId="0" borderId="2" xfId="14" applyFont="1" applyFill="1" applyBorder="1" applyAlignment="1"/>
    <xf numFmtId="3" fontId="29" fillId="2" borderId="64" xfId="78" applyNumberFormat="1" applyFont="1" applyFill="1" applyBorder="1" applyAlignment="1">
      <alignment horizontal="left"/>
    </xf>
    <xf numFmtId="0" fontId="33" fillId="2" borderId="56" xfId="0" applyFont="1" applyFill="1" applyBorder="1" applyAlignment="1"/>
    <xf numFmtId="3" fontId="29" fillId="2" borderId="58" xfId="78" applyNumberFormat="1" applyFont="1" applyFill="1" applyBorder="1" applyAlignment="1"/>
    <xf numFmtId="0" fontId="40" fillId="2" borderId="64" xfId="0" applyFont="1" applyFill="1" applyBorder="1" applyAlignment="1">
      <alignment horizontal="left"/>
    </xf>
    <xf numFmtId="0" fontId="33" fillId="2" borderId="52" xfId="0" applyFont="1" applyFill="1" applyBorder="1" applyAlignment="1">
      <alignment horizontal="left"/>
    </xf>
    <xf numFmtId="0" fontId="33" fillId="2" borderId="56" xfId="0" applyFont="1" applyFill="1" applyBorder="1" applyAlignment="1">
      <alignment horizontal="left"/>
    </xf>
    <xf numFmtId="0" fontId="40" fillId="2" borderId="58" xfId="0" applyFont="1" applyFill="1" applyBorder="1" applyAlignment="1">
      <alignment horizontal="left"/>
    </xf>
    <xf numFmtId="3" fontId="40" fillId="2" borderId="58" xfId="0" applyNumberFormat="1" applyFont="1" applyFill="1" applyBorder="1" applyAlignment="1">
      <alignment horizontal="left"/>
    </xf>
    <xf numFmtId="3" fontId="33" fillId="2" borderId="53" xfId="0" applyNumberFormat="1" applyFont="1" applyFill="1" applyBorder="1" applyAlignment="1">
      <alignment horizontal="left"/>
    </xf>
    <xf numFmtId="9" fontId="3" fillId="2" borderId="102" xfId="80" applyNumberFormat="1" applyFont="1" applyFill="1" applyBorder="1" applyAlignment="1">
      <alignment horizontal="left"/>
    </xf>
    <xf numFmtId="9" fontId="3" fillId="2" borderId="6" xfId="80" applyNumberFormat="1" applyFont="1" applyFill="1" applyBorder="1" applyAlignment="1">
      <alignment horizontal="left"/>
    </xf>
    <xf numFmtId="9" fontId="3" fillId="2" borderId="7" xfId="80" applyNumberFormat="1" applyFont="1" applyFill="1" applyBorder="1" applyAlignment="1">
      <alignment horizontal="left"/>
    </xf>
    <xf numFmtId="3" fontId="3" fillId="2" borderId="4" xfId="80" applyNumberFormat="1" applyFont="1" applyFill="1" applyBorder="1" applyAlignment="1">
      <alignment horizontal="left"/>
    </xf>
    <xf numFmtId="3" fontId="3" fillId="2" borderId="101" xfId="80" applyNumberFormat="1" applyFont="1" applyFill="1" applyBorder="1" applyAlignment="1">
      <alignment horizontal="left"/>
    </xf>
    <xf numFmtId="3" fontId="3" fillId="2" borderId="94" xfId="80" applyNumberFormat="1" applyFont="1" applyFill="1" applyBorder="1" applyAlignment="1">
      <alignment horizontal="left"/>
    </xf>
    <xf numFmtId="0" fontId="3" fillId="2" borderId="30" xfId="80" applyFont="1" applyFill="1" applyBorder="1" applyAlignment="1">
      <alignment horizontal="left"/>
    </xf>
    <xf numFmtId="0" fontId="3" fillId="2" borderId="25" xfId="80" applyFont="1" applyFill="1" applyBorder="1" applyAlignment="1">
      <alignment horizontal="left"/>
    </xf>
    <xf numFmtId="0" fontId="3" fillId="2" borderId="26" xfId="80" applyFont="1" applyFill="1" applyBorder="1" applyAlignment="1">
      <alignment horizontal="left"/>
    </xf>
    <xf numFmtId="0" fontId="3" fillId="2" borderId="59" xfId="80" applyFont="1" applyFill="1" applyBorder="1" applyAlignment="1">
      <alignment horizontal="left"/>
    </xf>
    <xf numFmtId="0" fontId="3" fillId="2" borderId="40" xfId="79" applyFont="1" applyFill="1" applyBorder="1" applyAlignment="1"/>
    <xf numFmtId="0" fontId="5" fillId="2" borderId="40" xfId="79" applyFont="1" applyFill="1" applyBorder="1" applyAlignment="1"/>
    <xf numFmtId="0" fontId="5" fillId="2" borderId="67" xfId="79" applyFont="1" applyFill="1" applyBorder="1" applyAlignment="1"/>
    <xf numFmtId="0" fontId="3" fillId="0" borderId="0" xfId="79" applyFont="1" applyFill="1" applyBorder="1" applyAlignment="1">
      <alignment horizontal="left"/>
    </xf>
    <xf numFmtId="0" fontId="5" fillId="0" borderId="0" xfId="79" applyFont="1" applyFill="1" applyBorder="1" applyAlignment="1"/>
    <xf numFmtId="0" fontId="3" fillId="2" borderId="65" xfId="53" applyFont="1" applyFill="1" applyBorder="1" applyAlignment="1">
      <alignment horizontal="right"/>
    </xf>
    <xf numFmtId="0" fontId="5" fillId="2" borderId="66" xfId="79" applyFont="1" applyFill="1" applyBorder="1" applyAlignment="1"/>
    <xf numFmtId="0" fontId="3" fillId="2" borderId="41" xfId="79" applyFont="1" applyFill="1" applyBorder="1" applyAlignment="1">
      <alignment horizontal="left"/>
    </xf>
    <xf numFmtId="0" fontId="5" fillId="2" borderId="40" xfId="79" applyFont="1" applyFill="1" applyBorder="1" applyAlignment="1">
      <alignment horizontal="left"/>
    </xf>
    <xf numFmtId="0" fontId="3" fillId="2" borderId="40" xfId="79" applyFont="1" applyFill="1" applyBorder="1" applyAlignment="1">
      <alignment horizontal="left"/>
    </xf>
    <xf numFmtId="0" fontId="5" fillId="2" borderId="67" xfId="79" applyFont="1" applyFill="1" applyBorder="1" applyAlignment="1">
      <alignment horizontal="left"/>
    </xf>
    <xf numFmtId="0" fontId="2" fillId="0" borderId="2" xfId="26" applyFont="1" applyFill="1" applyBorder="1" applyAlignment="1"/>
    <xf numFmtId="3" fontId="56" fillId="4" borderId="90" xfId="0" applyNumberFormat="1" applyFont="1" applyFill="1" applyBorder="1" applyAlignment="1">
      <alignment horizontal="center" vertical="center"/>
    </xf>
    <xf numFmtId="3" fontId="56" fillId="4" borderId="104" xfId="0" applyNumberFormat="1" applyFont="1" applyFill="1" applyBorder="1" applyAlignment="1">
      <alignment horizontal="center" vertical="center"/>
    </xf>
    <xf numFmtId="9" fontId="56" fillId="4" borderId="90" xfId="0" applyNumberFormat="1" applyFont="1" applyFill="1" applyBorder="1" applyAlignment="1">
      <alignment horizontal="center" vertical="center"/>
    </xf>
    <xf numFmtId="9" fontId="56" fillId="4" borderId="104" xfId="0" applyNumberFormat="1" applyFont="1" applyFill="1" applyBorder="1" applyAlignment="1">
      <alignment horizontal="center" vertical="center"/>
    </xf>
    <xf numFmtId="3" fontId="56" fillId="4" borderId="91" xfId="0" applyNumberFormat="1" applyFont="1" applyFill="1" applyBorder="1" applyAlignment="1">
      <alignment horizontal="center" vertical="center" wrapText="1"/>
    </xf>
    <xf numFmtId="3" fontId="56" fillId="4" borderId="105" xfId="0" applyNumberFormat="1" applyFont="1" applyFill="1" applyBorder="1" applyAlignment="1">
      <alignment horizontal="center" vertical="center" wrapText="1"/>
    </xf>
    <xf numFmtId="0" fontId="40" fillId="2" borderId="112" xfId="0" applyFont="1" applyFill="1" applyBorder="1" applyAlignment="1">
      <alignment horizontal="center" vertical="center" wrapText="1"/>
    </xf>
    <xf numFmtId="0" fontId="40" fillId="2" borderId="94" xfId="0" applyFont="1" applyFill="1" applyBorder="1" applyAlignment="1">
      <alignment horizontal="center" vertical="center" wrapText="1"/>
    </xf>
    <xf numFmtId="0" fontId="56" fillId="9" borderId="114" xfId="0" applyFont="1" applyFill="1" applyBorder="1" applyAlignment="1">
      <alignment horizontal="center"/>
    </xf>
    <xf numFmtId="0" fontId="56" fillId="9" borderId="113" xfId="0" applyFont="1" applyFill="1" applyBorder="1" applyAlignment="1">
      <alignment horizontal="center"/>
    </xf>
    <xf numFmtId="0" fontId="56" fillId="9" borderId="89" xfId="0" applyFont="1" applyFill="1" applyBorder="1" applyAlignment="1">
      <alignment horizontal="center"/>
    </xf>
    <xf numFmtId="0" fontId="56" fillId="2" borderId="91" xfId="0" applyFont="1" applyFill="1" applyBorder="1" applyAlignment="1">
      <alignment horizontal="center" vertical="center" wrapText="1"/>
    </xf>
    <xf numFmtId="0" fontId="56" fillId="2" borderId="105" xfId="0" applyFont="1" applyFill="1" applyBorder="1" applyAlignment="1">
      <alignment horizontal="center" vertical="center" wrapText="1"/>
    </xf>
    <xf numFmtId="0" fontId="40" fillId="4" borderId="100" xfId="0" applyFont="1" applyFill="1" applyBorder="1" applyAlignment="1">
      <alignment horizontal="center" vertical="center" wrapText="1"/>
    </xf>
    <xf numFmtId="0" fontId="40" fillId="4" borderId="77" xfId="0" applyFont="1" applyFill="1" applyBorder="1" applyAlignment="1">
      <alignment horizontal="center" vertical="center" wrapText="1"/>
    </xf>
    <xf numFmtId="0" fontId="60" fillId="2" borderId="48" xfId="0" applyFont="1" applyFill="1" applyBorder="1" applyAlignment="1">
      <alignment horizontal="center"/>
    </xf>
    <xf numFmtId="0" fontId="60" fillId="2" borderId="97" xfId="0" applyFont="1" applyFill="1" applyBorder="1" applyAlignment="1">
      <alignment horizontal="center"/>
    </xf>
    <xf numFmtId="0" fontId="60" fillId="2" borderId="84" xfId="0" applyFont="1" applyFill="1" applyBorder="1" applyAlignment="1">
      <alignment horizontal="center"/>
    </xf>
    <xf numFmtId="0" fontId="60" fillId="4" borderId="25" xfId="0" applyFont="1" applyFill="1" applyBorder="1" applyAlignment="1">
      <alignment horizontal="center"/>
    </xf>
    <xf numFmtId="0" fontId="60" fillId="4" borderId="79" xfId="0" applyFont="1" applyFill="1" applyBorder="1" applyAlignment="1">
      <alignment horizontal="center"/>
    </xf>
    <xf numFmtId="0" fontId="60" fillId="4" borderId="80" xfId="0" applyFont="1" applyFill="1" applyBorder="1" applyAlignment="1">
      <alignment horizontal="center"/>
    </xf>
    <xf numFmtId="0" fontId="60" fillId="2" borderId="25" xfId="0" applyFont="1" applyFill="1" applyBorder="1" applyAlignment="1">
      <alignment horizontal="center"/>
    </xf>
    <xf numFmtId="0" fontId="60" fillId="2" borderId="79" xfId="0" applyFont="1" applyFill="1" applyBorder="1" applyAlignment="1">
      <alignment horizontal="center"/>
    </xf>
    <xf numFmtId="0" fontId="60" fillId="2" borderId="80" xfId="0" applyFont="1" applyFill="1" applyBorder="1" applyAlignment="1">
      <alignment horizontal="center"/>
    </xf>
    <xf numFmtId="166" fontId="40" fillId="2" borderId="81" xfId="0" applyNumberFormat="1" applyFont="1" applyFill="1" applyBorder="1" applyAlignment="1">
      <alignment horizontal="center" vertical="center"/>
    </xf>
    <xf numFmtId="0" fontId="33" fillId="0" borderId="110" xfId="0" applyFont="1" applyBorder="1" applyAlignment="1">
      <alignment horizontal="center" vertical="center"/>
    </xf>
    <xf numFmtId="0" fontId="56" fillId="4" borderId="103" xfId="0" applyFont="1" applyFill="1" applyBorder="1" applyAlignment="1">
      <alignment horizontal="center" vertical="center" wrapText="1"/>
    </xf>
    <xf numFmtId="0" fontId="56" fillId="4" borderId="111" xfId="0" applyFont="1" applyFill="1" applyBorder="1" applyAlignment="1">
      <alignment horizontal="center" vertical="center" wrapText="1"/>
    </xf>
    <xf numFmtId="0" fontId="56" fillId="4" borderId="90" xfId="0" applyFont="1" applyFill="1" applyBorder="1" applyAlignment="1">
      <alignment horizontal="center" vertical="center" wrapText="1"/>
    </xf>
    <xf numFmtId="0" fontId="56" fillId="4" borderId="104" xfId="0" applyFont="1" applyFill="1" applyBorder="1" applyAlignment="1">
      <alignment horizontal="center" vertical="center" wrapText="1"/>
    </xf>
    <xf numFmtId="0" fontId="56" fillId="4" borderId="91" xfId="0" applyFont="1" applyFill="1" applyBorder="1" applyAlignment="1">
      <alignment horizontal="center" vertical="center" wrapText="1"/>
    </xf>
    <xf numFmtId="0" fontId="56" fillId="4" borderId="105" xfId="0" applyFont="1" applyFill="1" applyBorder="1" applyAlignment="1">
      <alignment horizontal="center" vertical="center" wrapText="1"/>
    </xf>
    <xf numFmtId="0" fontId="40" fillId="4" borderId="1" xfId="0" applyFont="1" applyFill="1" applyBorder="1" applyAlignment="1">
      <alignment horizontal="center" vertical="center" wrapText="1"/>
    </xf>
    <xf numFmtId="0" fontId="40" fillId="4" borderId="3" xfId="0" applyFont="1" applyFill="1" applyBorder="1" applyAlignment="1">
      <alignment horizontal="center" vertical="center" wrapText="1"/>
    </xf>
    <xf numFmtId="168" fontId="56" fillId="2" borderId="103" xfId="0" applyNumberFormat="1" applyFont="1" applyFill="1" applyBorder="1" applyAlignment="1">
      <alignment horizontal="center" vertical="center" wrapText="1"/>
    </xf>
    <xf numFmtId="168" fontId="56" fillId="2" borderId="111" xfId="0" applyNumberFormat="1" applyFont="1" applyFill="1" applyBorder="1" applyAlignment="1">
      <alignment horizontal="center" vertical="center" wrapText="1"/>
    </xf>
    <xf numFmtId="0" fontId="56" fillId="2" borderId="90" xfId="0" applyFont="1" applyFill="1" applyBorder="1" applyAlignment="1">
      <alignment horizontal="center" vertical="center" wrapText="1"/>
    </xf>
    <xf numFmtId="0" fontId="56" fillId="2" borderId="104" xfId="0" applyFont="1" applyFill="1" applyBorder="1" applyAlignment="1">
      <alignment horizontal="center" vertical="center" wrapText="1"/>
    </xf>
    <xf numFmtId="0" fontId="2" fillId="0" borderId="2" xfId="0" applyFont="1" applyFill="1" applyBorder="1" applyAlignment="1">
      <alignment wrapText="1"/>
    </xf>
    <xf numFmtId="0" fontId="40" fillId="2" borderId="62" xfId="0" applyFont="1" applyFill="1" applyBorder="1" applyAlignment="1">
      <alignment vertical="center"/>
    </xf>
    <xf numFmtId="3" fontId="32" fillId="2" borderId="64" xfId="26" applyNumberFormat="1" applyFont="1" applyFill="1" applyBorder="1" applyAlignment="1">
      <alignment horizontal="center"/>
    </xf>
    <xf numFmtId="3" fontId="32" fillId="2" borderId="52" xfId="26" applyNumberFormat="1" applyFont="1" applyFill="1" applyBorder="1" applyAlignment="1">
      <alignment horizontal="center"/>
    </xf>
    <xf numFmtId="3" fontId="32" fillId="2" borderId="95" xfId="26" applyNumberFormat="1" applyFont="1" applyFill="1" applyBorder="1" applyAlignment="1">
      <alignment horizontal="center"/>
    </xf>
    <xf numFmtId="3" fontId="32" fillId="2" borderId="53" xfId="26" applyNumberFormat="1" applyFont="1" applyFill="1" applyBorder="1" applyAlignment="1">
      <alignment horizontal="center"/>
    </xf>
    <xf numFmtId="3" fontId="32" fillId="2" borderId="100" xfId="26" applyNumberFormat="1" applyFont="1" applyFill="1" applyBorder="1" applyAlignment="1">
      <alignment horizontal="center"/>
    </xf>
    <xf numFmtId="3" fontId="32" fillId="2" borderId="77" xfId="26" applyNumberFormat="1" applyFont="1" applyFill="1" applyBorder="1" applyAlignment="1">
      <alignment horizontal="center"/>
    </xf>
    <xf numFmtId="0" fontId="32" fillId="2" borderId="31" xfId="0" applyFont="1" applyFill="1" applyBorder="1" applyAlignment="1">
      <alignment horizontal="center" vertical="top" wrapText="1"/>
    </xf>
    <xf numFmtId="3" fontId="32" fillId="2" borderId="53" xfId="0" applyNumberFormat="1" applyFont="1" applyFill="1" applyBorder="1" applyAlignment="1">
      <alignment horizontal="center" vertical="top"/>
    </xf>
    <xf numFmtId="0" fontId="32" fillId="2" borderId="31" xfId="0" applyFont="1" applyFill="1" applyBorder="1" applyAlignment="1">
      <alignment horizontal="center" vertical="top"/>
    </xf>
    <xf numFmtId="0" fontId="32" fillId="2" borderId="31" xfId="0" applyFont="1" applyFill="1" applyBorder="1" applyAlignment="1">
      <alignment horizontal="center" vertical="center"/>
    </xf>
    <xf numFmtId="0" fontId="32" fillId="2" borderId="64" xfId="0" quotePrefix="1" applyFont="1" applyFill="1" applyBorder="1" applyAlignment="1">
      <alignment horizontal="center"/>
    </xf>
    <xf numFmtId="0" fontId="32" fillId="2" borderId="53" xfId="0" applyFont="1" applyFill="1" applyBorder="1" applyAlignment="1">
      <alignment horizontal="center"/>
    </xf>
    <xf numFmtId="9" fontId="45" fillId="2" borderId="53" xfId="0" applyNumberFormat="1" applyFont="1" applyFill="1" applyBorder="1" applyAlignment="1">
      <alignment horizontal="center" vertical="top"/>
    </xf>
    <xf numFmtId="0" fontId="32" fillId="2" borderId="76" xfId="0" applyNumberFormat="1" applyFont="1" applyFill="1" applyBorder="1" applyAlignment="1">
      <alignment horizontal="center" vertical="top"/>
    </xf>
    <xf numFmtId="0" fontId="32" fillId="2" borderId="76" xfId="0" applyFont="1" applyFill="1" applyBorder="1" applyAlignment="1">
      <alignment horizontal="center" vertical="top" wrapText="1"/>
    </xf>
    <xf numFmtId="0" fontId="32" fillId="2" borderId="64" xfId="0" quotePrefix="1" applyNumberFormat="1" applyFont="1" applyFill="1" applyBorder="1" applyAlignment="1">
      <alignment horizontal="center"/>
    </xf>
    <xf numFmtId="0" fontId="32" fillId="2" borderId="53" xfId="0" applyNumberFormat="1" applyFont="1" applyFill="1" applyBorder="1" applyAlignment="1">
      <alignment horizontal="center"/>
    </xf>
    <xf numFmtId="49" fontId="32" fillId="2" borderId="31" xfId="0" applyNumberFormat="1" applyFont="1" applyFill="1" applyBorder="1" applyAlignment="1">
      <alignment horizontal="center" vertical="top"/>
    </xf>
    <xf numFmtId="0" fontId="45" fillId="2" borderId="53" xfId="0" applyNumberFormat="1" applyFont="1" applyFill="1" applyBorder="1" applyAlignment="1">
      <alignment horizontal="center" vertical="top"/>
    </xf>
    <xf numFmtId="3" fontId="34" fillId="10" borderId="119" xfId="0" applyNumberFormat="1" applyFont="1" applyFill="1" applyBorder="1" applyAlignment="1">
      <alignment horizontal="right" vertical="top"/>
    </xf>
    <xf numFmtId="3" fontId="34" fillId="10" borderId="120" xfId="0" applyNumberFormat="1" applyFont="1" applyFill="1" applyBorder="1" applyAlignment="1">
      <alignment horizontal="right" vertical="top"/>
    </xf>
    <xf numFmtId="177" fontId="34" fillId="10" borderId="121" xfId="0" applyNumberFormat="1" applyFont="1" applyFill="1" applyBorder="1" applyAlignment="1">
      <alignment horizontal="right" vertical="top"/>
    </xf>
    <xf numFmtId="3" fontId="34" fillId="0" borderId="119" xfId="0" applyNumberFormat="1" applyFont="1" applyBorder="1" applyAlignment="1">
      <alignment horizontal="right" vertical="top"/>
    </xf>
    <xf numFmtId="177" fontId="34" fillId="10" borderId="122" xfId="0" applyNumberFormat="1" applyFont="1" applyFill="1" applyBorder="1" applyAlignment="1">
      <alignment horizontal="right" vertical="top"/>
    </xf>
    <xf numFmtId="3" fontId="36" fillId="10" borderId="124" xfId="0" applyNumberFormat="1" applyFont="1" applyFill="1" applyBorder="1" applyAlignment="1">
      <alignment horizontal="right" vertical="top"/>
    </xf>
    <xf numFmtId="3" fontId="36" fillId="10" borderId="125" xfId="0" applyNumberFormat="1" applyFont="1" applyFill="1" applyBorder="1" applyAlignment="1">
      <alignment horizontal="right" vertical="top"/>
    </xf>
    <xf numFmtId="0" fontId="36" fillId="10" borderId="126" xfId="0" applyFont="1" applyFill="1" applyBorder="1" applyAlignment="1">
      <alignment horizontal="right" vertical="top"/>
    </xf>
    <xf numFmtId="3" fontId="36" fillId="0" borderId="124" xfId="0" applyNumberFormat="1" applyFont="1" applyBorder="1" applyAlignment="1">
      <alignment horizontal="right" vertical="top"/>
    </xf>
    <xf numFmtId="0" fontId="36" fillId="10" borderId="127" xfId="0" applyFont="1" applyFill="1" applyBorder="1" applyAlignment="1">
      <alignment horizontal="right" vertical="top"/>
    </xf>
    <xf numFmtId="0" fontId="34" fillId="10" borderId="121" xfId="0" applyFont="1" applyFill="1" applyBorder="1" applyAlignment="1">
      <alignment horizontal="right" vertical="top"/>
    </xf>
    <xf numFmtId="0" fontId="34" fillId="10" borderId="122" xfId="0" applyFont="1" applyFill="1" applyBorder="1" applyAlignment="1">
      <alignment horizontal="right" vertical="top"/>
    </xf>
    <xf numFmtId="177" fontId="36" fillId="10" borderId="126" xfId="0" applyNumberFormat="1" applyFont="1" applyFill="1" applyBorder="1" applyAlignment="1">
      <alignment horizontal="right" vertical="top"/>
    </xf>
    <xf numFmtId="177" fontId="36" fillId="10" borderId="127" xfId="0" applyNumberFormat="1" applyFont="1" applyFill="1" applyBorder="1" applyAlignment="1">
      <alignment horizontal="right" vertical="top"/>
    </xf>
    <xf numFmtId="3" fontId="36" fillId="0" borderId="128" xfId="0" applyNumberFormat="1" applyFont="1" applyBorder="1" applyAlignment="1">
      <alignment horizontal="right" vertical="top"/>
    </xf>
    <xf numFmtId="3" fontId="36" fillId="0" borderId="129" xfId="0" applyNumberFormat="1" applyFont="1" applyBorder="1" applyAlignment="1">
      <alignment horizontal="right" vertical="top"/>
    </xf>
    <xf numFmtId="3" fontId="36" fillId="0" borderId="130" xfId="0" applyNumberFormat="1" applyFont="1" applyBorder="1" applyAlignment="1">
      <alignment horizontal="right" vertical="top"/>
    </xf>
    <xf numFmtId="177" fontId="36" fillId="10" borderId="131" xfId="0" applyNumberFormat="1" applyFont="1" applyFill="1" applyBorder="1" applyAlignment="1">
      <alignment horizontal="right" vertical="top"/>
    </xf>
    <xf numFmtId="0" fontId="38" fillId="11" borderId="118" xfId="0" applyFont="1" applyFill="1" applyBorder="1" applyAlignment="1">
      <alignment vertical="top"/>
    </xf>
    <xf numFmtId="0" fontId="38" fillId="11" borderId="118" xfId="0" applyFont="1" applyFill="1" applyBorder="1" applyAlignment="1">
      <alignment vertical="top" indent="2"/>
    </xf>
    <xf numFmtId="0" fontId="38" fillId="11" borderId="118" xfId="0" applyFont="1" applyFill="1" applyBorder="1" applyAlignment="1">
      <alignment vertical="top" indent="4"/>
    </xf>
    <xf numFmtId="0" fontId="39" fillId="11" borderId="123" xfId="0" applyFont="1" applyFill="1" applyBorder="1" applyAlignment="1">
      <alignment vertical="top" indent="6"/>
    </xf>
    <xf numFmtId="0" fontId="38" fillId="11" borderId="118" xfId="0" applyFont="1" applyFill="1" applyBorder="1" applyAlignment="1">
      <alignment vertical="top" indent="8"/>
    </xf>
    <xf numFmtId="0" fontId="39" fillId="11" borderId="123" xfId="0" applyFont="1" applyFill="1" applyBorder="1" applyAlignment="1">
      <alignment vertical="top" indent="2"/>
    </xf>
    <xf numFmtId="0" fontId="38" fillId="11" borderId="118" xfId="0" applyFont="1" applyFill="1" applyBorder="1" applyAlignment="1">
      <alignment vertical="top" indent="6"/>
    </xf>
    <xf numFmtId="0" fontId="39" fillId="11" borderId="123" xfId="0" applyFont="1" applyFill="1" applyBorder="1" applyAlignment="1">
      <alignment vertical="top" indent="4"/>
    </xf>
    <xf numFmtId="0" fontId="33" fillId="11" borderId="118" xfId="0" applyFont="1" applyFill="1" applyBorder="1"/>
    <xf numFmtId="0" fontId="39" fillId="11" borderId="19" xfId="0" applyFont="1" applyFill="1" applyBorder="1" applyAlignment="1">
      <alignment vertical="top"/>
    </xf>
    <xf numFmtId="0" fontId="30" fillId="0" borderId="0" xfId="0" applyNumberFormat="1" applyFont="1" applyFill="1" applyBorder="1" applyAlignment="1">
      <alignment horizontal="left"/>
    </xf>
    <xf numFmtId="3" fontId="30" fillId="0" borderId="0" xfId="0" applyNumberFormat="1" applyFont="1" applyFill="1" applyBorder="1" applyAlignment="1">
      <alignment horizontal="left"/>
    </xf>
    <xf numFmtId="3" fontId="30" fillId="0" borderId="0" xfId="0" applyNumberFormat="1" applyFont="1" applyFill="1" applyBorder="1" applyAlignment="1">
      <alignment horizontal="right"/>
    </xf>
    <xf numFmtId="9" fontId="30" fillId="0" borderId="0" xfId="0" applyNumberFormat="1" applyFont="1" applyFill="1" applyBorder="1" applyAlignment="1">
      <alignment horizontal="right"/>
    </xf>
    <xf numFmtId="3" fontId="30" fillId="0" borderId="0" xfId="0" applyNumberFormat="1" applyFont="1" applyFill="1" applyBorder="1"/>
    <xf numFmtId="164" fontId="32" fillId="2" borderId="108" xfId="53" applyNumberFormat="1" applyFont="1" applyFill="1" applyBorder="1" applyAlignment="1">
      <alignment horizontal="left"/>
    </xf>
    <xf numFmtId="164" fontId="32" fillId="2" borderId="132" xfId="53" applyNumberFormat="1" applyFont="1" applyFill="1" applyBorder="1" applyAlignment="1">
      <alignment horizontal="left"/>
    </xf>
    <xf numFmtId="0" fontId="32" fillId="2" borderId="132" xfId="53" applyNumberFormat="1" applyFont="1" applyFill="1" applyBorder="1" applyAlignment="1">
      <alignment horizontal="left"/>
    </xf>
    <xf numFmtId="164" fontId="32" fillId="2" borderId="106" xfId="53" applyNumberFormat="1" applyFont="1" applyFill="1" applyBorder="1" applyAlignment="1">
      <alignment horizontal="left"/>
    </xf>
    <xf numFmtId="3" fontId="32" fillId="2" borderId="106" xfId="53" applyNumberFormat="1" applyFont="1" applyFill="1" applyBorder="1" applyAlignment="1">
      <alignment horizontal="left"/>
    </xf>
    <xf numFmtId="3" fontId="32" fillId="2" borderId="68" xfId="53" applyNumberFormat="1" applyFont="1" applyFill="1" applyBorder="1" applyAlignment="1">
      <alignment horizontal="left"/>
    </xf>
    <xf numFmtId="0" fontId="33" fillId="0" borderId="78" xfId="0" applyFont="1" applyFill="1" applyBorder="1"/>
    <xf numFmtId="0" fontId="33" fillId="0" borderId="79" xfId="0" applyFont="1" applyFill="1" applyBorder="1"/>
    <xf numFmtId="164" fontId="33" fillId="0" borderId="79" xfId="0" applyNumberFormat="1" applyFont="1" applyFill="1" applyBorder="1"/>
    <xf numFmtId="164" fontId="33" fillId="0" borderId="79" xfId="0" applyNumberFormat="1" applyFont="1" applyFill="1" applyBorder="1" applyAlignment="1">
      <alignment horizontal="right"/>
    </xf>
    <xf numFmtId="0" fontId="33" fillId="0" borderId="79" xfId="0" applyNumberFormat="1" applyFont="1" applyFill="1" applyBorder="1"/>
    <xf numFmtId="3" fontId="33" fillId="0" borderId="79" xfId="0" applyNumberFormat="1" applyFont="1" applyFill="1" applyBorder="1"/>
    <xf numFmtId="3" fontId="33" fillId="0" borderId="80" xfId="0" applyNumberFormat="1" applyFont="1" applyFill="1" applyBorder="1"/>
    <xf numFmtId="0" fontId="33" fillId="0" borderId="86" xfId="0" applyFont="1" applyFill="1" applyBorder="1"/>
    <xf numFmtId="0" fontId="33" fillId="0" borderId="87" xfId="0" applyFont="1" applyFill="1" applyBorder="1"/>
    <xf numFmtId="164" fontId="33" fillId="0" borderId="87" xfId="0" applyNumberFormat="1" applyFont="1" applyFill="1" applyBorder="1"/>
    <xf numFmtId="164" fontId="33" fillId="0" borderId="87" xfId="0" applyNumberFormat="1" applyFont="1" applyFill="1" applyBorder="1" applyAlignment="1">
      <alignment horizontal="right"/>
    </xf>
    <xf numFmtId="0" fontId="33" fillId="0" borderId="87" xfId="0" applyNumberFormat="1" applyFont="1" applyFill="1" applyBorder="1"/>
    <xf numFmtId="3" fontId="33" fillId="0" borderId="87" xfId="0" applyNumberFormat="1" applyFont="1" applyFill="1" applyBorder="1"/>
    <xf numFmtId="3" fontId="33" fillId="0" borderId="88" xfId="0" applyNumberFormat="1" applyFont="1" applyFill="1" applyBorder="1"/>
    <xf numFmtId="0" fontId="33" fillId="0" borderId="81" xfId="0" applyFont="1" applyFill="1" applyBorder="1"/>
    <xf numFmtId="0" fontId="33" fillId="0" borderId="82" xfId="0" applyFont="1" applyFill="1" applyBorder="1"/>
    <xf numFmtId="164" fontId="33" fillId="0" borderId="82" xfId="0" applyNumberFormat="1" applyFont="1" applyFill="1" applyBorder="1"/>
    <xf numFmtId="164" fontId="33" fillId="0" borderId="82" xfId="0" applyNumberFormat="1" applyFont="1" applyFill="1" applyBorder="1" applyAlignment="1">
      <alignment horizontal="right"/>
    </xf>
    <xf numFmtId="0" fontId="33" fillId="0" borderId="82" xfId="0" applyNumberFormat="1" applyFont="1" applyFill="1" applyBorder="1"/>
    <xf numFmtId="3" fontId="33" fillId="0" borderId="82" xfId="0" applyNumberFormat="1" applyFont="1" applyFill="1" applyBorder="1"/>
    <xf numFmtId="3" fontId="33" fillId="0" borderId="83" xfId="0" applyNumberFormat="1" applyFont="1" applyFill="1" applyBorder="1"/>
    <xf numFmtId="0" fontId="3" fillId="2" borderId="108" xfId="79" applyFont="1" applyFill="1" applyBorder="1" applyAlignment="1">
      <alignment horizontal="left"/>
    </xf>
    <xf numFmtId="3" fontId="3" fillId="2" borderId="90" xfId="80" applyNumberFormat="1" applyFont="1" applyFill="1" applyBorder="1"/>
    <xf numFmtId="3" fontId="3" fillId="2" borderId="91" xfId="80" applyNumberFormat="1" applyFont="1" applyFill="1" applyBorder="1"/>
    <xf numFmtId="9" fontId="3" fillId="2" borderId="133" xfId="80" applyNumberFormat="1" applyFont="1" applyFill="1" applyBorder="1"/>
    <xf numFmtId="9" fontId="3" fillId="2" borderId="90" xfId="80" applyNumberFormat="1" applyFont="1" applyFill="1" applyBorder="1"/>
    <xf numFmtId="9" fontId="3" fillId="2" borderId="91" xfId="80" applyNumberFormat="1" applyFont="1" applyFill="1" applyBorder="1"/>
    <xf numFmtId="9" fontId="33" fillId="0" borderId="79" xfId="0" applyNumberFormat="1" applyFont="1" applyFill="1" applyBorder="1"/>
    <xf numFmtId="9" fontId="33" fillId="0" borderId="80" xfId="0" applyNumberFormat="1" applyFont="1" applyFill="1" applyBorder="1"/>
    <xf numFmtId="9" fontId="33" fillId="0" borderId="87" xfId="0" applyNumberFormat="1" applyFont="1" applyFill="1" applyBorder="1"/>
    <xf numFmtId="9" fontId="33" fillId="0" borderId="88" xfId="0" applyNumberFormat="1" applyFont="1" applyFill="1" applyBorder="1"/>
    <xf numFmtId="9" fontId="33" fillId="0" borderId="82" xfId="0" applyNumberFormat="1" applyFont="1" applyFill="1" applyBorder="1"/>
    <xf numFmtId="9" fontId="33" fillId="0" borderId="83" xfId="0" applyNumberFormat="1" applyFont="1" applyFill="1" applyBorder="1"/>
    <xf numFmtId="0" fontId="40" fillId="0" borderId="99" xfId="0" applyFont="1" applyFill="1" applyBorder="1"/>
    <xf numFmtId="0" fontId="40" fillId="0" borderId="114" xfId="0" applyFont="1" applyFill="1" applyBorder="1" applyAlignment="1">
      <alignment horizontal="left" indent="1"/>
    </xf>
    <xf numFmtId="0" fontId="40" fillId="0" borderId="98" xfId="0" applyFont="1" applyFill="1" applyBorder="1" applyAlignment="1">
      <alignment horizontal="left" indent="1"/>
    </xf>
    <xf numFmtId="9" fontId="33" fillId="0" borderId="134" xfId="0" applyNumberFormat="1" applyFont="1" applyFill="1" applyBorder="1"/>
    <xf numFmtId="9" fontId="33" fillId="0" borderId="89" xfId="0" applyNumberFormat="1" applyFont="1" applyFill="1" applyBorder="1"/>
    <xf numFmtId="9" fontId="33" fillId="0" borderId="93" xfId="0" applyNumberFormat="1" applyFont="1" applyFill="1" applyBorder="1"/>
    <xf numFmtId="3" fontId="33" fillId="0" borderId="78" xfId="0" applyNumberFormat="1" applyFont="1" applyFill="1" applyBorder="1"/>
    <xf numFmtId="3" fontId="33" fillId="0" borderId="86" xfId="0" applyNumberFormat="1" applyFont="1" applyFill="1" applyBorder="1"/>
    <xf numFmtId="3" fontId="33" fillId="0" borderId="81" xfId="0" applyNumberFormat="1" applyFont="1" applyFill="1" applyBorder="1"/>
    <xf numFmtId="9" fontId="33" fillId="0" borderId="135" xfId="0" applyNumberFormat="1" applyFont="1" applyFill="1" applyBorder="1"/>
    <xf numFmtId="9" fontId="33" fillId="0" borderId="96" xfId="0" applyNumberFormat="1" applyFont="1" applyFill="1" applyBorder="1"/>
    <xf numFmtId="9" fontId="33" fillId="0" borderId="110" xfId="0" applyNumberFormat="1" applyFont="1" applyFill="1" applyBorder="1"/>
    <xf numFmtId="9" fontId="30" fillId="0" borderId="0" xfId="0" applyNumberFormat="1" applyFont="1" applyFill="1" applyBorder="1"/>
    <xf numFmtId="0" fontId="61" fillId="0" borderId="0" xfId="0" applyFont="1" applyFill="1"/>
    <xf numFmtId="0" fontId="62" fillId="0" borderId="0" xfId="0" applyFont="1" applyFill="1"/>
    <xf numFmtId="0" fontId="40" fillId="11" borderId="99" xfId="0" applyFont="1" applyFill="1" applyBorder="1"/>
    <xf numFmtId="0" fontId="40" fillId="11" borderId="114" xfId="0" applyFont="1" applyFill="1" applyBorder="1"/>
    <xf numFmtId="0" fontId="40" fillId="11" borderId="98" xfId="0" applyFont="1" applyFill="1" applyBorder="1"/>
    <xf numFmtId="0" fontId="3" fillId="2" borderId="90" xfId="80" applyFont="1" applyFill="1" applyBorder="1"/>
    <xf numFmtId="3" fontId="33" fillId="0" borderId="135" xfId="0" applyNumberFormat="1" applyFont="1" applyFill="1" applyBorder="1"/>
    <xf numFmtId="3" fontId="33" fillId="0" borderId="96" xfId="0" applyNumberFormat="1" applyFont="1" applyFill="1" applyBorder="1"/>
    <xf numFmtId="3" fontId="33" fillId="0" borderId="110" xfId="0" applyNumberFormat="1" applyFont="1" applyFill="1" applyBorder="1"/>
    <xf numFmtId="0" fontId="33" fillId="0" borderId="99" xfId="0" applyFont="1" applyFill="1" applyBorder="1"/>
    <xf numFmtId="0" fontId="33" fillId="0" borderId="114" xfId="0" applyFont="1" applyFill="1" applyBorder="1"/>
    <xf numFmtId="0" fontId="33" fillId="0" borderId="98" xfId="0" applyFont="1" applyFill="1" applyBorder="1"/>
    <xf numFmtId="3" fontId="33" fillId="0" borderId="134" xfId="0" applyNumberFormat="1" applyFont="1" applyFill="1" applyBorder="1"/>
    <xf numFmtId="3" fontId="33" fillId="0" borderId="89" xfId="0" applyNumberFormat="1" applyFont="1" applyFill="1" applyBorder="1"/>
    <xf numFmtId="3" fontId="33" fillId="0" borderId="93" xfId="0" applyNumberFormat="1" applyFont="1" applyFill="1" applyBorder="1"/>
    <xf numFmtId="0" fontId="3" fillId="2" borderId="136" xfId="79" applyFont="1" applyFill="1" applyBorder="1" applyAlignment="1">
      <alignment horizontal="left"/>
    </xf>
    <xf numFmtId="0" fontId="3" fillId="2" borderId="137" xfId="79" applyFont="1" applyFill="1" applyBorder="1" applyAlignment="1">
      <alignment horizontal="left"/>
    </xf>
    <xf numFmtId="0" fontId="3" fillId="2" borderId="138" xfId="80" applyFont="1" applyFill="1" applyBorder="1" applyAlignment="1">
      <alignment horizontal="left"/>
    </xf>
    <xf numFmtId="0" fontId="3" fillId="2" borderId="138" xfId="79" applyFont="1" applyFill="1" applyBorder="1" applyAlignment="1">
      <alignment horizontal="left"/>
    </xf>
    <xf numFmtId="0" fontId="3" fillId="2" borderId="139" xfId="79" applyFont="1" applyFill="1" applyBorder="1" applyAlignment="1">
      <alignment horizontal="left"/>
    </xf>
    <xf numFmtId="0" fontId="33" fillId="0" borderId="25" xfId="0" applyFont="1" applyFill="1" applyBorder="1"/>
    <xf numFmtId="0" fontId="33" fillId="0" borderId="30" xfId="0" applyFont="1" applyFill="1" applyBorder="1"/>
    <xf numFmtId="0" fontId="33" fillId="0" borderId="30" xfId="0" applyFont="1" applyFill="1" applyBorder="1" applyAlignment="1">
      <alignment horizontal="right"/>
    </xf>
    <xf numFmtId="0" fontId="33" fillId="0" borderId="30" xfId="0" applyFont="1" applyFill="1" applyBorder="1" applyAlignment="1">
      <alignment horizontal="left"/>
    </xf>
    <xf numFmtId="164" fontId="33" fillId="0" borderId="30" xfId="0" applyNumberFormat="1" applyFont="1" applyFill="1" applyBorder="1"/>
    <xf numFmtId="165" fontId="33" fillId="0" borderId="30" xfId="0" applyNumberFormat="1" applyFont="1" applyFill="1" applyBorder="1"/>
    <xf numFmtId="9" fontId="33" fillId="0" borderId="30" xfId="0" applyNumberFormat="1" applyFont="1" applyFill="1" applyBorder="1"/>
    <xf numFmtId="0" fontId="33" fillId="0" borderId="140" xfId="0" applyFont="1" applyFill="1" applyBorder="1"/>
    <xf numFmtId="0" fontId="33" fillId="0" borderId="141" xfId="0" applyFont="1" applyFill="1" applyBorder="1"/>
    <xf numFmtId="0" fontId="33" fillId="0" borderId="141" xfId="0" applyFont="1" applyFill="1" applyBorder="1" applyAlignment="1">
      <alignment horizontal="right"/>
    </xf>
    <xf numFmtId="0" fontId="33" fillId="0" borderId="141" xfId="0" applyFont="1" applyFill="1" applyBorder="1" applyAlignment="1">
      <alignment horizontal="left"/>
    </xf>
    <xf numFmtId="164" fontId="33" fillId="0" borderId="141" xfId="0" applyNumberFormat="1" applyFont="1" applyFill="1" applyBorder="1"/>
    <xf numFmtId="165" fontId="33" fillId="0" borderId="141" xfId="0" applyNumberFormat="1" applyFont="1" applyFill="1" applyBorder="1"/>
    <xf numFmtId="9" fontId="33" fillId="0" borderId="141" xfId="0" applyNumberFormat="1" applyFont="1" applyFill="1" applyBorder="1"/>
    <xf numFmtId="9" fontId="33" fillId="0" borderId="142" xfId="0" applyNumberFormat="1" applyFont="1" applyFill="1" applyBorder="1"/>
    <xf numFmtId="0" fontId="33" fillId="0" borderId="143" xfId="0" applyFont="1" applyFill="1" applyBorder="1"/>
    <xf numFmtId="0" fontId="33" fillId="0" borderId="144" xfId="0" applyFont="1" applyFill="1" applyBorder="1"/>
    <xf numFmtId="0" fontId="33" fillId="0" borderId="144" xfId="0" applyFont="1" applyFill="1" applyBorder="1" applyAlignment="1">
      <alignment horizontal="right"/>
    </xf>
    <xf numFmtId="0" fontId="33" fillId="0" borderId="144" xfId="0" applyFont="1" applyFill="1" applyBorder="1" applyAlignment="1">
      <alignment horizontal="left"/>
    </xf>
    <xf numFmtId="164" fontId="33" fillId="0" borderId="144" xfId="0" applyNumberFormat="1" applyFont="1" applyFill="1" applyBorder="1"/>
    <xf numFmtId="165" fontId="33" fillId="0" borderId="144" xfId="0" applyNumberFormat="1" applyFont="1" applyFill="1" applyBorder="1"/>
    <xf numFmtId="9" fontId="33" fillId="0" borderId="144" xfId="0" applyNumberFormat="1" applyFont="1" applyFill="1" applyBorder="1"/>
    <xf numFmtId="9" fontId="33" fillId="0" borderId="145" xfId="0" applyNumberFormat="1" applyFont="1" applyFill="1" applyBorder="1"/>
    <xf numFmtId="0" fontId="40" fillId="2" borderId="55" xfId="0" applyFont="1" applyFill="1" applyBorder="1"/>
    <xf numFmtId="3" fontId="40" fillId="2" borderId="109" xfId="0" applyNumberFormat="1" applyFont="1" applyFill="1" applyBorder="1"/>
    <xf numFmtId="9" fontId="40" fillId="2" borderId="74" xfId="0" applyNumberFormat="1" applyFont="1" applyFill="1" applyBorder="1"/>
    <xf numFmtId="3" fontId="40" fillId="2" borderId="68" xfId="0" applyNumberFormat="1" applyFont="1" applyFill="1" applyBorder="1"/>
    <xf numFmtId="3" fontId="33" fillId="0" borderId="26" xfId="0" applyNumberFormat="1" applyFont="1" applyFill="1" applyBorder="1"/>
    <xf numFmtId="3" fontId="33" fillId="0" borderId="141" xfId="0" applyNumberFormat="1" applyFont="1" applyFill="1" applyBorder="1"/>
    <xf numFmtId="3" fontId="33" fillId="0" borderId="142" xfId="0" applyNumberFormat="1" applyFont="1" applyFill="1" applyBorder="1"/>
    <xf numFmtId="3" fontId="33" fillId="0" borderId="144" xfId="0" applyNumberFormat="1" applyFont="1" applyFill="1" applyBorder="1"/>
    <xf numFmtId="3" fontId="33" fillId="0" borderId="145" xfId="0" applyNumberFormat="1" applyFont="1" applyFill="1" applyBorder="1"/>
    <xf numFmtId="3" fontId="33" fillId="0" borderId="147" xfId="0" applyNumberFormat="1" applyFont="1" applyFill="1" applyBorder="1"/>
    <xf numFmtId="9" fontId="33" fillId="0" borderId="147" xfId="0" applyNumberFormat="1" applyFont="1" applyFill="1" applyBorder="1"/>
    <xf numFmtId="3" fontId="33" fillId="0" borderId="148" xfId="0" applyNumberFormat="1" applyFont="1" applyFill="1" applyBorder="1"/>
    <xf numFmtId="0" fontId="40" fillId="11" borderId="20" xfId="0" applyFont="1" applyFill="1" applyBorder="1"/>
    <xf numFmtId="3" fontId="40" fillId="11" borderId="28" xfId="0" applyNumberFormat="1" applyFont="1" applyFill="1" applyBorder="1"/>
    <xf numFmtId="9" fontId="40" fillId="11" borderId="28" xfId="0" applyNumberFormat="1" applyFont="1" applyFill="1" applyBorder="1"/>
    <xf numFmtId="3" fontId="40" fillId="11" borderId="21" xfId="0" applyNumberFormat="1" applyFont="1" applyFill="1" applyBorder="1"/>
    <xf numFmtId="0" fontId="40" fillId="0" borderId="25" xfId="0" applyFont="1" applyFill="1" applyBorder="1"/>
    <xf numFmtId="0" fontId="40" fillId="0" borderId="140" xfId="0" applyFont="1" applyFill="1" applyBorder="1"/>
    <xf numFmtId="0" fontId="40" fillId="0" borderId="146" xfId="0" applyFont="1" applyFill="1" applyBorder="1"/>
    <xf numFmtId="0" fontId="33" fillId="5" borderId="11" xfId="0" applyFont="1" applyFill="1" applyBorder="1" applyAlignment="1">
      <alignment wrapText="1"/>
    </xf>
    <xf numFmtId="0" fontId="40" fillId="2" borderId="57" xfId="0" applyFont="1" applyFill="1" applyBorder="1"/>
    <xf numFmtId="3" fontId="40" fillId="2" borderId="0" xfId="0" applyNumberFormat="1" applyFont="1" applyFill="1" applyBorder="1"/>
    <xf numFmtId="3" fontId="40" fillId="2" borderId="17" xfId="0" applyNumberFormat="1" applyFont="1" applyFill="1" applyBorder="1"/>
    <xf numFmtId="164" fontId="32" fillId="2" borderId="55" xfId="53" applyNumberFormat="1" applyFont="1" applyFill="1" applyBorder="1" applyAlignment="1">
      <alignment horizontal="left"/>
    </xf>
    <xf numFmtId="164" fontId="32" fillId="2" borderId="57" xfId="53" applyNumberFormat="1" applyFont="1" applyFill="1" applyBorder="1" applyAlignment="1">
      <alignment horizontal="left"/>
    </xf>
    <xf numFmtId="164" fontId="33" fillId="0" borderId="30" xfId="0" applyNumberFormat="1" applyFont="1" applyFill="1" applyBorder="1" applyAlignment="1">
      <alignment horizontal="right"/>
    </xf>
    <xf numFmtId="164" fontId="33" fillId="0" borderId="141" xfId="0" applyNumberFormat="1" applyFont="1" applyFill="1" applyBorder="1" applyAlignment="1">
      <alignment horizontal="right"/>
    </xf>
    <xf numFmtId="164" fontId="33" fillId="0" borderId="144" xfId="0" applyNumberFormat="1" applyFont="1" applyFill="1" applyBorder="1" applyAlignment="1">
      <alignment horizontal="right"/>
    </xf>
    <xf numFmtId="0" fontId="33" fillId="2" borderId="68" xfId="0" applyFont="1" applyFill="1" applyBorder="1" applyAlignment="1">
      <alignment vertical="center"/>
    </xf>
    <xf numFmtId="0" fontId="32" fillId="2" borderId="16" xfId="26" applyNumberFormat="1" applyFont="1" applyFill="1" applyBorder="1"/>
    <xf numFmtId="0" fontId="32" fillId="2" borderId="0" xfId="26" applyNumberFormat="1" applyFont="1" applyFill="1" applyBorder="1"/>
    <xf numFmtId="9" fontId="32" fillId="2" borderId="0" xfId="26" quotePrefix="1" applyNumberFormat="1" applyFont="1" applyFill="1" applyBorder="1" applyAlignment="1">
      <alignment horizontal="right"/>
    </xf>
    <xf numFmtId="9" fontId="32" fillId="2" borderId="17" xfId="26" applyNumberFormat="1" applyFont="1" applyFill="1" applyBorder="1" applyAlignment="1">
      <alignment horizontal="right"/>
    </xf>
    <xf numFmtId="0" fontId="60" fillId="4" borderId="25" xfId="0" applyFont="1" applyFill="1" applyBorder="1" applyAlignment="1">
      <alignment horizontal="left"/>
    </xf>
    <xf numFmtId="169" fontId="60" fillId="4" borderId="30" xfId="0" applyNumberFormat="1" applyFont="1" applyFill="1" applyBorder="1"/>
    <xf numFmtId="9" fontId="60" fillId="4" borderId="30" xfId="0" applyNumberFormat="1" applyFont="1" applyFill="1" applyBorder="1"/>
    <xf numFmtId="9" fontId="60" fillId="4" borderId="26" xfId="0" applyNumberFormat="1" applyFont="1" applyFill="1" applyBorder="1"/>
    <xf numFmtId="169" fontId="0" fillId="0" borderId="141" xfId="0" applyNumberFormat="1" applyBorder="1"/>
    <xf numFmtId="9" fontId="0" fillId="0" borderId="141" xfId="0" applyNumberFormat="1" applyBorder="1"/>
    <xf numFmtId="9" fontId="0" fillId="0" borderId="142" xfId="0" applyNumberFormat="1" applyBorder="1"/>
    <xf numFmtId="169" fontId="0" fillId="0" borderId="144" xfId="0" applyNumberFormat="1" applyBorder="1"/>
    <xf numFmtId="9" fontId="0" fillId="0" borderId="144" xfId="0" applyNumberFormat="1" applyBorder="1"/>
    <xf numFmtId="9" fontId="0" fillId="0" borderId="145" xfId="0" applyNumberFormat="1" applyBorder="1"/>
    <xf numFmtId="0" fontId="60" fillId="0" borderId="140" xfId="0" applyFont="1" applyBorder="1" applyAlignment="1">
      <alignment horizontal="left" indent="1"/>
    </xf>
    <xf numFmtId="0" fontId="60" fillId="0" borderId="143" xfId="0" applyFont="1" applyBorder="1" applyAlignment="1">
      <alignment horizontal="left" indent="1"/>
    </xf>
    <xf numFmtId="0" fontId="60" fillId="4" borderId="140" xfId="0" applyFont="1" applyFill="1" applyBorder="1" applyAlignment="1">
      <alignment horizontal="left"/>
    </xf>
    <xf numFmtId="169" fontId="60" fillId="4" borderId="141" xfId="0" applyNumberFormat="1" applyFont="1" applyFill="1" applyBorder="1"/>
    <xf numFmtId="9" fontId="60" fillId="4" borderId="141" xfId="0" applyNumberFormat="1" applyFont="1" applyFill="1" applyBorder="1"/>
    <xf numFmtId="9" fontId="60" fillId="4" borderId="142" xfId="0" applyNumberFormat="1" applyFont="1" applyFill="1" applyBorder="1"/>
    <xf numFmtId="0" fontId="32" fillId="2" borderId="17" xfId="26" applyNumberFormat="1" applyFont="1" applyFill="1" applyBorder="1"/>
    <xf numFmtId="169" fontId="33" fillId="0" borderId="30" xfId="0" applyNumberFormat="1" applyFont="1" applyFill="1" applyBorder="1"/>
    <xf numFmtId="169" fontId="33" fillId="0" borderId="26" xfId="0" applyNumberFormat="1" applyFont="1" applyFill="1" applyBorder="1"/>
    <xf numFmtId="169" fontId="33" fillId="0" borderId="144" xfId="0" applyNumberFormat="1" applyFont="1" applyFill="1" applyBorder="1"/>
    <xf numFmtId="169" fontId="33" fillId="0" borderId="145" xfId="0" applyNumberFormat="1" applyFont="1" applyFill="1" applyBorder="1"/>
    <xf numFmtId="0" fontId="40" fillId="0" borderId="143" xfId="0" applyFont="1" applyFill="1" applyBorder="1"/>
    <xf numFmtId="0" fontId="33" fillId="2" borderId="32" xfId="0" applyFont="1" applyFill="1" applyBorder="1" applyAlignment="1">
      <alignment horizontal="center" vertical="top" wrapText="1"/>
    </xf>
    <xf numFmtId="0" fontId="32" fillId="2" borderId="32" xfId="0" applyFont="1" applyFill="1" applyBorder="1" applyAlignment="1">
      <alignment horizontal="center" vertical="top" wrapText="1"/>
    </xf>
    <xf numFmtId="0" fontId="32" fillId="2" borderId="32" xfId="0" applyFont="1" applyFill="1" applyBorder="1" applyAlignment="1">
      <alignment horizontal="center" vertical="top"/>
    </xf>
    <xf numFmtId="0" fontId="0" fillId="0" borderId="32" xfId="0" applyNumberFormat="1" applyBorder="1" applyAlignment="1">
      <alignment horizontal="center" vertical="top"/>
    </xf>
    <xf numFmtId="0" fontId="32" fillId="2" borderId="32" xfId="0" applyFont="1" applyFill="1" applyBorder="1" applyAlignment="1">
      <alignment horizontal="center" vertical="center"/>
    </xf>
    <xf numFmtId="3" fontId="32" fillId="2" borderId="16" xfId="0" applyNumberFormat="1" applyFont="1" applyFill="1" applyBorder="1" applyAlignment="1">
      <alignment horizontal="left"/>
    </xf>
    <xf numFmtId="3" fontId="32" fillId="2" borderId="17" xfId="0" applyNumberFormat="1" applyFont="1" applyFill="1" applyBorder="1" applyAlignment="1">
      <alignment horizontal="center"/>
    </xf>
    <xf numFmtId="3" fontId="32" fillId="2" borderId="0" xfId="0" applyNumberFormat="1" applyFont="1" applyFill="1" applyBorder="1" applyAlignment="1">
      <alignment horizontal="center"/>
    </xf>
    <xf numFmtId="9" fontId="45" fillId="2" borderId="17" xfId="0" applyNumberFormat="1" applyFont="1" applyFill="1" applyBorder="1" applyAlignment="1">
      <alignment horizontal="center" vertical="top"/>
    </xf>
    <xf numFmtId="3" fontId="32" fillId="2" borderId="17" xfId="0" applyNumberFormat="1" applyFont="1" applyFill="1" applyBorder="1" applyAlignment="1">
      <alignment horizontal="center" vertical="top"/>
    </xf>
    <xf numFmtId="0" fontId="32" fillId="2" borderId="32" xfId="0" applyFont="1" applyFill="1" applyBorder="1" applyAlignment="1">
      <alignment horizontal="center" vertical="top" wrapText="1"/>
    </xf>
    <xf numFmtId="0" fontId="32" fillId="2" borderId="17" xfId="26" applyNumberFormat="1" applyFont="1" applyFill="1" applyBorder="1" applyAlignment="1">
      <alignment horizontal="right"/>
    </xf>
    <xf numFmtId="169" fontId="33" fillId="0" borderId="141" xfId="0" applyNumberFormat="1" applyFont="1" applyFill="1" applyBorder="1"/>
    <xf numFmtId="49" fontId="32" fillId="2" borderId="32" xfId="0" applyNumberFormat="1" applyFont="1" applyFill="1" applyBorder="1" applyAlignment="1">
      <alignment horizontal="center" vertical="top"/>
    </xf>
    <xf numFmtId="0" fontId="32" fillId="2" borderId="16" xfId="0" applyNumberFormat="1" applyFont="1" applyFill="1" applyBorder="1" applyAlignment="1">
      <alignment horizontal="left"/>
    </xf>
    <xf numFmtId="0" fontId="32" fillId="2" borderId="17" xfId="0" applyNumberFormat="1" applyFont="1" applyFill="1" applyBorder="1" applyAlignment="1">
      <alignment horizontal="left"/>
    </xf>
    <xf numFmtId="0" fontId="32" fillId="2" borderId="0" xfId="0" applyNumberFormat="1" applyFont="1" applyFill="1" applyBorder="1" applyAlignment="1">
      <alignment horizontal="left"/>
    </xf>
    <xf numFmtId="0" fontId="45" fillId="2" borderId="17" xfId="0" applyNumberFormat="1" applyFont="1" applyFill="1" applyBorder="1" applyAlignment="1">
      <alignment horizontal="center" vertical="top"/>
    </xf>
  </cellXfs>
  <cellStyles count="98">
    <cellStyle name="Hypertextový odkaz" xfId="1" builtinId="8"/>
    <cellStyle name="Měna 10" xfId="2"/>
    <cellStyle name="Měna 11" xfId="3"/>
    <cellStyle name="Měna 12" xfId="4"/>
    <cellStyle name="Měna 13" xfId="5"/>
    <cellStyle name="Měna 2" xfId="6"/>
    <cellStyle name="Měna 3" xfId="7"/>
    <cellStyle name="Měna 4" xfId="8"/>
    <cellStyle name="Měna 5" xfId="9"/>
    <cellStyle name="Měna 6" xfId="10"/>
    <cellStyle name="Měna 7" xfId="11"/>
    <cellStyle name="Měna 8" xfId="12"/>
    <cellStyle name="Měna 9" xfId="13"/>
    <cellStyle name="Normální" xfId="0" builtinId="0"/>
    <cellStyle name="Normální 10" xfId="14"/>
    <cellStyle name="Normální 11" xfId="15"/>
    <cellStyle name="Normální 12" xfId="16"/>
    <cellStyle name="Normální 13" xfId="17"/>
    <cellStyle name="Normální 14" xfId="18"/>
    <cellStyle name="Normální 15" xfId="19"/>
    <cellStyle name="Normální 16" xfId="20"/>
    <cellStyle name="Normální 17" xfId="21"/>
    <cellStyle name="Normální 18" xfId="22"/>
    <cellStyle name="Normální 19" xfId="23"/>
    <cellStyle name="normální 2" xfId="24"/>
    <cellStyle name="Normální 2 10" xfId="25"/>
    <cellStyle name="Normální 2 10 2" xfId="26"/>
    <cellStyle name="normální 2 11" xfId="27"/>
    <cellStyle name="normální 2 12" xfId="28"/>
    <cellStyle name="Normální 2 13" xfId="29"/>
    <cellStyle name="normální 2 2" xfId="30"/>
    <cellStyle name="normální 2 3" xfId="31"/>
    <cellStyle name="Normální 2 4" xfId="32"/>
    <cellStyle name="Normální 2 4 2" xfId="33"/>
    <cellStyle name="Normální 2 5" xfId="34"/>
    <cellStyle name="Normální 2 5 2" xfId="35"/>
    <cellStyle name="Normální 2 6" xfId="36"/>
    <cellStyle name="Normální 2 6 2" xfId="37"/>
    <cellStyle name="Normální 2 7" xfId="38"/>
    <cellStyle name="Normální 2 7 2" xfId="39"/>
    <cellStyle name="Normální 2 8" xfId="40"/>
    <cellStyle name="Normální 2 8 2" xfId="41"/>
    <cellStyle name="Normální 2 9" xfId="42"/>
    <cellStyle name="Normální 2 9 2" xfId="43"/>
    <cellStyle name="normální 2_Hodiny_Plan" xfId="44"/>
    <cellStyle name="Normální 20" xfId="45"/>
    <cellStyle name="Normální 21" xfId="46"/>
    <cellStyle name="Normální 22" xfId="47"/>
    <cellStyle name="normální 3" xfId="48"/>
    <cellStyle name="Normální 3 10" xfId="49"/>
    <cellStyle name="normální 3 11" xfId="50"/>
    <cellStyle name="normální 3 12" xfId="51"/>
    <cellStyle name="Normální 3 13" xfId="97"/>
    <cellStyle name="normální 3 2" xfId="52"/>
    <cellStyle name="Normální 3 3" xfId="53"/>
    <cellStyle name="Normální 3 3 2" xfId="54"/>
    <cellStyle name="Normální 3 4" xfId="55"/>
    <cellStyle name="Normální 3 5" xfId="56"/>
    <cellStyle name="Normální 3 6" xfId="57"/>
    <cellStyle name="Normální 3 7" xfId="58"/>
    <cellStyle name="Normální 3 8" xfId="59"/>
    <cellStyle name="Normální 3 9" xfId="60"/>
    <cellStyle name="normální 3_Hodiny_" xfId="61"/>
    <cellStyle name="normální 4" xfId="62"/>
    <cellStyle name="normální 4 2" xfId="63"/>
    <cellStyle name="normální 4 2 2" xfId="64"/>
    <cellStyle name="normální 4 2_Hodiny_" xfId="65"/>
    <cellStyle name="normální 4 3" xfId="66"/>
    <cellStyle name="normální 4 4" xfId="67"/>
    <cellStyle name="normální 4 5" xfId="68"/>
    <cellStyle name="normální 4 6" xfId="69"/>
    <cellStyle name="normální 4_Hodiny_" xfId="70"/>
    <cellStyle name="normální 5" xfId="71"/>
    <cellStyle name="normální 6" xfId="72"/>
    <cellStyle name="normální 7" xfId="73"/>
    <cellStyle name="Normální 8" xfId="74"/>
    <cellStyle name="Normální 8 2" xfId="75"/>
    <cellStyle name="Normální 9" xfId="76"/>
    <cellStyle name="Normální 9 2" xfId="77"/>
    <cellStyle name="normální_LEK_01" xfId="78"/>
    <cellStyle name="normální_LEK_FNOL" xfId="79"/>
    <cellStyle name="normální_LEK_FNOL 2" xfId="80"/>
    <cellStyle name="normální_Manažerské tabulky" xfId="81"/>
    <cellStyle name="normální_Sestava hospodaření" xfId="82"/>
    <cellStyle name="Procenta 10" xfId="83"/>
    <cellStyle name="Procenta 11" xfId="84"/>
    <cellStyle name="Procenta 2" xfId="85"/>
    <cellStyle name="Procenta 2 2" xfId="86"/>
    <cellStyle name="Procenta 2 2 2" xfId="87"/>
    <cellStyle name="Procenta 2 3" xfId="88"/>
    <cellStyle name="Procenta 3" xfId="89"/>
    <cellStyle name="Procenta 3 2" xfId="90"/>
    <cellStyle name="Procenta 4" xfId="91"/>
    <cellStyle name="Procenta 5" xfId="92"/>
    <cellStyle name="Procenta 6" xfId="93"/>
    <cellStyle name="Procenta 7" xfId="94"/>
    <cellStyle name="Procenta 8" xfId="95"/>
    <cellStyle name="Procenta 9" xfId="96"/>
  </cellStyles>
  <dxfs count="103">
    <dxf>
      <font>
        <b/>
        <i val="0"/>
        <color rgb="FFFF0000"/>
      </font>
    </dxf>
    <dxf>
      <font>
        <color theme="0"/>
      </font>
    </dxf>
    <dxf>
      <font>
        <b/>
        <i val="0"/>
      </font>
      <fill>
        <patternFill>
          <bgColor theme="3" tint="0.79998168889431442"/>
        </patternFill>
      </fill>
      <border>
        <top style="thin">
          <color auto="1"/>
        </top>
        <bottom style="thin">
          <color auto="1"/>
        </bottom>
      </border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</font>
      <fill>
        <patternFill>
          <bgColor theme="5" tint="0.79998168889431442"/>
        </patternFill>
      </fill>
    </dxf>
    <dxf>
      <font>
        <b/>
        <i val="0"/>
      </font>
      <fill>
        <patternFill>
          <bgColor theme="3" tint="0.79998168889431442"/>
        </patternFill>
      </fill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ill>
        <patternFill patternType="solid">
          <bgColor theme="5" tint="0.79998168889431442"/>
        </patternFill>
      </fill>
    </dxf>
    <dxf>
      <font>
        <b/>
        <i val="0"/>
        <color rgb="FFFF0000"/>
      </font>
    </dxf>
    <dxf>
      <font>
        <b/>
        <i val="0"/>
      </font>
      <fill>
        <patternFill>
          <bgColor theme="3" tint="0.79998168889431442"/>
        </patternFill>
      </fill>
    </dxf>
    <dxf>
      <font>
        <b/>
        <i val="0"/>
        <color rgb="FFFF0000"/>
      </font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ont>
        <b/>
        <i val="0"/>
      </font>
      <fill>
        <patternFill>
          <bgColor theme="3" tint="0.79998168889431442"/>
        </patternFill>
      </fill>
    </dxf>
    <dxf>
      <font>
        <b/>
        <i val="0"/>
      </font>
      <fill>
        <patternFill>
          <bgColor theme="5" tint="0.79998168889431442"/>
        </patternFill>
      </fill>
    </dxf>
    <dxf>
      <font>
        <b/>
        <i val="0"/>
      </font>
      <fill>
        <patternFill>
          <bgColor theme="3" tint="0.79998168889431442"/>
        </patternFill>
      </fill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ill>
        <patternFill patternType="solid">
          <bgColor theme="5" tint="0.79998168889431442"/>
        </patternFill>
      </fill>
    </dxf>
    <dxf>
      <font>
        <b/>
        <i val="0"/>
        <color rgb="FFFF0000"/>
      </font>
    </dxf>
    <dxf>
      <font>
        <b/>
        <i val="0"/>
        <color rgb="FFFF0000"/>
      </font>
    </dxf>
    <dxf>
      <font>
        <color rgb="FFFF0000"/>
      </font>
    </dxf>
    <dxf>
      <font>
        <b/>
        <i val="0"/>
        <color rgb="FFFF0000"/>
      </font>
    </dxf>
    <dxf>
      <font>
        <color rgb="FFFF0000"/>
      </font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ont>
        <b/>
        <i val="0"/>
      </font>
      <fill>
        <patternFill>
          <bgColor theme="5" tint="0.79998168889431442"/>
        </patternFill>
      </fill>
    </dxf>
    <dxf>
      <font>
        <b/>
        <i val="0"/>
      </font>
      <fill>
        <patternFill>
          <bgColor theme="3" tint="0.79998168889431442"/>
        </patternFill>
      </fill>
    </dxf>
    <dxf>
      <font>
        <b/>
        <i val="0"/>
        <color rgb="FFFF0000"/>
      </font>
    </dxf>
    <dxf>
      <font>
        <b/>
        <i val="0"/>
      </font>
      <fill>
        <patternFill>
          <bgColor theme="3" tint="0.79998168889431442"/>
        </patternFill>
      </fill>
    </dxf>
    <dxf>
      <fill>
        <patternFill patternType="solid">
          <bgColor theme="5" tint="0.79998168889431442"/>
        </patternFill>
      </fill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ont>
        <b/>
        <i val="0"/>
      </font>
      <fill>
        <patternFill>
          <bgColor theme="5" tint="0.79998168889431442"/>
        </patternFill>
      </fill>
    </dxf>
    <dxf>
      <font>
        <b/>
        <i val="0"/>
      </font>
      <fill>
        <patternFill>
          <bgColor theme="3" tint="0.79998168889431442"/>
        </patternFill>
      </fill>
    </dxf>
    <dxf>
      <font>
        <b/>
        <i val="0"/>
        <color rgb="FFFF0000"/>
      </font>
    </dxf>
    <dxf>
      <font>
        <b/>
        <i val="0"/>
      </font>
      <fill>
        <patternFill>
          <bgColor theme="3" tint="0.79998168889431442"/>
        </patternFill>
      </fill>
    </dxf>
    <dxf>
      <fill>
        <patternFill patternType="solid">
          <bgColor theme="5" tint="0.79998168889431442"/>
        </patternFill>
      </fill>
    </dxf>
    <dxf>
      <font>
        <color rgb="FFFF0000"/>
      </font>
    </dxf>
    <dxf>
      <font>
        <b/>
        <i val="0"/>
        <color rgb="FFFF0000"/>
      </font>
    </dxf>
    <dxf>
      <font>
        <b/>
        <i val="0"/>
      </font>
      <fill>
        <patternFill>
          <bgColor theme="5" tint="0.79998168889431442"/>
        </patternFill>
      </fill>
    </dxf>
    <dxf>
      <font>
        <b/>
        <i val="0"/>
      </font>
      <fill>
        <patternFill>
          <bgColor theme="3" tint="0.79998168889431442"/>
        </patternFill>
      </fill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ill>
        <patternFill patternType="solid">
          <bgColor theme="5" tint="0.79998168889431442"/>
        </patternFill>
      </fill>
    </dxf>
    <dxf>
      <font>
        <b/>
        <i val="0"/>
        <color rgb="FFFF0000"/>
      </font>
    </dxf>
    <dxf>
      <font>
        <b/>
        <i val="0"/>
      </font>
      <fill>
        <patternFill>
          <bgColor theme="3" tint="0.79998168889431442"/>
        </patternFill>
      </fill>
    </dxf>
    <dxf>
      <font>
        <b/>
        <i val="0"/>
        <color rgb="FFFF0000"/>
      </font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ont>
        <b/>
        <i val="0"/>
      </font>
      <fill>
        <patternFill>
          <bgColor theme="3" tint="0.79998168889431442"/>
        </patternFill>
      </fill>
    </dxf>
    <dxf>
      <font>
        <b/>
        <i val="0"/>
      </font>
      <fill>
        <patternFill>
          <bgColor theme="5" tint="0.79998168889431442"/>
        </patternFill>
      </fill>
    </dxf>
    <dxf>
      <font>
        <b/>
        <i val="0"/>
      </font>
      <fill>
        <patternFill>
          <bgColor theme="3" tint="0.79998168889431442"/>
        </patternFill>
      </fill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ill>
        <patternFill patternType="solid">
          <bgColor theme="5" tint="0.79998168889431442"/>
        </patternFill>
      </fill>
    </dxf>
    <dxf>
      <font>
        <b/>
        <i val="0"/>
        <color rgb="FFFF0000"/>
      </font>
    </dxf>
    <dxf>
      <font>
        <b/>
        <i val="0"/>
        <color rgb="FFFF0000"/>
      </font>
    </dxf>
    <dxf>
      <font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numFmt numFmtId="173" formatCode="#,##0;\-#,##0;"/>
    </dxf>
    <dxf>
      <numFmt numFmtId="175" formatCode="#,##0%;\-#,##0%;"/>
    </dxf>
    <dxf>
      <numFmt numFmtId="173" formatCode="#,##0;\-#,##0;"/>
    </dxf>
    <dxf>
      <numFmt numFmtId="173" formatCode="#,##0;\-#,##0;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73" formatCode="#,##0;\-#,##0;"/>
      <alignment horizontal="general" vertical="center" textRotation="0" wrapText="0" indent="0" justifyLastLine="0" shrinkToFit="0" readingOrder="0"/>
      <border diagonalUp="0" diagonalDown="0">
        <left style="medium">
          <color auto="1"/>
        </left>
        <right style="medium">
          <color auto="1"/>
        </right>
        <top/>
        <bottom/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73" formatCode="#,##0;\-#,##0;"/>
      <alignment horizontal="general" vertical="center" textRotation="0" wrapText="0" indent="0" justifyLastLine="0" shrinkToFit="0" readingOrder="0"/>
      <border diagonalUp="0" diagonalDown="0">
        <left/>
        <right style="medium">
          <color auto="1"/>
        </right>
        <top/>
        <bottom/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73" formatCode="#,##0;\-#,##0;"/>
      <alignment horizontal="general" vertical="center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73" formatCode="#,##0;\-#,##0;"/>
      <alignment horizontal="general" vertical="center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73" formatCode="#,##0;\-#,##0;"/>
      <alignment horizontal="general" vertical="center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73" formatCode="#,##0;\-#,##0;"/>
      <alignment horizontal="general" vertical="center" textRotation="0" wrapText="0" indent="0" justifyLastLine="0" shrinkToFit="0" readingOrder="0"/>
      <border diagonalUp="0" diagonalDown="0">
        <left/>
        <right style="medium">
          <color auto="1"/>
        </right>
        <top/>
        <bottom/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73" formatCode="#,##0;\-#,##0;"/>
      <alignment horizontal="general" vertical="center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73" formatCode="#,##0;\-#,##0;"/>
      <alignment horizontal="general" vertical="center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73" formatCode="#,##0;\-#,##0;"/>
      <alignment horizontal="general" vertical="center" textRotation="0" wrapText="0" indent="0" justifyLastLine="0" shrinkToFit="0" readingOrder="0"/>
      <border diagonalUp="0" diagonalDown="0">
        <left style="medium">
          <color auto="1"/>
        </left>
        <right/>
        <top/>
        <bottom/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74" formatCode="General;\-General;"/>
      <alignment horizontal="general" vertical="center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74" formatCode="General;\-General;"/>
      <alignment horizontal="general" vertical="center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74" formatCode="General;\-General;"/>
      <alignment horizontal="general" vertical="center" textRotation="0" wrapText="0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76" formatCode="#,##0.0;\-#,##0.0;"/>
      <alignment horizontal="general" vertical="center" textRotation="0" wrapText="0" indent="0" justifyLastLine="0" shrinkToFit="0" readingOrder="0"/>
      <border diagonalUp="0" diagonalDown="0">
        <left style="medium">
          <color auto="1"/>
        </left>
        <right/>
        <top/>
        <bottom/>
        <vertical/>
        <horizontal/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9"/>
        <color theme="1"/>
        <name val="Calibri"/>
        <scheme val="minor"/>
      </font>
      <fill>
        <patternFill patternType="none">
          <fgColor indexed="64"/>
          <bgColor auto="1"/>
        </patternFill>
      </fill>
      <alignment horizontal="left" vertical="center" textRotation="0" wrapText="0" indent="0" justifyLastLine="0" shrinkToFit="0" readingOrder="0"/>
      <border diagonalUp="0" diagonalDown="0" outline="0">
        <left/>
        <right style="medium">
          <color auto="1"/>
        </right>
        <top/>
        <bottom/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fill>
        <patternFill patternType="solid">
          <fgColor indexed="64"/>
          <bgColor theme="3" tint="0.79998168889431442"/>
        </patternFill>
      </fill>
      <alignment horizontal="center" vertical="center" textRotation="0" wrapText="0" indent="0" justifyLastLine="0" shrinkToFit="0" readingOrder="0"/>
    </dxf>
    <dxf>
      <border outline="0">
        <left style="medium">
          <color auto="1"/>
        </left>
        <top style="medium">
          <color auto="1"/>
        </top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73" formatCode="#,##0;\-#,##0;"/>
      <alignment horizontal="right" vertical="center" textRotation="0" wrapText="0" indent="0" justifyLastLine="0" shrinkToFit="0" readingOrder="0"/>
      <border diagonalUp="0" diagonalDown="0" outline="0">
        <left style="thin">
          <color auto="1"/>
        </left>
        <right style="thin">
          <color auto="1"/>
        </right>
        <top/>
        <bottom/>
      </border>
    </dxf>
    <dxf>
      <fill>
        <patternFill patternType="solid">
          <fgColor theme="4" tint="0.79998168889431442"/>
          <bgColor theme="4" tint="0.79998168889431442"/>
        </patternFill>
      </fill>
    </dxf>
    <dxf>
      <fill>
        <patternFill patternType="solid">
          <fgColor theme="4" tint="0.79998168889431442"/>
          <bgColor theme="4" tint="0.79998168889431442"/>
        </patternFill>
      </fill>
    </dxf>
    <dxf>
      <font>
        <b/>
        <color theme="1"/>
      </font>
    </dxf>
    <dxf>
      <font>
        <b/>
        <color theme="1"/>
      </font>
    </dxf>
    <dxf>
      <font>
        <b/>
        <color theme="1"/>
      </font>
      <border>
        <top style="double">
          <color theme="4"/>
        </top>
      </border>
    </dxf>
    <dxf>
      <font>
        <b/>
        <color theme="0"/>
      </font>
      <fill>
        <patternFill patternType="solid">
          <fgColor theme="4"/>
          <bgColor theme="4"/>
        </patternFill>
      </fill>
    </dxf>
    <dxf>
      <font>
        <color theme="1"/>
      </font>
      <border>
        <left style="medium">
          <color auto="1"/>
        </left>
        <right style="medium">
          <color auto="1"/>
        </right>
        <top style="medium">
          <color auto="1"/>
        </top>
        <bottom style="medium">
          <color auto="1"/>
        </bottom>
        <vertical style="thin">
          <color theme="0" tint="-0.24994659260841701"/>
        </vertical>
        <horizontal style="thin">
          <color theme="0" tint="-0.24994659260841701"/>
        </horizontal>
      </border>
    </dxf>
    <dxf>
      <fill>
        <patternFill patternType="solid">
          <fgColor theme="0" tint="-0.14999847407452621"/>
          <bgColor theme="0" tint="-0.14999847407452621"/>
        </patternFill>
      </fill>
    </dxf>
    <dxf>
      <fill>
        <patternFill patternType="solid">
          <fgColor theme="0" tint="-0.14999847407452621"/>
          <bgColor theme="0" tint="-0.14999847407452621"/>
        </patternFill>
      </fill>
    </dxf>
    <dxf>
      <font>
        <b/>
        <color theme="1"/>
      </font>
    </dxf>
    <dxf>
      <font>
        <b/>
        <color theme="1"/>
      </font>
      <border>
        <right style="medium">
          <color auto="1"/>
        </right>
      </border>
    </dxf>
    <dxf>
      <font>
        <b/>
        <color theme="1"/>
      </font>
      <border>
        <top style="thin">
          <color theme="1"/>
        </top>
      </border>
    </dxf>
    <dxf>
      <font>
        <b/>
        <color theme="1"/>
      </font>
      <border>
        <bottom style="thin">
          <color theme="1"/>
        </bottom>
      </border>
    </dxf>
    <dxf>
      <font>
        <color theme="1"/>
      </font>
      <border>
        <left style="medium">
          <color theme="1"/>
        </left>
        <right style="medium">
          <color theme="1"/>
        </right>
        <top style="medium">
          <color theme="1"/>
        </top>
        <bottom style="medium">
          <color theme="1"/>
        </bottom>
        <vertical style="thin">
          <color theme="1"/>
        </vertical>
        <horizontal style="thin">
          <color theme="1"/>
        </horizontal>
      </border>
    </dxf>
  </dxfs>
  <tableStyles count="2" defaultTableStyle="TableStyleMedium2" defaultPivotStyle="PivotStyleLight16">
    <tableStyle name="TableStyleLight1 2" pivot="0" count="7">
      <tableStyleElement type="wholeTable" dxfId="102"/>
      <tableStyleElement type="headerRow" dxfId="101"/>
      <tableStyleElement type="totalRow" dxfId="100"/>
      <tableStyleElement type="firstColumn" dxfId="99"/>
      <tableStyleElement type="lastColumn" dxfId="98"/>
      <tableStyleElement type="firstRowStripe" dxfId="97"/>
      <tableStyleElement type="firstColumnStripe" dxfId="96"/>
    </tableStyle>
    <tableStyle name="TableStyleMedium2 2" pivot="0" count="7">
      <tableStyleElement type="wholeTable" dxfId="95"/>
      <tableStyleElement type="headerRow" dxfId="94"/>
      <tableStyleElement type="totalRow" dxfId="93"/>
      <tableStyleElement type="firstColumn" dxfId="92"/>
      <tableStyleElement type="lastColumn" dxfId="91"/>
      <tableStyleElement type="firstRowStripe" dxfId="90"/>
      <tableStyleElement type="firstColumnStripe" dxfId="89"/>
    </tableStyle>
  </tableStyles>
  <colors>
    <mruColors>
      <color rgb="FFFFFFCC"/>
      <color rgb="FFFFFF66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26" Type="http://schemas.openxmlformats.org/officeDocument/2006/relationships/styles" Target="styles.xml"/><Relationship Id="rId3" Type="http://schemas.openxmlformats.org/officeDocument/2006/relationships/worksheet" Target="worksheets/sheet3.xml"/><Relationship Id="rId21" Type="http://schemas.openxmlformats.org/officeDocument/2006/relationships/worksheet" Target="worksheets/sheet21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5" Type="http://schemas.openxmlformats.org/officeDocument/2006/relationships/theme" Target="theme/theme1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worksheet" Target="worksheets/sheet20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24" Type="http://schemas.openxmlformats.org/officeDocument/2006/relationships/worksheet" Target="worksheets/sheet24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23" Type="http://schemas.openxmlformats.org/officeDocument/2006/relationships/worksheet" Target="worksheets/sheet23.xml"/><Relationship Id="rId28" Type="http://schemas.openxmlformats.org/officeDocument/2006/relationships/calcChain" Target="calcChain.xml"/><Relationship Id="rId10" Type="http://schemas.openxmlformats.org/officeDocument/2006/relationships/worksheet" Target="worksheets/sheet10.xml"/><Relationship Id="rId19" Type="http://schemas.openxmlformats.org/officeDocument/2006/relationships/worksheet" Target="worksheets/sheet19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worksheet" Target="worksheets/sheet22.xml"/><Relationship Id="rId27" Type="http://schemas.openxmlformats.org/officeDocument/2006/relationships/sharedStrings" Target="sharedStrings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cs-CZ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4.2583651458138416E-2"/>
          <c:y val="3.4767428804019819E-2"/>
          <c:w val="0.91156653987202163"/>
          <c:h val="0.86030341628419438"/>
        </c:manualLayout>
      </c:layout>
      <c:lineChart>
        <c:grouping val="standard"/>
        <c:varyColors val="0"/>
        <c:ser>
          <c:idx val="1"/>
          <c:order val="0"/>
          <c:tx>
            <c:strRef>
              <c:f>'HI Graf'!$A$4</c:f>
              <c:strCache>
                <c:ptCount val="1"/>
                <c:pt idx="0">
                  <c:v>Hospodářský index (Výnosy / Náklady)</c:v>
                </c:pt>
              </c:strCache>
            </c:strRef>
          </c:tx>
          <c:dLbls>
            <c:numFmt formatCode="0.000" sourceLinked="0"/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sz="975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endParaRPr lang="cs-CZ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 xmlns:c16r2="http://schemas.microsoft.com/office/drawing/2015/06/chart">
              <c:ext xmlns:c15="http://schemas.microsoft.com/office/drawing/2012/chart" uri="{CE6537A1-D6FC-4f65-9D91-7224C49458BB}">
                <c15:layout/>
                <c15:showLeaderLines val="0"/>
              </c:ext>
            </c:extLst>
          </c:dLbls>
          <c:cat>
            <c:strRef>
              <c:f>'HI Graf'!$B$3:$M$3</c:f>
              <c:strCache>
                <c:ptCount val="12"/>
                <c:pt idx="0">
                  <c:v>1-1</c:v>
                </c:pt>
                <c:pt idx="1">
                  <c:v>1-2</c:v>
                </c:pt>
                <c:pt idx="2">
                  <c:v>1-3</c:v>
                </c:pt>
                <c:pt idx="3">
                  <c:v>1-4</c:v>
                </c:pt>
                <c:pt idx="4">
                  <c:v>1-5</c:v>
                </c:pt>
                <c:pt idx="5">
                  <c:v>1-6</c:v>
                </c:pt>
                <c:pt idx="6">
                  <c:v>1-7</c:v>
                </c:pt>
                <c:pt idx="7">
                  <c:v>1-8</c:v>
                </c:pt>
                <c:pt idx="8">
                  <c:v>1-9</c:v>
                </c:pt>
                <c:pt idx="9">
                  <c:v>1-10</c:v>
                </c:pt>
                <c:pt idx="10">
                  <c:v>1-11</c:v>
                </c:pt>
                <c:pt idx="11">
                  <c:v>1-12</c:v>
                </c:pt>
              </c:strCache>
            </c:strRef>
          </c:cat>
          <c:val>
            <c:numRef>
              <c:f>'HI Graf'!$B$4:$E$4</c:f>
              <c:numCache>
                <c:formatCode>General</c:formatCode>
                <c:ptCount val="4"/>
                <c:pt idx="0">
                  <c:v>1.5263216236557295</c:v>
                </c:pt>
                <c:pt idx="1">
                  <c:v>1.6263383749890017</c:v>
                </c:pt>
                <c:pt idx="2">
                  <c:v>1.6816838594579853</c:v>
                </c:pt>
                <c:pt idx="3">
                  <c:v>1.6700675977735127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0-0342-45E4-A0F4-993A7FF5FA5E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831892048"/>
        <c:axId val="-831883344"/>
      </c:lineChart>
      <c:scatterChart>
        <c:scatterStyle val="smoothMarker"/>
        <c:varyColors val="0"/>
        <c:ser>
          <c:idx val="0"/>
          <c:order val="1"/>
          <c:tx>
            <c:strRef>
              <c:f>'HI Graf'!$B$11</c:f>
              <c:strCache>
                <c:ptCount val="1"/>
                <c:pt idx="0">
                  <c:v>b</c:v>
                </c:pt>
              </c:strCache>
            </c:strRef>
          </c:tx>
          <c:spPr>
            <a:ln w="12700">
              <a:solidFill>
                <a:srgbClr val="000000"/>
              </a:solidFill>
            </a:ln>
          </c:spPr>
          <c:marker>
            <c:symbol val="none"/>
          </c:marker>
          <c:dLbls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sz="975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endParaRPr lang="cs-CZ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 xmlns:c16r2="http://schemas.microsoft.com/office/drawing/2015/06/chart">
              <c:ext xmlns:c15="http://schemas.microsoft.com/office/drawing/2012/chart" uri="{CE6537A1-D6FC-4f65-9D91-7224C49458BB}">
                <c15:layout/>
                <c15:showLeaderLines val="0"/>
              </c:ext>
            </c:extLst>
          </c:dLbls>
          <c:xVal>
            <c:numRef>
              <c:f>'HI Graf'!$A$12:$A$13</c:f>
              <c:numCache>
                <c:formatCode>General</c:formatCode>
                <c:ptCount val="2"/>
                <c:pt idx="0">
                  <c:v>0</c:v>
                </c:pt>
                <c:pt idx="1">
                  <c:v>1</c:v>
                </c:pt>
              </c:numCache>
            </c:numRef>
          </c:xVal>
          <c:yVal>
            <c:numRef>
              <c:f>'HI Graf'!$B$12:$B$13</c:f>
              <c:numCache>
                <c:formatCode>General</c:formatCode>
                <c:ptCount val="2"/>
                <c:pt idx="0">
                  <c:v>3.0463740224390357</c:v>
                </c:pt>
                <c:pt idx="1">
                  <c:v>3.0463740224390357</c:v>
                </c:pt>
              </c:numCache>
            </c:numRef>
          </c:yVal>
          <c:smooth val="1"/>
          <c:extLst xmlns:c16r2="http://schemas.microsoft.com/office/drawing/2015/06/chart">
            <c:ext xmlns:c16="http://schemas.microsoft.com/office/drawing/2014/chart" uri="{C3380CC4-5D6E-409C-BE32-E72D297353CC}">
              <c16:uniqueId val="{00000001-0342-45E4-A0F4-993A7FF5FA5E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-831888784"/>
        <c:axId val="-831882800"/>
      </c:scatterChart>
      <c:catAx>
        <c:axId val="-831892048"/>
        <c:scaling>
          <c:orientation val="minMax"/>
        </c:scaling>
        <c:delete val="0"/>
        <c:axPos val="b"/>
        <c:title>
          <c:tx>
            <c:rich>
              <a:bodyPr/>
              <a:lstStyle/>
              <a:p>
                <a:pPr>
                  <a:defRPr sz="1000" b="1" i="0" u="none" strike="noStrike" baseline="0">
                    <a:solidFill>
                      <a:srgbClr val="000000"/>
                    </a:solidFill>
                    <a:latin typeface="Calibri"/>
                    <a:ea typeface="Calibri"/>
                    <a:cs typeface="Calibri"/>
                  </a:defRPr>
                </a:pPr>
                <a:r>
                  <a:rPr lang="cs-CZ"/>
                  <a:t>načítané období aktuálního roku (měsíce)</a:t>
                </a:r>
              </a:p>
            </c:rich>
          </c:tx>
          <c:layout/>
          <c:overlay val="0"/>
        </c:title>
        <c:numFmt formatCode="General" sourceLinked="1"/>
        <c:majorTickMark val="cross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975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cs-CZ"/>
          </a:p>
        </c:txPr>
        <c:crossAx val="-831883344"/>
        <c:crosses val="autoZero"/>
        <c:auto val="1"/>
        <c:lblAlgn val="ctr"/>
        <c:lblOffset val="100"/>
        <c:tickLblSkip val="1"/>
        <c:tickMarkSkip val="1"/>
        <c:noMultiLvlLbl val="0"/>
      </c:catAx>
      <c:valAx>
        <c:axId val="-831883344"/>
        <c:scaling>
          <c:orientation val="minMax"/>
        </c:scaling>
        <c:delete val="1"/>
        <c:axPos val="l"/>
        <c:numFmt formatCode="General" sourceLinked="1"/>
        <c:majorTickMark val="out"/>
        <c:minorTickMark val="none"/>
        <c:tickLblPos val="nextTo"/>
        <c:crossAx val="-831892048"/>
        <c:crosses val="autoZero"/>
        <c:crossBetween val="between"/>
      </c:valAx>
      <c:valAx>
        <c:axId val="-831888784"/>
        <c:scaling>
          <c:orientation val="minMax"/>
          <c:max val="1"/>
          <c:min val="0"/>
        </c:scaling>
        <c:delete val="1"/>
        <c:axPos val="t"/>
        <c:numFmt formatCode="General" sourceLinked="1"/>
        <c:majorTickMark val="out"/>
        <c:minorTickMark val="none"/>
        <c:tickLblPos val="nextTo"/>
        <c:crossAx val="-831882800"/>
        <c:crosses val="max"/>
        <c:crossBetween val="midCat"/>
      </c:valAx>
      <c:valAx>
        <c:axId val="-831882800"/>
        <c:scaling>
          <c:orientation val="minMax"/>
        </c:scaling>
        <c:delete val="1"/>
        <c:axPos val="r"/>
        <c:numFmt formatCode="General" sourceLinked="1"/>
        <c:majorTickMark val="out"/>
        <c:minorTickMark val="none"/>
        <c:tickLblPos val="nextTo"/>
        <c:crossAx val="-831888784"/>
        <c:crosses val="max"/>
        <c:crossBetween val="midCat"/>
      </c:valAx>
      <c:spPr>
        <a:solidFill>
          <a:schemeClr val="bg1"/>
        </a:solidFill>
        <a:ln w="12700">
          <a:noFill/>
          <a:prstDash val="solid"/>
        </a:ln>
      </c:spPr>
    </c:plotArea>
    <c:plotVisOnly val="1"/>
    <c:dispBlanksAs val="gap"/>
    <c:showDLblsOverMax val="0"/>
  </c:chart>
  <c:spPr>
    <a:solidFill>
      <a:srgbClr val="FFFFFF"/>
    </a:solidFill>
    <a:ln w="3175">
      <a:noFill/>
      <a:prstDash val="solid"/>
    </a:ln>
  </c:spPr>
  <c:txPr>
    <a:bodyPr/>
    <a:lstStyle/>
    <a:p>
      <a:pPr>
        <a:defRPr sz="975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cs-CZ"/>
    </a:p>
  </c:txPr>
  <c:printSettings>
    <c:headerFooter alignWithMargins="0">
      <c:evenHeader>0.3</c:evenHeader>
    </c:headerFooter>
    <c:pageMargins b="0.75" l="0.25" r="0.25" t="0.75" header="0.4921259845" footer="0.4921259845"/>
    <c:pageSetup orientation="portrait" draft="1" useFirstPageNumber="1"/>
  </c:printSettings>
</c:chartSpac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7620</xdr:colOff>
      <xdr:row>2</xdr:row>
      <xdr:rowOff>7620</xdr:rowOff>
    </xdr:from>
    <xdr:to>
      <xdr:col>12</xdr:col>
      <xdr:colOff>601980</xdr:colOff>
      <xdr:row>25</xdr:row>
      <xdr:rowOff>175260</xdr:rowOff>
    </xdr:to>
    <xdr:graphicFrame macro="">
      <xdr:nvGraphicFramePr>
        <xdr:cNvPr id="600161" name="Graf_Index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tables/table1.xml><?xml version="1.0" encoding="utf-8"?>
<table xmlns="http://schemas.openxmlformats.org/spreadsheetml/2006/main" id="6" name="Tabulka" displayName="Tabulka" ref="A7:S23" totalsRowShown="0" headerRowDxfId="88" tableBorderDxfId="87">
  <autoFilter ref="A7:S23">
    <filterColumn colId="0" hiddenButton="1"/>
    <filterColumn colId="1" hiddenButton="1"/>
    <filterColumn colId="2" hiddenButton="1"/>
    <filterColumn colId="3" hiddenButton="1"/>
    <filterColumn colId="4" hiddenButton="1"/>
    <filterColumn colId="5" hiddenButton="1"/>
    <filterColumn colId="6" hiddenButton="1"/>
    <filterColumn colId="7" hiddenButton="1"/>
    <filterColumn colId="8" hiddenButton="1"/>
    <filterColumn colId="9" hiddenButton="1"/>
    <filterColumn colId="10" hiddenButton="1"/>
    <filterColumn colId="11" hiddenButton="1"/>
    <filterColumn colId="12" hiddenButton="1"/>
    <filterColumn colId="13" hiddenButton="1"/>
    <filterColumn colId="14" hiddenButton="1"/>
    <filterColumn colId="15" hiddenButton="1"/>
    <filterColumn colId="16" hiddenButton="1"/>
    <filterColumn colId="17" hiddenButton="1"/>
    <filterColumn colId="18" hiddenButton="1"/>
  </autoFilter>
  <tableColumns count="19">
    <tableColumn id="1" name="kat" dataDxfId="86"/>
    <tableColumn id="2" name="popis" dataDxfId="85"/>
    <tableColumn id="3" name="01 uv_sk" dataDxfId="84">
      <calculatedColumnFormula xml:space="preserve">
IF($A$4&lt;13,
SUMIFS(INDIRECT("ONData["&amp;Tabulka[#Headers]&amp;"]"),ONData[mesic],$A$4,ONData[kat],Tabulka[[#This Row],[kat]]),
SUMIFS(INDIRECT("ONData["&amp;Tabulka[#Headers]&amp;"]"),ONData[kat],Tabulka[[#This Row],[kat]])/MAX(ONData[mesic]))</calculatedColumnFormula>
    </tableColumn>
    <tableColumn id="4" name="02 uv_pla" dataDxfId="83">
      <calculatedColumnFormula xml:space="preserve">
IF($A$4&lt;13,
SUMIFS(INDIRECT("ONData["&amp;Tabulka[#Headers]&amp;"]"),ONData[mesic],$A$4,ONData[kat],Tabulka[[#This Row],[kat]]),
SUMIFS(INDIRECT("ONData["&amp;Tabulka[#Headers]&amp;"]"),ONData[kat],Tabulka[[#This Row],[kat]])/MAX(ONData[mesic]))</calculatedColumnFormula>
    </tableColumn>
    <tableColumn id="5" name="03 uv_pln" dataDxfId="82">
      <calculatedColumnFormula xml:space="preserve">
IF($A$4&lt;13,
SUMIFS(INDIRECT("ONData["&amp;Tabulka[#Headers]&amp;"]"),ONData[mesic],$A$4,ONData[kat],Tabulka[[#This Row],[kat]]),
SUMIFS(INDIRECT("ONData["&amp;Tabulka[#Headers]&amp;"]"),ONData[kat],Tabulka[[#This Row],[kat]])/MAX(ONData[mesic]))</calculatedColumnFormula>
    </tableColumn>
    <tableColumn id="6" name="04 uv_rozd" dataDxfId="81">
      <calculatedColumnFormula xml:space="preserve">
IF($A$4&lt;13,
SUMIFS(INDIRECT("ONData["&amp;Tabulka[#Headers]&amp;"]"),ONData[mesic],$A$4,ONData[kat],Tabulka[[#This Row],[kat]]),
SUMIFS(INDIRECT("ONData["&amp;Tabulka[#Headers]&amp;"]"),ONData[kat],Tabulka[[#This Row],[kat]])/MAX(ONData[mesic]))</calculatedColumnFormula>
    </tableColumn>
    <tableColumn id="7" name="05 h_vram" dataDxfId="80">
      <calculatedColumnFormula xml:space="preserve">
IF($A$4&lt;13,
SUMIFS(INDIRECT("ONData["&amp;Tabulka[#Headers]&amp;"]"),ONData[mesic],$A$4,ONData[kat],Tabulka[[#This Row],[kat]]),
SUMIFS(INDIRECT("ONData["&amp;Tabulka[#Headers]&amp;"]"),ONData[kat],Tabulka[[#This Row],[kat]]))</calculatedColumnFormula>
    </tableColumn>
    <tableColumn id="8" name="06 h_naduv" dataDxfId="79">
      <calculatedColumnFormula xml:space="preserve">
IF($A$4&lt;13,
SUMIFS(INDIRECT("ONData["&amp;Tabulka[#Headers]&amp;"]"),ONData[mesic],$A$4,ONData[kat],Tabulka[[#This Row],[kat]]),
SUMIFS(INDIRECT("ONData["&amp;Tabulka[#Headers]&amp;"]"),ONData[kat],Tabulka[[#This Row],[kat]]))</calculatedColumnFormula>
    </tableColumn>
    <tableColumn id="9" name="07 h_nadzk" dataDxfId="78">
      <calculatedColumnFormula xml:space="preserve">
IF($A$4&lt;13,
SUMIFS(INDIRECT("ONData["&amp;Tabulka[#Headers]&amp;"]"),ONData[mesic],$A$4,ONData[kat],Tabulka[[#This Row],[kat]]),
SUMIFS(INDIRECT("ONData["&amp;Tabulka[#Headers]&amp;"]"),ONData[kat],Tabulka[[#This Row],[kat]]))</calculatedColumnFormula>
    </tableColumn>
    <tableColumn id="10" name="08 h_oon" dataDxfId="77">
      <calculatedColumnFormula xml:space="preserve">
IF($A$4&lt;13,
SUMIFS(INDIRECT("ONData["&amp;Tabulka[#Headers]&amp;"]"),ONData[mesic],$A$4,ONData[kat],Tabulka[[#This Row],[kat]]),
SUMIFS(INDIRECT("ONData["&amp;Tabulka[#Headers]&amp;"]"),ONData[kat],Tabulka[[#This Row],[kat]]))</calculatedColumnFormula>
    </tableColumn>
    <tableColumn id="11" name="09 m_kl" dataDxfId="76">
      <calculatedColumnFormula xml:space="preserve">
IF($A$4&lt;13,
SUMIFS(INDIRECT("ONData["&amp;Tabulka[#Headers]&amp;"]"),ONData[mesic],$A$4,ONData[kat],Tabulka[[#This Row],[kat]]),
SUMIFS(INDIRECT("ONData["&amp;Tabulka[#Headers]&amp;"]"),ONData[kat],Tabulka[[#This Row],[kat]]))</calculatedColumnFormula>
    </tableColumn>
    <tableColumn id="12" name="10 m_gr" dataDxfId="75">
      <calculatedColumnFormula xml:space="preserve">
IF($A$4&lt;13,
SUMIFS(INDIRECT("ONData["&amp;Tabulka[#Headers]&amp;"]"),ONData[mesic],$A$4,ONData[kat],Tabulka[[#This Row],[kat]]),
SUMIFS(INDIRECT("ONData["&amp;Tabulka[#Headers]&amp;"]"),ONData[kat],Tabulka[[#This Row],[kat]]))</calculatedColumnFormula>
    </tableColumn>
    <tableColumn id="13" name="11 m_jo" dataDxfId="74">
      <calculatedColumnFormula xml:space="preserve">
IF($A$4&lt;13,
SUMIFS(INDIRECT("ONData["&amp;Tabulka[#Headers]&amp;"]"),ONData[mesic],$A$4,ONData[kat],Tabulka[[#This Row],[kat]]),
SUMIFS(INDIRECT("ONData["&amp;Tabulka[#Headers]&amp;"]"),ONData[kat],Tabulka[[#This Row],[kat]]))</calculatedColumnFormula>
    </tableColumn>
    <tableColumn id="14" name="12 m_oc" dataDxfId="73">
      <calculatedColumnFormula xml:space="preserve">
IF($A$4&lt;13,
SUMIFS(INDIRECT("ONData["&amp;Tabulka[#Headers]&amp;"]"),ONData[mesic],$A$4,ONData[kat],Tabulka[[#This Row],[kat]]),
SUMIFS(INDIRECT("ONData["&amp;Tabulka[#Headers]&amp;"]"),ONData[kat],Tabulka[[#This Row],[kat]]))</calculatedColumnFormula>
    </tableColumn>
    <tableColumn id="15" name="13 m_sk" dataDxfId="72">
      <calculatedColumnFormula xml:space="preserve">
IF($A$4&lt;13,
SUMIFS(INDIRECT("ONData["&amp;Tabulka[#Headers]&amp;"]"),ONData[mesic],$A$4,ONData[kat],Tabulka[[#This Row],[kat]]),
SUMIFS(INDIRECT("ONData["&amp;Tabulka[#Headers]&amp;"]"),ONData[kat],Tabulka[[#This Row],[kat]]))</calculatedColumnFormula>
    </tableColumn>
    <tableColumn id="17" name="14_vzsk" dataDxfId="71">
      <calculatedColumnFormula xml:space="preserve">
IF($A$4&lt;13,
SUMIFS(INDIRECT("ONData["&amp;Tabulka[#Headers]&amp;"]"),ONData[mesic],$A$4,ONData[kat],Tabulka[[#This Row],[kat]]),
SUMIFS(INDIRECT("ONData["&amp;Tabulka[#Headers]&amp;"]"),ONData[kat],Tabulka[[#This Row],[kat]]))</calculatedColumnFormula>
    </tableColumn>
    <tableColumn id="18" name="15_vzpl" dataDxfId="70">
      <calculatedColumnFormula xml:space="preserve">
IF($A$4&lt;13,
SUMIFS(INDIRECT("ONData["&amp;Tabulka[#Headers]&amp;"]"),ONData[mesic],$A$4,ONData[kat],Tabulka[[#This Row],[kat]]),
SUMIFS(INDIRECT("ONData["&amp;Tabulka[#Headers]&amp;"]"),ONData[kat],Tabulka[[#This Row],[kat]]))</calculatedColumnFormula>
    </tableColumn>
    <tableColumn id="19" name="16_vzpln" dataDxfId="69">
      <calculatedColumnFormula>IF(Tabulka[[#This Row],[15_vzpl]]=0,"",Tabulka[[#This Row],[14_vzsk]]/Tabulka[[#This Row],[15_vzpl]])</calculatedColumnFormula>
    </tableColumn>
    <tableColumn id="20" name="17_vzroz" dataDxfId="68">
      <calculatedColumnFormula>IF(Tabulka[[#This Row],[15_vzpl]]-Tabulka[[#This Row],[14_vzsk]]=0,"",Tabulka[[#This Row],[15_vzpl]]-Tabulka[[#This Row],[14_vzsk]])</calculatedColumnFormula>
    </tableColumn>
  </tableColumns>
  <tableStyleInfo name="TableStyleMedium2 2" showFirstColumn="0" showLastColumn="0" showRowStripes="0" showColumnStripes="0"/>
</table>
</file>

<file path=xl/tables/table2.xml><?xml version="1.0" encoding="utf-8"?>
<table xmlns="http://schemas.openxmlformats.org/spreadsheetml/2006/main" id="7" name="ONData" displayName="ONData" ref="C3:S71" totalsRowShown="0">
  <autoFilter ref="C3:S71"/>
  <tableColumns count="17">
    <tableColumn id="1" name="mesic"/>
    <tableColumn id="2" name="kat"/>
    <tableColumn id="3" name="01 uv_sk"/>
    <tableColumn id="4" name="02 uv_pla"/>
    <tableColumn id="5" name="03 uv_pln"/>
    <tableColumn id="6" name="04 uv_rozd"/>
    <tableColumn id="7" name="05 h_vram"/>
    <tableColumn id="8" name="06 h_naduv"/>
    <tableColumn id="9" name="07 h_nadzk"/>
    <tableColumn id="10" name="08 h_oon"/>
    <tableColumn id="11" name="09 m_kl"/>
    <tableColumn id="12" name="10 m_gr"/>
    <tableColumn id="13" name="11 m_jo"/>
    <tableColumn id="14" name="12 m_oc"/>
    <tableColumn id="15" name="13 m_sk"/>
    <tableColumn id="16" name="14_vzsk"/>
    <tableColumn id="17" name="15_vzpl"/>
  </tableColumns>
  <tableStyleInfo name="TableStyleMedium2" showFirstColumn="0" showLastColumn="0" showRowStripes="1" showColumnStripes="0"/>
</table>
</file>

<file path=xl/theme/theme1.xml><?xml version="1.0" encoding="utf-8"?>
<a:theme xmlns:a="http://schemas.openxmlformats.org/drawingml/2006/main" name="Motiv Office">
  <a:themeElements>
    <a:clrScheme name="Kancelář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Kancelář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Kancelář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2.bin"/></Relationships>
</file>

<file path=xl/worksheets/_rels/sheet1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3.bin"/></Relationships>
</file>

<file path=xl/worksheets/_rels/sheet1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4.bin"/></Relationships>
</file>

<file path=xl/worksheets/_rels/sheet1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5.bin"/></Relationships>
</file>

<file path=xl/worksheets/_rels/sheet1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6.bin"/></Relationships>
</file>

<file path=xl/worksheets/_rels/sheet17.xml.rels><?xml version="1.0" encoding="UTF-8" standalone="yes"?>
<Relationships xmlns="http://schemas.openxmlformats.org/package/2006/relationships"><Relationship Id="rId3" Type="http://schemas.openxmlformats.org/officeDocument/2006/relationships/table" Target="../tables/table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7.bin"/><Relationship Id="rId4" Type="http://schemas.openxmlformats.org/officeDocument/2006/relationships/comments" Target="../comments1.xml"/></Relationships>
</file>

<file path=xl/worksheets/_rels/sheet18.xml.rels><?xml version="1.0" encoding="UTF-8" standalone="yes"?>
<Relationships xmlns="http://schemas.openxmlformats.org/package/2006/relationships"><Relationship Id="rId1" Type="http://schemas.openxmlformats.org/officeDocument/2006/relationships/table" Target="../tables/table2.xml"/></Relationships>
</file>

<file path=xl/worksheets/_rels/sheet1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8.bin"/></Relationships>
</file>

<file path=xl/worksheets/_rels/sheet2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9.bin"/></Relationships>
</file>

<file path=xl/worksheets/_rels/sheet2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0.bin"/></Relationships>
</file>

<file path=xl/worksheets/_rels/sheet2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1.bin"/></Relationships>
</file>

<file path=xl/worksheets/_rels/sheet2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2.bin"/></Relationships>
</file>

<file path=xl/worksheets/_rels/sheet2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List26">
    <tabColor rgb="FF00B050"/>
    <pageSetUpPr fitToPage="1"/>
  </sheetPr>
  <dimension ref="A1:C29"/>
  <sheetViews>
    <sheetView showGridLines="0" showRowColHeaders="0" tabSelected="1" zoomScaleNormal="100" workbookViewId="0">
      <selection sqref="A1:B1"/>
    </sheetView>
  </sheetViews>
  <sheetFormatPr defaultRowHeight="14.4" customHeight="1" x14ac:dyDescent="0.3"/>
  <cols>
    <col min="1" max="1" width="17.88671875" style="129" bestFit="1" customWidth="1"/>
    <col min="2" max="2" width="102.21875" style="129" bestFit="1" customWidth="1"/>
    <col min="3" max="3" width="16.109375" style="47" hidden="1" customWidth="1"/>
    <col min="4" max="16384" width="8.88671875" style="129"/>
  </cols>
  <sheetData>
    <row r="1" spans="1:3" ht="18.600000000000001" customHeight="1" thickBot="1" x14ac:dyDescent="0.4">
      <c r="A1" s="329" t="s">
        <v>107</v>
      </c>
      <c r="B1" s="329"/>
    </row>
    <row r="2" spans="1:3" ht="14.4" customHeight="1" thickBot="1" x14ac:dyDescent="0.35">
      <c r="A2" s="232" t="s">
        <v>265</v>
      </c>
      <c r="B2" s="46"/>
    </row>
    <row r="3" spans="1:3" ht="14.4" customHeight="1" thickBot="1" x14ac:dyDescent="0.35">
      <c r="A3" s="325" t="s">
        <v>139</v>
      </c>
      <c r="B3" s="326"/>
    </row>
    <row r="4" spans="1:3" ht="14.4" customHeight="1" x14ac:dyDescent="0.3">
      <c r="A4" s="144" t="str">
        <f t="shared" ref="A4:A8" si="0">HYPERLINK("#'"&amp;C4&amp;"'!A1",C4)</f>
        <v>Motivace</v>
      </c>
      <c r="B4" s="88" t="s">
        <v>120</v>
      </c>
      <c r="C4" s="47" t="s">
        <v>121</v>
      </c>
    </row>
    <row r="5" spans="1:3" ht="14.4" customHeight="1" x14ac:dyDescent="0.3">
      <c r="A5" s="145" t="str">
        <f t="shared" si="0"/>
        <v>HI</v>
      </c>
      <c r="B5" s="89" t="s">
        <v>135</v>
      </c>
      <c r="C5" s="47" t="s">
        <v>110</v>
      </c>
    </row>
    <row r="6" spans="1:3" ht="14.4" customHeight="1" x14ac:dyDescent="0.3">
      <c r="A6" s="146" t="str">
        <f t="shared" si="0"/>
        <v>HI Graf</v>
      </c>
      <c r="B6" s="90" t="s">
        <v>103</v>
      </c>
      <c r="C6" s="47" t="s">
        <v>111</v>
      </c>
    </row>
    <row r="7" spans="1:3" ht="14.4" customHeight="1" x14ac:dyDescent="0.3">
      <c r="A7" s="146" t="str">
        <f t="shared" si="0"/>
        <v>Man Tab</v>
      </c>
      <c r="B7" s="90" t="s">
        <v>267</v>
      </c>
      <c r="C7" s="47" t="s">
        <v>112</v>
      </c>
    </row>
    <row r="8" spans="1:3" ht="14.4" customHeight="1" thickBot="1" x14ac:dyDescent="0.35">
      <c r="A8" s="147" t="str">
        <f t="shared" si="0"/>
        <v>HV</v>
      </c>
      <c r="B8" s="91" t="s">
        <v>61</v>
      </c>
      <c r="C8" s="47" t="s">
        <v>66</v>
      </c>
    </row>
    <row r="9" spans="1:3" ht="14.4" customHeight="1" thickBot="1" x14ac:dyDescent="0.35">
      <c r="A9" s="92"/>
      <c r="B9" s="92"/>
    </row>
    <row r="10" spans="1:3" ht="14.4" customHeight="1" thickBot="1" x14ac:dyDescent="0.35">
      <c r="A10" s="327" t="s">
        <v>108</v>
      </c>
      <c r="B10" s="326"/>
    </row>
    <row r="11" spans="1:3" ht="14.4" customHeight="1" x14ac:dyDescent="0.3">
      <c r="A11" s="148" t="str">
        <f t="shared" ref="A11" si="1">HYPERLINK("#'"&amp;C11&amp;"'!A1",C11)</f>
        <v>Léky Žádanky</v>
      </c>
      <c r="B11" s="89" t="s">
        <v>136</v>
      </c>
      <c r="C11" s="47" t="s">
        <v>113</v>
      </c>
    </row>
    <row r="12" spans="1:3" ht="14.4" customHeight="1" x14ac:dyDescent="0.3">
      <c r="A12" s="146" t="str">
        <f t="shared" ref="A12:A21" si="2">HYPERLINK("#'"&amp;C12&amp;"'!A1",C12)</f>
        <v>LŽ Detail</v>
      </c>
      <c r="B12" s="90" t="s">
        <v>159</v>
      </c>
      <c r="C12" s="47" t="s">
        <v>114</v>
      </c>
    </row>
    <row r="13" spans="1:3" ht="14.4" customHeight="1" x14ac:dyDescent="0.3">
      <c r="A13" s="146" t="str">
        <f t="shared" si="2"/>
        <v>LŽ Statim</v>
      </c>
      <c r="B13" s="254" t="s">
        <v>191</v>
      </c>
      <c r="C13" s="47" t="s">
        <v>201</v>
      </c>
    </row>
    <row r="14" spans="1:3" ht="14.4" customHeight="1" x14ac:dyDescent="0.3">
      <c r="A14" s="146" t="str">
        <f t="shared" si="2"/>
        <v>Léky Recepty</v>
      </c>
      <c r="B14" s="90" t="s">
        <v>137</v>
      </c>
      <c r="C14" s="47" t="s">
        <v>115</v>
      </c>
    </row>
    <row r="15" spans="1:3" ht="14.4" customHeight="1" x14ac:dyDescent="0.3">
      <c r="A15" s="146" t="str">
        <f t="shared" si="2"/>
        <v>LRp Lékaři</v>
      </c>
      <c r="B15" s="90" t="s">
        <v>145</v>
      </c>
      <c r="C15" s="47" t="s">
        <v>146</v>
      </c>
    </row>
    <row r="16" spans="1:3" ht="14.4" customHeight="1" x14ac:dyDescent="0.3">
      <c r="A16" s="146" t="str">
        <f t="shared" si="2"/>
        <v>LRp Detail</v>
      </c>
      <c r="B16" s="90" t="s">
        <v>607</v>
      </c>
      <c r="C16" s="47" t="s">
        <v>116</v>
      </c>
    </row>
    <row r="17" spans="1:3" ht="28.8" customHeight="1" x14ac:dyDescent="0.3">
      <c r="A17" s="146" t="str">
        <f t="shared" si="2"/>
        <v>LRp PL</v>
      </c>
      <c r="B17" s="606" t="s">
        <v>608</v>
      </c>
      <c r="C17" s="47" t="s">
        <v>142</v>
      </c>
    </row>
    <row r="18" spans="1:3" ht="14.4" customHeight="1" x14ac:dyDescent="0.3">
      <c r="A18" s="146" t="str">
        <f>HYPERLINK("#'"&amp;C18&amp;"'!A1",C18)</f>
        <v>LRp PL Detail</v>
      </c>
      <c r="B18" s="90" t="s">
        <v>627</v>
      </c>
      <c r="C18" s="47" t="s">
        <v>143</v>
      </c>
    </row>
    <row r="19" spans="1:3" ht="14.4" customHeight="1" x14ac:dyDescent="0.3">
      <c r="A19" s="148" t="str">
        <f t="shared" ref="A19" si="3">HYPERLINK("#'"&amp;C19&amp;"'!A1",C19)</f>
        <v>Materiál Žádanky</v>
      </c>
      <c r="B19" s="90" t="s">
        <v>138</v>
      </c>
      <c r="C19" s="47" t="s">
        <v>117</v>
      </c>
    </row>
    <row r="20" spans="1:3" ht="14.4" customHeight="1" x14ac:dyDescent="0.3">
      <c r="A20" s="146" t="str">
        <f t="shared" si="2"/>
        <v>MŽ Detail</v>
      </c>
      <c r="B20" s="90" t="s">
        <v>861</v>
      </c>
      <c r="C20" s="47" t="s">
        <v>118</v>
      </c>
    </row>
    <row r="21" spans="1:3" ht="14.4" customHeight="1" thickBot="1" x14ac:dyDescent="0.35">
      <c r="A21" s="148" t="str">
        <f t="shared" si="2"/>
        <v>Osobní náklady</v>
      </c>
      <c r="B21" s="90" t="s">
        <v>105</v>
      </c>
      <c r="C21" s="47" t="s">
        <v>119</v>
      </c>
    </row>
    <row r="22" spans="1:3" ht="14.4" customHeight="1" thickBot="1" x14ac:dyDescent="0.35">
      <c r="A22" s="93"/>
      <c r="B22" s="93"/>
    </row>
    <row r="23" spans="1:3" ht="14.4" customHeight="1" thickBot="1" x14ac:dyDescent="0.35">
      <c r="A23" s="328" t="s">
        <v>109</v>
      </c>
      <c r="B23" s="326"/>
    </row>
    <row r="24" spans="1:3" ht="14.4" customHeight="1" x14ac:dyDescent="0.3">
      <c r="A24" s="149" t="str">
        <f t="shared" ref="A24:A29" si="4">HYPERLINK("#'"&amp;C24&amp;"'!A1",C24)</f>
        <v>ZV Vykáz.-A</v>
      </c>
      <c r="B24" s="89" t="s">
        <v>885</v>
      </c>
      <c r="C24" s="47" t="s">
        <v>122</v>
      </c>
    </row>
    <row r="25" spans="1:3" ht="14.4" customHeight="1" x14ac:dyDescent="0.3">
      <c r="A25" s="146" t="str">
        <f t="shared" ref="A25" si="5">HYPERLINK("#'"&amp;C25&amp;"'!A1",C25)</f>
        <v>ZV Vykáz.-A Lékaři</v>
      </c>
      <c r="B25" s="90" t="s">
        <v>891</v>
      </c>
      <c r="C25" s="47" t="s">
        <v>204</v>
      </c>
    </row>
    <row r="26" spans="1:3" ht="14.4" customHeight="1" x14ac:dyDescent="0.3">
      <c r="A26" s="146" t="str">
        <f t="shared" si="4"/>
        <v>ZV Vykáz.-A Detail</v>
      </c>
      <c r="B26" s="90" t="s">
        <v>992</v>
      </c>
      <c r="C26" s="47" t="s">
        <v>123</v>
      </c>
    </row>
    <row r="27" spans="1:3" ht="14.4" customHeight="1" x14ac:dyDescent="0.3">
      <c r="A27" s="267" t="str">
        <f>HYPERLINK("#'"&amp;C27&amp;"'!A1",C27)</f>
        <v>ZV Vykáz.-A Det.Lék.</v>
      </c>
      <c r="B27" s="90" t="s">
        <v>993</v>
      </c>
      <c r="C27" s="47" t="s">
        <v>208</v>
      </c>
    </row>
    <row r="28" spans="1:3" ht="14.4" customHeight="1" x14ac:dyDescent="0.3">
      <c r="A28" s="146" t="str">
        <f t="shared" si="4"/>
        <v>ZV Vykáz.-H</v>
      </c>
      <c r="B28" s="90" t="s">
        <v>126</v>
      </c>
      <c r="C28" s="47" t="s">
        <v>124</v>
      </c>
    </row>
    <row r="29" spans="1:3" ht="14.4" customHeight="1" x14ac:dyDescent="0.3">
      <c r="A29" s="146" t="str">
        <f t="shared" si="4"/>
        <v>ZV Vykáz.-H Detail</v>
      </c>
      <c r="B29" s="90" t="s">
        <v>1010</v>
      </c>
      <c r="C29" s="47" t="s">
        <v>125</v>
      </c>
    </row>
  </sheetData>
  <mergeCells count="4">
    <mergeCell ref="A3:B3"/>
    <mergeCell ref="A10:B10"/>
    <mergeCell ref="A23:B23"/>
    <mergeCell ref="A1:B1"/>
  </mergeCells>
  <hyperlinks>
    <hyperlink ref="A2" location="Obsah!A1" display="Zpět na Obsah  KL 01  1.-4.měsíc"/>
  </hyperlinks>
  <pageMargins left="0.25" right="0.25" top="0.75" bottom="0.75" header="0.3" footer="0.3"/>
  <pageSetup paperSize="9" scale="93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List14">
    <tabColor rgb="FFFFFF66"/>
    <pageSetUpPr fitToPage="1"/>
  </sheetPr>
  <dimension ref="A1:E26"/>
  <sheetViews>
    <sheetView showGridLines="0" showRowColHeaders="0" zoomScaleNormal="100" workbookViewId="0">
      <pane ySplit="3" topLeftCell="A4" activePane="bottomLeft" state="frozen"/>
      <selection pane="bottomLeft" sqref="A1:E1"/>
    </sheetView>
  </sheetViews>
  <sheetFormatPr defaultRowHeight="13.8" x14ac:dyDescent="0.3"/>
  <cols>
    <col min="1" max="1" width="104.109375" style="150" bestFit="1" customWidth="1"/>
    <col min="2" max="2" width="11.6640625" style="150" hidden="1" customWidth="1"/>
    <col min="3" max="4" width="11" style="152" customWidth="1"/>
    <col min="5" max="5" width="11" style="153" customWidth="1"/>
    <col min="6" max="16384" width="8.88671875" style="150"/>
  </cols>
  <sheetData>
    <row r="1" spans="1:5" ht="18.600000000000001" thickBot="1" x14ac:dyDescent="0.4">
      <c r="A1" s="329" t="s">
        <v>120</v>
      </c>
      <c r="B1" s="329"/>
      <c r="C1" s="330"/>
      <c r="D1" s="330"/>
      <c r="E1" s="330"/>
    </row>
    <row r="2" spans="1:5" ht="14.4" customHeight="1" thickBot="1" x14ac:dyDescent="0.35">
      <c r="A2" s="232" t="s">
        <v>265</v>
      </c>
      <c r="B2" s="151"/>
    </row>
    <row r="3" spans="1:5" ht="14.4" customHeight="1" thickBot="1" x14ac:dyDescent="0.35">
      <c r="A3" s="154"/>
      <c r="C3" s="155" t="s">
        <v>106</v>
      </c>
      <c r="D3" s="156" t="s">
        <v>72</v>
      </c>
      <c r="E3" s="157" t="s">
        <v>74</v>
      </c>
    </row>
    <row r="4" spans="1:5" ht="14.4" customHeight="1" thickBot="1" x14ac:dyDescent="0.35">
      <c r="A4" s="158" t="str">
        <f>HYPERLINK("#HI!A1","NÁKLADY CELKEM (v tisících Kč)")</f>
        <v>NÁKLADY CELKEM (v tisících Kč)</v>
      </c>
      <c r="B4" s="159"/>
      <c r="C4" s="160">
        <f ca="1">IF(ISERROR(VLOOKUP("Náklady celkem",INDIRECT("HI!$A:$G"),6,0)),0,VLOOKUP("Náklady celkem",INDIRECT("HI!$A:$G"),6,0))</f>
        <v>8956.5969933509823</v>
      </c>
      <c r="D4" s="160">
        <f ca="1">IF(ISERROR(VLOOKUP("Náklady celkem",INDIRECT("HI!$A:$G"),5,0)),0,VLOOKUP("Náklady celkem",INDIRECT("HI!$A:$G"),5,0))</f>
        <v>8368.2504700000009</v>
      </c>
      <c r="E4" s="161">
        <f ca="1">IF(C4=0,0,D4/C4)</f>
        <v>0.93431137698974887</v>
      </c>
    </row>
    <row r="5" spans="1:5" ht="14.4" customHeight="1" x14ac:dyDescent="0.3">
      <c r="A5" s="162" t="s">
        <v>148</v>
      </c>
      <c r="B5" s="163"/>
      <c r="C5" s="164"/>
      <c r="D5" s="164"/>
      <c r="E5" s="165"/>
    </row>
    <row r="6" spans="1:5" ht="14.4" customHeight="1" x14ac:dyDescent="0.3">
      <c r="A6" s="166" t="s">
        <v>153</v>
      </c>
      <c r="B6" s="167"/>
      <c r="C6" s="168"/>
      <c r="D6" s="168"/>
      <c r="E6" s="165"/>
    </row>
    <row r="7" spans="1:5" ht="14.4" customHeight="1" x14ac:dyDescent="0.3">
      <c r="A7" s="257" t="str">
        <f>HYPERLINK("#HI!A1","Dodržení rozpočtu dle % HOSPODÁŘSKÉHO INDEXU pracoviště při nepřekročených ""Nákladech celkem""")</f>
        <v>Dodržení rozpočtu dle % HOSPODÁŘSKÉHO INDEXU pracoviště při nepřekročených "Nákladech celkem"</v>
      </c>
      <c r="B7" s="167" t="s">
        <v>110</v>
      </c>
      <c r="C7" s="168">
        <f>IF(ISERROR(HI!F5),"",HI!F5)</f>
        <v>13.333333801269532</v>
      </c>
      <c r="D7" s="168">
        <f>IF(ISERROR(HI!E5),"",HI!E5)</f>
        <v>11.447280000000001</v>
      </c>
      <c r="E7" s="165">
        <f t="shared" ref="E7:E14" si="0">IF(C7=0,0,D7/C7)</f>
        <v>0.85854596986914478</v>
      </c>
    </row>
    <row r="8" spans="1:5" ht="14.4" customHeight="1" x14ac:dyDescent="0.3">
      <c r="A8" s="257" t="str">
        <f>HYPERLINK("#'LŽ Statim'!A1","Podíl statimových žádanek (max. 30%)")</f>
        <v>Podíl statimových žádanek (max. 30%)</v>
      </c>
      <c r="B8" s="255" t="s">
        <v>201</v>
      </c>
      <c r="C8" s="256">
        <v>0.3</v>
      </c>
      <c r="D8" s="256">
        <f>IF('LŽ Statim'!G3="",0,'LŽ Statim'!G3)</f>
        <v>0</v>
      </c>
      <c r="E8" s="165">
        <f>IF(C8=0,0,D8/C8)</f>
        <v>0</v>
      </c>
    </row>
    <row r="9" spans="1:5" ht="14.4" customHeight="1" x14ac:dyDescent="0.3">
      <c r="A9" s="170" t="s">
        <v>149</v>
      </c>
      <c r="B9" s="167"/>
      <c r="C9" s="168"/>
      <c r="D9" s="168"/>
      <c r="E9" s="165"/>
    </row>
    <row r="10" spans="1:5" ht="14.4" customHeight="1" x14ac:dyDescent="0.3">
      <c r="A10" s="257" t="str">
        <f>HYPERLINK("#'Léky Recepty'!A1","Záchyt v lékárně (Úhrada Kč, min. 60%)")</f>
        <v>Záchyt v lékárně (Úhrada Kč, min. 60%)</v>
      </c>
      <c r="B10" s="167" t="s">
        <v>115</v>
      </c>
      <c r="C10" s="169">
        <v>0.6</v>
      </c>
      <c r="D10" s="169">
        <f>IF(ISERROR(VLOOKUP("Celkem",'Léky Recepty'!B:H,5,0)),0,VLOOKUP("Celkem",'Léky Recepty'!B:H,5,0))</f>
        <v>0.86614239525798198</v>
      </c>
      <c r="E10" s="165">
        <f t="shared" si="0"/>
        <v>1.4435706587633033</v>
      </c>
    </row>
    <row r="11" spans="1:5" ht="14.4" customHeight="1" x14ac:dyDescent="0.3">
      <c r="A11" s="257" t="str">
        <f>HYPERLINK("#'LRp PL'!A1","Plnění pozitivního listu (min. 80%)")</f>
        <v>Plnění pozitivního listu (min. 80%)</v>
      </c>
      <c r="B11" s="167" t="s">
        <v>142</v>
      </c>
      <c r="C11" s="169">
        <v>0.8</v>
      </c>
      <c r="D11" s="169">
        <f>IF(ISERROR(VLOOKUP("Celkem",'LRp PL'!A:F,5,0)),0,VLOOKUP("Celkem",'LRp PL'!A:F,5,0))</f>
        <v>1</v>
      </c>
      <c r="E11" s="165">
        <f t="shared" si="0"/>
        <v>1.25</v>
      </c>
    </row>
    <row r="12" spans="1:5" ht="14.4" customHeight="1" x14ac:dyDescent="0.3">
      <c r="A12" s="170" t="s">
        <v>150</v>
      </c>
      <c r="B12" s="167"/>
      <c r="C12" s="168"/>
      <c r="D12" s="168"/>
      <c r="E12" s="165"/>
    </row>
    <row r="13" spans="1:5" ht="14.4" customHeight="1" x14ac:dyDescent="0.3">
      <c r="A13" s="171" t="s">
        <v>154</v>
      </c>
      <c r="B13" s="167"/>
      <c r="C13" s="164"/>
      <c r="D13" s="164"/>
      <c r="E13" s="165"/>
    </row>
    <row r="14" spans="1:5" ht="14.4" customHeight="1" x14ac:dyDescent="0.3">
      <c r="A14" s="172" t="str">
        <f>HYPERLINK("#HI!A1","Dodržení rozpočtu dle % HOSPODÁŘSKÉHO INDEXU pracoviště při nepřekročených ""Nákladech celkem""")</f>
        <v>Dodržení rozpočtu dle % HOSPODÁŘSKÉHO INDEXU pracoviště při nepřekročených "Nákladech celkem"</v>
      </c>
      <c r="B14" s="167" t="s">
        <v>110</v>
      </c>
      <c r="C14" s="168">
        <f>IF(ISERROR(HI!F6),"",HI!F6)</f>
        <v>1595.6513421020509</v>
      </c>
      <c r="D14" s="168">
        <f>IF(ISERROR(HI!E6),"",HI!E6)</f>
        <v>1032.1279</v>
      </c>
      <c r="E14" s="165">
        <f t="shared" si="0"/>
        <v>0.64683798569699669</v>
      </c>
    </row>
    <row r="15" spans="1:5" ht="14.4" customHeight="1" thickBot="1" x14ac:dyDescent="0.35">
      <c r="A15" s="173" t="str">
        <f>HYPERLINK("#HI!A1","Osobní náklady")</f>
        <v>Osobní náklady</v>
      </c>
      <c r="B15" s="167"/>
      <c r="C15" s="164">
        <f ca="1">IF(ISERROR(VLOOKUP("Osobní náklady (Kč) *",INDIRECT("HI!$A:$G"),6,0)),0,VLOOKUP("Osobní náklady (Kč) *",INDIRECT("HI!$A:$G"),6,0))</f>
        <v>6293.9987175292972</v>
      </c>
      <c r="D15" s="164">
        <f ca="1">IF(ISERROR(VLOOKUP("Osobní náklady (Kč) *",INDIRECT("HI!$A:$G"),5,0)),0,VLOOKUP("Osobní náklady (Kč) *",INDIRECT("HI!$A:$G"),5,0))</f>
        <v>6190.6775600000001</v>
      </c>
      <c r="E15" s="165">
        <f ca="1">IF(C15=0,0,D15/C15)</f>
        <v>0.98358417880805415</v>
      </c>
    </row>
    <row r="16" spans="1:5" ht="14.4" customHeight="1" thickBot="1" x14ac:dyDescent="0.35">
      <c r="A16" s="177"/>
      <c r="B16" s="178"/>
      <c r="C16" s="179"/>
      <c r="D16" s="179"/>
      <c r="E16" s="180"/>
    </row>
    <row r="17" spans="1:5" ht="14.4" customHeight="1" thickBot="1" x14ac:dyDescent="0.35">
      <c r="A17" s="181" t="str">
        <f>HYPERLINK("#HI!A1","VÝNOSY CELKEM (v tisících)")</f>
        <v>VÝNOSY CELKEM (v tisících)</v>
      </c>
      <c r="B17" s="182"/>
      <c r="C17" s="183">
        <f ca="1">IF(ISERROR(VLOOKUP("Výnosy celkem",INDIRECT("HI!$A:$G"),6,0)),0,VLOOKUP("Výnosy celkem",INDIRECT("HI!$A:$G"),6,0))</f>
        <v>27285.144410000004</v>
      </c>
      <c r="D17" s="183">
        <f ca="1">IF(ISERROR(VLOOKUP("Výnosy celkem",INDIRECT("HI!$A:$G"),5,0)),0,VLOOKUP("Výnosy celkem",INDIRECT("HI!$A:$G"),5,0))</f>
        <v>13975.5442</v>
      </c>
      <c r="E17" s="184">
        <f t="shared" ref="E17:E22" ca="1" si="1">IF(C17=0,0,D17/C17)</f>
        <v>0.5122034169948525</v>
      </c>
    </row>
    <row r="18" spans="1:5" ht="14.4" customHeight="1" x14ac:dyDescent="0.3">
      <c r="A18" s="185" t="str">
        <f>HYPERLINK("#HI!A1","Ambulance (body za výkony + Kč za ZUM a ZULP)")</f>
        <v>Ambulance (body za výkony + Kč za ZUM a ZULP)</v>
      </c>
      <c r="B18" s="163"/>
      <c r="C18" s="164">
        <f ca="1">IF(ISERROR(VLOOKUP("Ambulance *",INDIRECT("HI!$A:$G"),6,0)),0,VLOOKUP("Ambulance *",INDIRECT("HI!$A:$G"),6,0))</f>
        <v>27285.144410000004</v>
      </c>
      <c r="D18" s="164">
        <f ca="1">IF(ISERROR(VLOOKUP("Ambulance *",INDIRECT("HI!$A:$G"),5,0)),0,VLOOKUP("Ambulance *",INDIRECT("HI!$A:$G"),5,0))</f>
        <v>13975.5442</v>
      </c>
      <c r="E18" s="165">
        <f t="shared" ca="1" si="1"/>
        <v>0.5122034169948525</v>
      </c>
    </row>
    <row r="19" spans="1:5" ht="14.4" customHeight="1" x14ac:dyDescent="0.3">
      <c r="A19" s="264" t="str">
        <f>HYPERLINK("#'ZV Vykáz.-A'!A1","Zdravotní výkony vykázané u ambulantních pacientů (min. 100 % 2016)")</f>
        <v>Zdravotní výkony vykázané u ambulantních pacientů (min. 100 % 2016)</v>
      </c>
      <c r="B19" s="265" t="s">
        <v>122</v>
      </c>
      <c r="C19" s="169">
        <v>1</v>
      </c>
      <c r="D19" s="169">
        <f>IF(ISERROR(VLOOKUP("Celkem:",'ZV Vykáz.-A'!$A:$AB,10,0)),"",VLOOKUP("Celkem:",'ZV Vykáz.-A'!$A:$AB,10,0))</f>
        <v>0.5122034169948525</v>
      </c>
      <c r="E19" s="165">
        <f t="shared" si="1"/>
        <v>0.5122034169948525</v>
      </c>
    </row>
    <row r="20" spans="1:5" ht="14.4" customHeight="1" x14ac:dyDescent="0.3">
      <c r="A20" s="263" t="str">
        <f>HYPERLINK("#'ZV Vykáz.-A'!A1","Specializovaná ambulantní péče")</f>
        <v>Specializovaná ambulantní péče</v>
      </c>
      <c r="B20" s="265" t="s">
        <v>122</v>
      </c>
      <c r="C20" s="169">
        <v>1</v>
      </c>
      <c r="D20" s="256">
        <f>IF(ISERROR(VLOOKUP("Specializovaná ambulantní péče",'ZV Vykáz.-A'!$A:$AB,10,0)),"",VLOOKUP("Specializovaná ambulantní péče",'ZV Vykáz.-A'!$A:$AB,10,0))</f>
        <v>0.51220341699485261</v>
      </c>
      <c r="E20" s="165">
        <f t="shared" si="1"/>
        <v>0.51220341699485261</v>
      </c>
    </row>
    <row r="21" spans="1:5" ht="14.4" customHeight="1" x14ac:dyDescent="0.3">
      <c r="A21" s="263" t="str">
        <f>HYPERLINK("#'ZV Vykáz.-A'!A1","Ambulantní péče ve vyjmenovaných odbornostech (§9)")</f>
        <v>Ambulantní péče ve vyjmenovaných odbornostech (§9)</v>
      </c>
      <c r="B21" s="265" t="s">
        <v>122</v>
      </c>
      <c r="C21" s="169">
        <v>1</v>
      </c>
      <c r="D21" s="256" t="str">
        <f>IF(ISERROR(VLOOKUP("Ambulantní péče ve vyjmenovaných odbornostech (§9) *",'ZV Vykáz.-A'!$A:$AB,10,0)),"",VLOOKUP("Ambulantní péče ve vyjmenovaných odbornostech (§9) *",'ZV Vykáz.-A'!$A:$AB,10,0))</f>
        <v/>
      </c>
      <c r="E21" s="165">
        <f>IF(OR(C21=0,D21=""),0,IF(C21="","",D21/C21))</f>
        <v>0</v>
      </c>
    </row>
    <row r="22" spans="1:5" ht="14.4" customHeight="1" x14ac:dyDescent="0.3">
      <c r="A22" s="186" t="str">
        <f>HYPERLINK("#'ZV Vykáz.-H'!A1","Zdravotní výkony vykázané u hospitalizovaných pacientů (max. 85 %)")</f>
        <v>Zdravotní výkony vykázané u hospitalizovaných pacientů (max. 85 %)</v>
      </c>
      <c r="B22" s="265" t="s">
        <v>124</v>
      </c>
      <c r="C22" s="169">
        <v>0.85</v>
      </c>
      <c r="D22" s="169">
        <f>IF(ISERROR(VLOOKUP("Celkem:",'ZV Vykáz.-H'!$A:$S,7,0)),"",VLOOKUP("Celkem:",'ZV Vykáz.-H'!$A:$S,7,0))</f>
        <v>0.51803001409501703</v>
      </c>
      <c r="E22" s="165">
        <f t="shared" si="1"/>
        <v>0.60944707540590237</v>
      </c>
    </row>
    <row r="23" spans="1:5" ht="14.4" customHeight="1" x14ac:dyDescent="0.3">
      <c r="A23" s="187" t="str">
        <f>HYPERLINK("#HI!A1","Hospitalizace (casemix * 30000)")</f>
        <v>Hospitalizace (casemix * 30000)</v>
      </c>
      <c r="B23" s="167"/>
      <c r="C23" s="164">
        <f ca="1">IF(ISERROR(VLOOKUP("Hospitalizace *",INDIRECT("HI!$A:$G"),6,0)),0,VLOOKUP("Hospitalizace *",INDIRECT("HI!$A:$G"),6,0))</f>
        <v>0</v>
      </c>
      <c r="D23" s="164">
        <f ca="1">IF(ISERROR(VLOOKUP("Hospitalizace *",INDIRECT("HI!$A:$G"),5,0)),0,VLOOKUP("Hospitalizace *",INDIRECT("HI!$A:$G"),5,0))</f>
        <v>0</v>
      </c>
      <c r="E23" s="165">
        <f ca="1">IF(C23=0,0,D23/C23)</f>
        <v>0</v>
      </c>
    </row>
    <row r="24" spans="1:5" ht="14.4" customHeight="1" thickBot="1" x14ac:dyDescent="0.35">
      <c r="A24" s="188" t="s">
        <v>151</v>
      </c>
      <c r="B24" s="174"/>
      <c r="C24" s="175"/>
      <c r="D24" s="175"/>
      <c r="E24" s="176"/>
    </row>
    <row r="25" spans="1:5" ht="14.4" customHeight="1" thickBot="1" x14ac:dyDescent="0.35">
      <c r="A25" s="189"/>
      <c r="B25" s="190"/>
      <c r="C25" s="191"/>
      <c r="D25" s="191"/>
      <c r="E25" s="192"/>
    </row>
    <row r="26" spans="1:5" ht="14.4" customHeight="1" thickBot="1" x14ac:dyDescent="0.35">
      <c r="A26" s="193" t="s">
        <v>152</v>
      </c>
      <c r="B26" s="194"/>
      <c r="C26" s="195"/>
      <c r="D26" s="195"/>
      <c r="E26" s="196"/>
    </row>
  </sheetData>
  <mergeCells count="1">
    <mergeCell ref="A1:E1"/>
  </mergeCells>
  <conditionalFormatting sqref="E5">
    <cfRule type="cellIs" dxfId="67" priority="23" operator="greaterThan">
      <formula>1</formula>
    </cfRule>
    <cfRule type="iconSet" priority="24">
      <iconSet iconSet="3Symbols2" reverse="1">
        <cfvo type="percent" val="0"/>
        <cfvo type="num" val="1"/>
        <cfvo type="num" val="1"/>
      </iconSet>
    </cfRule>
  </conditionalFormatting>
  <conditionalFormatting sqref="E13">
    <cfRule type="cellIs" dxfId="66" priority="21" operator="greaterThan">
      <formula>1</formula>
    </cfRule>
    <cfRule type="iconSet" priority="22">
      <iconSet iconSet="3Symbols2" reverse="1">
        <cfvo type="percent" val="0"/>
        <cfvo type="num" val="1"/>
        <cfvo type="num" val="1"/>
      </iconSet>
    </cfRule>
  </conditionalFormatting>
  <conditionalFormatting sqref="E15">
    <cfRule type="cellIs" dxfId="65" priority="17" operator="greaterThan">
      <formula>1</formula>
    </cfRule>
    <cfRule type="iconSet" priority="18">
      <iconSet iconSet="3Symbols2" reverse="1">
        <cfvo type="percent" val="0"/>
        <cfvo type="num" val="1"/>
        <cfvo type="num" val="1"/>
      </iconSet>
    </cfRule>
  </conditionalFormatting>
  <conditionalFormatting sqref="E18">
    <cfRule type="cellIs" dxfId="64" priority="15" operator="lessThan">
      <formula>1</formula>
    </cfRule>
    <cfRule type="iconSet" priority="16">
      <iconSet iconSet="3Symbols2">
        <cfvo type="percent" val="0"/>
        <cfvo type="num" val="1"/>
        <cfvo type="num" val="1"/>
      </iconSet>
    </cfRule>
  </conditionalFormatting>
  <conditionalFormatting sqref="E23">
    <cfRule type="cellIs" dxfId="63" priority="13" operator="lessThan">
      <formula>1</formula>
    </cfRule>
    <cfRule type="iconSet" priority="14">
      <iconSet iconSet="3Symbols2">
        <cfvo type="percent" val="0"/>
        <cfvo type="num" val="1"/>
        <cfvo type="num" val="1"/>
      </iconSet>
    </cfRule>
  </conditionalFormatting>
  <conditionalFormatting sqref="E6">
    <cfRule type="cellIs" dxfId="62" priority="11" operator="greaterThan">
      <formula>1</formula>
    </cfRule>
    <cfRule type="iconSet" priority="12">
      <iconSet iconSet="3Symbols2" reverse="1">
        <cfvo type="percent" val="0"/>
        <cfvo type="num" val="1"/>
        <cfvo type="num" val="1"/>
      </iconSet>
    </cfRule>
  </conditionalFormatting>
  <conditionalFormatting sqref="E8">
    <cfRule type="cellIs" dxfId="61" priority="9" operator="greaterThan">
      <formula>1</formula>
    </cfRule>
    <cfRule type="iconSet" priority="10">
      <iconSet iconSet="3Symbols2" reverse="1">
        <cfvo type="percent" val="0"/>
        <cfvo type="num" val="1"/>
        <cfvo type="num" val="1"/>
      </iconSet>
    </cfRule>
  </conditionalFormatting>
  <conditionalFormatting sqref="E17 E10:E11 E19:E20">
    <cfRule type="cellIs" dxfId="60" priority="48" operator="lessThan">
      <formula>1</formula>
    </cfRule>
    <cfRule type="iconSet" priority="49">
      <iconSet iconSet="3Symbols2">
        <cfvo type="percent" val="0"/>
        <cfvo type="num" val="1"/>
        <cfvo type="num" val="1"/>
      </iconSet>
    </cfRule>
  </conditionalFormatting>
  <conditionalFormatting sqref="E4 E7 E14 E21:E22">
    <cfRule type="cellIs" dxfId="59" priority="54" operator="greaterThan">
      <formula>1</formula>
    </cfRule>
    <cfRule type="iconSet" priority="55">
      <iconSet iconSet="3Symbols2" reverse="1">
        <cfvo type="percent" val="0"/>
        <cfvo type="num" val="1"/>
        <cfvo type="num" val="1"/>
      </iconSet>
    </cfRule>
  </conditionalFormatting>
  <hyperlinks>
    <hyperlink ref="A2" location="Obsah!A1" display="Zpět na Obsah  KL 01  1.-4.měsíc"/>
  </hyperlinks>
  <pageMargins left="0.25" right="0.25" top="0.75" bottom="0.75" header="0.3" footer="0.3"/>
  <pageSetup paperSize="9" fitToHeight="0" orientation="landscape" r:id="rId1"/>
  <ignoredErrors>
    <ignoredError sqref="E19:E20 E22" evalError="1"/>
    <ignoredError sqref="E21" formula="1"/>
  </ignoredErrors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List7">
    <tabColor rgb="FFFFFF66"/>
    <pageSetUpPr fitToPage="1"/>
  </sheetPr>
  <dimension ref="A1:K23"/>
  <sheetViews>
    <sheetView showGridLines="0" showRowColHeaders="0" zoomScaleNormal="100" workbookViewId="0">
      <selection sqref="A1:J1"/>
    </sheetView>
  </sheetViews>
  <sheetFormatPr defaultRowHeight="14.4" customHeight="1" outlineLevelCol="1" x14ac:dyDescent="0.3"/>
  <cols>
    <col min="1" max="1" width="34.21875" style="129" bestFit="1" customWidth="1"/>
    <col min="2" max="2" width="9.5546875" style="129" hidden="1" customWidth="1" outlineLevel="1"/>
    <col min="3" max="3" width="9.5546875" style="129" customWidth="1" collapsed="1"/>
    <col min="4" max="4" width="2.21875" style="129" customWidth="1"/>
    <col min="5" max="8" width="9.5546875" style="129" customWidth="1"/>
    <col min="9" max="10" width="9.77734375" style="129" hidden="1" customWidth="1" outlineLevel="1"/>
    <col min="11" max="11" width="8.88671875" style="129" collapsed="1"/>
    <col min="12" max="16384" width="8.88671875" style="129"/>
  </cols>
  <sheetData>
    <row r="1" spans="1:10" ht="18.600000000000001" customHeight="1" thickBot="1" x14ac:dyDescent="0.4">
      <c r="A1" s="340" t="s">
        <v>135</v>
      </c>
      <c r="B1" s="340"/>
      <c r="C1" s="340"/>
      <c r="D1" s="340"/>
      <c r="E1" s="340"/>
      <c r="F1" s="340"/>
      <c r="G1" s="340"/>
      <c r="H1" s="340"/>
      <c r="I1" s="340"/>
      <c r="J1" s="340"/>
    </row>
    <row r="2" spans="1:10" ht="14.4" customHeight="1" thickBot="1" x14ac:dyDescent="0.35">
      <c r="A2" s="232" t="s">
        <v>265</v>
      </c>
      <c r="B2" s="111"/>
      <c r="C2" s="111"/>
      <c r="D2" s="111"/>
      <c r="E2" s="111"/>
      <c r="F2" s="111"/>
    </row>
    <row r="3" spans="1:10" ht="14.4" customHeight="1" x14ac:dyDescent="0.3">
      <c r="A3" s="331"/>
      <c r="B3" s="107">
        <v>2015</v>
      </c>
      <c r="C3" s="40">
        <v>2017</v>
      </c>
      <c r="D3" s="7"/>
      <c r="E3" s="335">
        <v>2018</v>
      </c>
      <c r="F3" s="336"/>
      <c r="G3" s="336"/>
      <c r="H3" s="337"/>
      <c r="I3" s="338">
        <v>2017</v>
      </c>
      <c r="J3" s="339"/>
    </row>
    <row r="4" spans="1:10" ht="14.4" customHeight="1" thickBot="1" x14ac:dyDescent="0.35">
      <c r="A4" s="332"/>
      <c r="B4" s="333" t="s">
        <v>72</v>
      </c>
      <c r="C4" s="334"/>
      <c r="D4" s="7"/>
      <c r="E4" s="128" t="s">
        <v>72</v>
      </c>
      <c r="F4" s="109" t="s">
        <v>73</v>
      </c>
      <c r="G4" s="109" t="s">
        <v>67</v>
      </c>
      <c r="H4" s="110" t="s">
        <v>74</v>
      </c>
      <c r="I4" s="268" t="s">
        <v>209</v>
      </c>
      <c r="J4" s="269" t="s">
        <v>210</v>
      </c>
    </row>
    <row r="5" spans="1:10" ht="14.4" customHeight="1" x14ac:dyDescent="0.3">
      <c r="A5" s="112" t="str">
        <f>HYPERLINK("#'Léky Žádanky'!A1","Léky (Kč)")</f>
        <v>Léky (Kč)</v>
      </c>
      <c r="B5" s="27">
        <v>8.2408099999999997</v>
      </c>
      <c r="C5" s="29">
        <v>9.9052499999999988</v>
      </c>
      <c r="D5" s="8"/>
      <c r="E5" s="117">
        <v>11.447280000000001</v>
      </c>
      <c r="F5" s="28">
        <v>13.333333801269532</v>
      </c>
      <c r="G5" s="116">
        <f>E5-F5</f>
        <v>-1.8860538012695311</v>
      </c>
      <c r="H5" s="122">
        <f>IF(F5&lt;0.00000001,"",E5/F5)</f>
        <v>0.85854596986914478</v>
      </c>
    </row>
    <row r="6" spans="1:10" ht="14.4" customHeight="1" x14ac:dyDescent="0.3">
      <c r="A6" s="112" t="str">
        <f>HYPERLINK("#'Materiál Žádanky'!A1","Materiál - SZM (Kč)")</f>
        <v>Materiál - SZM (Kč)</v>
      </c>
      <c r="B6" s="10">
        <v>1250.2276199999999</v>
      </c>
      <c r="C6" s="31">
        <v>1367.5273899999997</v>
      </c>
      <c r="D6" s="8"/>
      <c r="E6" s="118">
        <v>1032.1279</v>
      </c>
      <c r="F6" s="30">
        <v>1595.6513421020509</v>
      </c>
      <c r="G6" s="119">
        <f>E6-F6</f>
        <v>-563.52344210205092</v>
      </c>
      <c r="H6" s="123">
        <f>IF(F6&lt;0.00000001,"",E6/F6)</f>
        <v>0.64683798569699669</v>
      </c>
    </row>
    <row r="7" spans="1:10" ht="14.4" customHeight="1" x14ac:dyDescent="0.3">
      <c r="A7" s="112" t="str">
        <f>HYPERLINK("#'Osobní náklady'!A1","Osobní náklady (Kč) *")</f>
        <v>Osobní náklady (Kč) *</v>
      </c>
      <c r="B7" s="10">
        <v>5252.87284</v>
      </c>
      <c r="C7" s="31">
        <v>5790.0307599999996</v>
      </c>
      <c r="D7" s="8"/>
      <c r="E7" s="118">
        <v>6190.6775600000001</v>
      </c>
      <c r="F7" s="30">
        <v>6293.9987175292972</v>
      </c>
      <c r="G7" s="119">
        <f>E7-F7</f>
        <v>-103.32115752929712</v>
      </c>
      <c r="H7" s="123">
        <f>IF(F7&lt;0.00000001,"",E7/F7)</f>
        <v>0.98358417880805415</v>
      </c>
    </row>
    <row r="8" spans="1:10" ht="14.4" customHeight="1" thickBot="1" x14ac:dyDescent="0.35">
      <c r="A8" s="1" t="s">
        <v>75</v>
      </c>
      <c r="B8" s="11">
        <v>1547.0326699999998</v>
      </c>
      <c r="C8" s="33">
        <v>734.55500000000075</v>
      </c>
      <c r="D8" s="8"/>
      <c r="E8" s="120">
        <v>1133.997730000001</v>
      </c>
      <c r="F8" s="32">
        <v>1053.6135999183648</v>
      </c>
      <c r="G8" s="121">
        <f>E8-F8</f>
        <v>80.384130081636158</v>
      </c>
      <c r="H8" s="124">
        <f>IF(F8&lt;0.00000001,"",E8/F8)</f>
        <v>1.0762937476204411</v>
      </c>
    </row>
    <row r="9" spans="1:10" ht="14.4" customHeight="1" thickBot="1" x14ac:dyDescent="0.35">
      <c r="A9" s="2" t="s">
        <v>76</v>
      </c>
      <c r="B9" s="3">
        <v>8058.3739399999995</v>
      </c>
      <c r="C9" s="35">
        <v>7902.0184000000008</v>
      </c>
      <c r="D9" s="8"/>
      <c r="E9" s="3">
        <v>8368.2504700000009</v>
      </c>
      <c r="F9" s="34">
        <v>8956.5969933509823</v>
      </c>
      <c r="G9" s="34">
        <f>E9-F9</f>
        <v>-588.34652335098144</v>
      </c>
      <c r="H9" s="125">
        <f>IF(F9&lt;0.00000001,"",E9/F9)</f>
        <v>0.93431137698974887</v>
      </c>
    </row>
    <row r="10" spans="1:10" ht="14.4" customHeight="1" thickBot="1" x14ac:dyDescent="0.35">
      <c r="A10" s="12"/>
      <c r="B10" s="12"/>
      <c r="C10" s="108"/>
      <c r="D10" s="8"/>
      <c r="E10" s="12"/>
      <c r="F10" s="13"/>
    </row>
    <row r="11" spans="1:10" ht="14.4" customHeight="1" x14ac:dyDescent="0.3">
      <c r="A11" s="132" t="str">
        <f>HYPERLINK("#'ZV Vykáz.-A'!A1","Ambulance *")</f>
        <v>Ambulance *</v>
      </c>
      <c r="B11" s="9">
        <f>IF(ISERROR(VLOOKUP("Celkem:",'ZV Vykáz.-A'!A:H,2,0)),0,VLOOKUP("Celkem:",'ZV Vykáz.-A'!A:H,2,0)/1000)</f>
        <v>39621.542829999999</v>
      </c>
      <c r="C11" s="29">
        <f>IF(ISERROR(VLOOKUP("Celkem:",'ZV Vykáz.-A'!A:H,5,0)),0,VLOOKUP("Celkem:",'ZV Vykáz.-A'!A:H,5,0)/1000)</f>
        <v>27285.144410000004</v>
      </c>
      <c r="D11" s="8"/>
      <c r="E11" s="117">
        <f>IF(ISERROR(VLOOKUP("Celkem:",'ZV Vykáz.-A'!A:H,8,0)),0,VLOOKUP("Celkem:",'ZV Vykáz.-A'!A:H,8,0)/1000)</f>
        <v>13975.5442</v>
      </c>
      <c r="F11" s="28">
        <f>C11</f>
        <v>27285.144410000004</v>
      </c>
      <c r="G11" s="116">
        <f>E11-F11</f>
        <v>-13309.600210000004</v>
      </c>
      <c r="H11" s="122">
        <f>IF(F11&lt;0.00000001,"",E11/F11)</f>
        <v>0.5122034169948525</v>
      </c>
      <c r="I11" s="116">
        <f>E11-B11</f>
        <v>-25645.998629999998</v>
      </c>
      <c r="J11" s="122">
        <f>IF(B11&lt;0.00000001,"",E11/B11)</f>
        <v>0.35272589611069421</v>
      </c>
    </row>
    <row r="12" spans="1:10" ht="14.4" customHeight="1" thickBot="1" x14ac:dyDescent="0.35">
      <c r="A12" s="133" t="str">
        <f>HYPERLINK("#CaseMix!A1","Hospitalizace *")</f>
        <v>Hospitalizace *</v>
      </c>
      <c r="B12" s="11">
        <f>IF(ISERROR(VLOOKUP("Celkem",#REF!,2,0)),0,VLOOKUP("Celkem",#REF!,2,0)*30)</f>
        <v>0</v>
      </c>
      <c r="C12" s="33">
        <f>IF(ISERROR(VLOOKUP("Celkem",#REF!,3,0)),0,VLOOKUP("Celkem",#REF!,3,0)*30)</f>
        <v>0</v>
      </c>
      <c r="D12" s="8"/>
      <c r="E12" s="120">
        <f>IF(ISERROR(VLOOKUP("Celkem",#REF!,4,0)),0,VLOOKUP("Celkem",#REF!,4,0)*30)</f>
        <v>0</v>
      </c>
      <c r="F12" s="32">
        <f>C12</f>
        <v>0</v>
      </c>
      <c r="G12" s="121">
        <f>E12-F12</f>
        <v>0</v>
      </c>
      <c r="H12" s="124" t="str">
        <f>IF(F12&lt;0.00000001,"",E12/F12)</f>
        <v/>
      </c>
      <c r="I12" s="121">
        <f>E12-B12</f>
        <v>0</v>
      </c>
      <c r="J12" s="124" t="str">
        <f>IF(B12&lt;0.00000001,"",E12/B12)</f>
        <v/>
      </c>
    </row>
    <row r="13" spans="1:10" ht="14.4" customHeight="1" thickBot="1" x14ac:dyDescent="0.35">
      <c r="A13" s="4" t="s">
        <v>79</v>
      </c>
      <c r="B13" s="5">
        <f>SUM(B11:B12)</f>
        <v>39621.542829999999</v>
      </c>
      <c r="C13" s="37">
        <f>SUM(C11:C12)</f>
        <v>27285.144410000004</v>
      </c>
      <c r="D13" s="8"/>
      <c r="E13" s="5">
        <f>SUM(E11:E12)</f>
        <v>13975.5442</v>
      </c>
      <c r="F13" s="36">
        <f>SUM(F11:F12)</f>
        <v>27285.144410000004</v>
      </c>
      <c r="G13" s="36">
        <f>E13-F13</f>
        <v>-13309.600210000004</v>
      </c>
      <c r="H13" s="126">
        <f>IF(F13&lt;0.00000001,"",E13/F13)</f>
        <v>0.5122034169948525</v>
      </c>
      <c r="I13" s="36">
        <f>SUM(I11:I12)</f>
        <v>-25645.998629999998</v>
      </c>
      <c r="J13" s="126">
        <f>IF(B13&lt;0.00000001,"",E13/B13)</f>
        <v>0.35272589611069421</v>
      </c>
    </row>
    <row r="14" spans="1:10" ht="14.4" customHeight="1" thickBot="1" x14ac:dyDescent="0.35">
      <c r="A14" s="12"/>
      <c r="B14" s="12"/>
      <c r="C14" s="108"/>
      <c r="D14" s="8"/>
      <c r="E14" s="12"/>
      <c r="F14" s="13"/>
    </row>
    <row r="15" spans="1:10" ht="14.4" customHeight="1" thickBot="1" x14ac:dyDescent="0.35">
      <c r="A15" s="134" t="str">
        <f>HYPERLINK("#'HI Graf'!A1","Hospodářský index (Výnosy / Náklady) *")</f>
        <v>Hospodářský index (Výnosy / Náklady) *</v>
      </c>
      <c r="B15" s="6">
        <f>IF(B9=0,"",B13/B9)</f>
        <v>4.9168161126560976</v>
      </c>
      <c r="C15" s="39">
        <f>IF(C9=0,"",C13/C9)</f>
        <v>3.4529335454344174</v>
      </c>
      <c r="D15" s="8"/>
      <c r="E15" s="6">
        <f>IF(E9=0,"",E13/E9)</f>
        <v>1.6700676264533463</v>
      </c>
      <c r="F15" s="38">
        <f>IF(F9=0,"",F13/F9)</f>
        <v>3.0463740224390357</v>
      </c>
      <c r="G15" s="38">
        <f>IF(ISERROR(F15-E15),"",E15-F15)</f>
        <v>-1.3763063959856894</v>
      </c>
      <c r="H15" s="127">
        <f>IF(ISERROR(F15-E15),"",IF(F15&lt;0.00000001,"",E15/F15))</f>
        <v>0.548214898811483</v>
      </c>
    </row>
    <row r="17" spans="1:8" ht="14.4" customHeight="1" x14ac:dyDescent="0.3">
      <c r="A17" s="113" t="s">
        <v>156</v>
      </c>
    </row>
    <row r="18" spans="1:8" ht="14.4" customHeight="1" x14ac:dyDescent="0.3">
      <c r="A18" s="235" t="s">
        <v>183</v>
      </c>
      <c r="B18" s="236"/>
      <c r="C18" s="236"/>
      <c r="D18" s="236"/>
      <c r="E18" s="236"/>
      <c r="F18" s="236"/>
      <c r="G18" s="236"/>
      <c r="H18" s="236"/>
    </row>
    <row r="19" spans="1:8" x14ac:dyDescent="0.3">
      <c r="A19" s="234" t="s">
        <v>182</v>
      </c>
      <c r="B19" s="236"/>
      <c r="C19" s="236"/>
      <c r="D19" s="236"/>
      <c r="E19" s="236"/>
      <c r="F19" s="236"/>
      <c r="G19" s="236"/>
      <c r="H19" s="236"/>
    </row>
    <row r="20" spans="1:8" ht="14.4" customHeight="1" x14ac:dyDescent="0.3">
      <c r="A20" s="114" t="s">
        <v>202</v>
      </c>
    </row>
    <row r="21" spans="1:8" ht="14.4" customHeight="1" x14ac:dyDescent="0.3">
      <c r="A21" s="114" t="s">
        <v>157</v>
      </c>
    </row>
    <row r="22" spans="1:8" ht="14.4" customHeight="1" x14ac:dyDescent="0.3">
      <c r="A22" s="115" t="s">
        <v>243</v>
      </c>
    </row>
    <row r="23" spans="1:8" ht="14.4" customHeight="1" x14ac:dyDescent="0.3">
      <c r="A23" s="115" t="s">
        <v>158</v>
      </c>
    </row>
  </sheetData>
  <mergeCells count="5">
    <mergeCell ref="A3:A4"/>
    <mergeCell ref="B4:C4"/>
    <mergeCell ref="E3:H3"/>
    <mergeCell ref="I3:J3"/>
    <mergeCell ref="A1:J1"/>
  </mergeCells>
  <conditionalFormatting sqref="F11:F12">
    <cfRule type="dataBar" priority="9">
      <dataBar>
        <cfvo type="num" val="MIN($F$11:$F$12)-SUM($F$11:$F$12)/8"/>
        <cfvo type="num" val="MAX($F$11:$F$12)+SUM($F$11:$F$12)/8"/>
        <color theme="5" tint="0.39997558519241921"/>
      </dataBar>
      <extLst>
        <ext xmlns:x14="http://schemas.microsoft.com/office/spreadsheetml/2009/9/main" uri="{B025F937-C7B1-47D3-B67F-A62EFF666E3E}">
          <x14:id>{81B0F473-4FC4-40C6-A269-30D44C2366B5}</x14:id>
        </ext>
      </extLst>
    </cfRule>
  </conditionalFormatting>
  <conditionalFormatting sqref="F5:F8">
    <cfRule type="dataBar" priority="10">
      <dataBar>
        <cfvo type="num" val="MIN($F$5:$F$8)-SUM($F$5:$F$8)/8"/>
        <cfvo type="num" val="MAX($F$5:$F$8)+SUM($F$5:$F$8)/8"/>
        <color theme="3" tint="0.39997558519241921"/>
      </dataBar>
      <extLst>
        <ext xmlns:x14="http://schemas.microsoft.com/office/spreadsheetml/2009/9/main" uri="{B025F937-C7B1-47D3-B67F-A62EFF666E3E}">
          <x14:id>{F9D6C8AA-B651-4DA5-ADB2-0E4242823C71}</x14:id>
        </ext>
      </extLst>
    </cfRule>
  </conditionalFormatting>
  <conditionalFormatting sqref="G5:G9">
    <cfRule type="cellIs" dxfId="58" priority="8" operator="greaterThan">
      <formula>0</formula>
    </cfRule>
  </conditionalFormatting>
  <conditionalFormatting sqref="G11:G13 G15">
    <cfRule type="cellIs" dxfId="57" priority="7" operator="lessThan">
      <formula>0</formula>
    </cfRule>
  </conditionalFormatting>
  <conditionalFormatting sqref="H5:H9">
    <cfRule type="cellIs" dxfId="56" priority="6" operator="greaterThan">
      <formula>1</formula>
    </cfRule>
  </conditionalFormatting>
  <conditionalFormatting sqref="H11:H13 H15">
    <cfRule type="cellIs" dxfId="55" priority="5" operator="lessThan">
      <formula>1</formula>
    </cfRule>
  </conditionalFormatting>
  <conditionalFormatting sqref="I11:I13">
    <cfRule type="cellIs" dxfId="54" priority="4" operator="lessThan">
      <formula>0</formula>
    </cfRule>
  </conditionalFormatting>
  <conditionalFormatting sqref="J11:J13">
    <cfRule type="cellIs" dxfId="53" priority="3" operator="lessThan">
      <formula>1</formula>
    </cfRule>
  </conditionalFormatting>
  <hyperlinks>
    <hyperlink ref="A2" location="Obsah!A1" display="Zpět na Obsah  KL 01  1.-4.měsíc"/>
  </hyperlinks>
  <pageMargins left="0.25" right="0.25" top="0.75" bottom="0.75" header="0.3" footer="0.3"/>
  <pageSetup paperSize="9" fitToHeight="0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dataBar" id="{81B0F473-4FC4-40C6-A269-30D44C2366B5}">
            <x14:dataBar minLength="0" maxLength="100" negativeBarColorSameAsPositive="1" axisPosition="none">
              <x14:cfvo type="num">
                <xm:f>MIN($F$11:$F$12)-SUM($F$11:$F$12)/8</xm:f>
              </x14:cfvo>
              <x14:cfvo type="num">
                <xm:f>MAX($F$11:$F$12)+SUM($F$11:$F$12)/8</xm:f>
              </x14:cfvo>
            </x14:dataBar>
          </x14:cfRule>
          <xm:sqref>F11:F12</xm:sqref>
        </x14:conditionalFormatting>
        <x14:conditionalFormatting xmlns:xm="http://schemas.microsoft.com/office/excel/2006/main">
          <x14:cfRule type="dataBar" id="{F9D6C8AA-B651-4DA5-ADB2-0E4242823C71}">
            <x14:dataBar minLength="0" maxLength="100" negativeBarColorSameAsPositive="1" axisPosition="none">
              <x14:cfvo type="num">
                <xm:f>MIN($F$5:$F$8)-SUM($F$5:$F$8)/8</xm:f>
              </x14:cfvo>
              <x14:cfvo type="num">
                <xm:f>MAX($F$5:$F$8)+SUM($F$5:$F$8)/8</xm:f>
              </x14:cfvo>
            </x14:dataBar>
          </x14:cfRule>
          <xm:sqref>F5:F8</xm:sqref>
        </x14:conditionalFormatting>
      </x14:conditionalFormattings>
    </ext>
  </extLst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List19">
    <tabColor theme="0" tint="-0.249977111117893"/>
    <pageSetUpPr fitToPage="1"/>
  </sheetPr>
  <dimension ref="A1:M13"/>
  <sheetViews>
    <sheetView showGridLines="0" showRowColHeaders="0" workbookViewId="0">
      <selection sqref="A1:M1"/>
    </sheetView>
  </sheetViews>
  <sheetFormatPr defaultRowHeight="14.4" customHeight="1" x14ac:dyDescent="0.3"/>
  <cols>
    <col min="1" max="1" width="8.88671875" style="129"/>
    <col min="2" max="13" width="8.88671875" style="129" customWidth="1"/>
    <col min="14" max="16384" width="8.88671875" style="129"/>
  </cols>
  <sheetData>
    <row r="1" spans="1:13" ht="18.600000000000001" customHeight="1" thickBot="1" x14ac:dyDescent="0.4">
      <c r="A1" s="329" t="s">
        <v>103</v>
      </c>
      <c r="B1" s="329"/>
      <c r="C1" s="329"/>
      <c r="D1" s="329"/>
      <c r="E1" s="329"/>
      <c r="F1" s="329"/>
      <c r="G1" s="329"/>
      <c r="H1" s="329"/>
      <c r="I1" s="329"/>
      <c r="J1" s="329"/>
      <c r="K1" s="329"/>
      <c r="L1" s="329"/>
      <c r="M1" s="329"/>
    </row>
    <row r="2" spans="1:13" ht="14.4" customHeight="1" x14ac:dyDescent="0.3">
      <c r="A2" s="232" t="s">
        <v>265</v>
      </c>
      <c r="B2" s="130"/>
      <c r="C2" s="130"/>
      <c r="D2" s="130"/>
      <c r="E2" s="130"/>
      <c r="F2" s="130"/>
      <c r="G2" s="130"/>
      <c r="H2" s="130"/>
      <c r="I2" s="130"/>
      <c r="J2" s="130"/>
      <c r="K2" s="130"/>
      <c r="L2" s="130"/>
      <c r="M2" s="130"/>
    </row>
    <row r="3" spans="1:13" ht="14.4" customHeight="1" x14ac:dyDescent="0.3">
      <c r="A3" s="198"/>
      <c r="B3" s="199" t="s">
        <v>81</v>
      </c>
      <c r="C3" s="200" t="s">
        <v>82</v>
      </c>
      <c r="D3" s="200" t="s">
        <v>83</v>
      </c>
      <c r="E3" s="199" t="s">
        <v>84</v>
      </c>
      <c r="F3" s="200" t="s">
        <v>85</v>
      </c>
      <c r="G3" s="200" t="s">
        <v>86</v>
      </c>
      <c r="H3" s="200" t="s">
        <v>87</v>
      </c>
      <c r="I3" s="200" t="s">
        <v>88</v>
      </c>
      <c r="J3" s="200" t="s">
        <v>89</v>
      </c>
      <c r="K3" s="200" t="s">
        <v>90</v>
      </c>
      <c r="L3" s="200" t="s">
        <v>91</v>
      </c>
      <c r="M3" s="200" t="s">
        <v>92</v>
      </c>
    </row>
    <row r="4" spans="1:13" ht="14.4" customHeight="1" x14ac:dyDescent="0.3">
      <c r="A4" s="198" t="s">
        <v>80</v>
      </c>
      <c r="B4" s="201">
        <f>(B10+B8)/B6</f>
        <v>1.5263216236557295</v>
      </c>
      <c r="C4" s="201">
        <f t="shared" ref="C4:M4" si="0">(C10+C8)/C6</f>
        <v>1.6263383749890017</v>
      </c>
      <c r="D4" s="201">
        <f t="shared" si="0"/>
        <v>1.6816838594579853</v>
      </c>
      <c r="E4" s="201">
        <f t="shared" si="0"/>
        <v>1.6700675977735127</v>
      </c>
      <c r="F4" s="201">
        <f t="shared" si="0"/>
        <v>1.6700675977735127</v>
      </c>
      <c r="G4" s="201">
        <f t="shared" si="0"/>
        <v>1.6700675977735127</v>
      </c>
      <c r="H4" s="201">
        <f t="shared" si="0"/>
        <v>1.6700675977735127</v>
      </c>
      <c r="I4" s="201">
        <f t="shared" si="0"/>
        <v>1.6700675977735127</v>
      </c>
      <c r="J4" s="201">
        <f t="shared" si="0"/>
        <v>1.6700675977735127</v>
      </c>
      <c r="K4" s="201">
        <f t="shared" si="0"/>
        <v>1.6700675977735127</v>
      </c>
      <c r="L4" s="201">
        <f t="shared" si="0"/>
        <v>1.6700675977735127</v>
      </c>
      <c r="M4" s="201">
        <f t="shared" si="0"/>
        <v>1.6700675977735127</v>
      </c>
    </row>
    <row r="5" spans="1:13" ht="14.4" customHeight="1" x14ac:dyDescent="0.3">
      <c r="A5" s="202" t="s">
        <v>53</v>
      </c>
      <c r="B5" s="201">
        <f>IF(ISERROR(VLOOKUP($A5,'Man Tab'!$A:$Q,COLUMN()+2,0)),0,VLOOKUP($A5,'Man Tab'!$A:$Q,COLUMN()+2,0))</f>
        <v>2056.4827500000001</v>
      </c>
      <c r="C5" s="201">
        <f>IF(ISERROR(VLOOKUP($A5,'Man Tab'!$A:$Q,COLUMN()+2,0)),0,VLOOKUP($A5,'Man Tab'!$A:$Q,COLUMN()+2,0))</f>
        <v>1925.07701</v>
      </c>
      <c r="D5" s="201">
        <f>IF(ISERROR(VLOOKUP($A5,'Man Tab'!$A:$Q,COLUMN()+2,0)),0,VLOOKUP($A5,'Man Tab'!$A:$Q,COLUMN()+2,0))</f>
        <v>2021.3262600000101</v>
      </c>
      <c r="E5" s="201">
        <f>IF(ISERROR(VLOOKUP($A5,'Man Tab'!$A:$Q,COLUMN()+2,0)),0,VLOOKUP($A5,'Man Tab'!$A:$Q,COLUMN()+2,0))</f>
        <v>2365.36445000001</v>
      </c>
      <c r="F5" s="201">
        <f>IF(ISERROR(VLOOKUP($A5,'Man Tab'!$A:$Q,COLUMN()+2,0)),0,VLOOKUP($A5,'Man Tab'!$A:$Q,COLUMN()+2,0))</f>
        <v>0</v>
      </c>
      <c r="G5" s="201">
        <f>IF(ISERROR(VLOOKUP($A5,'Man Tab'!$A:$Q,COLUMN()+2,0)),0,VLOOKUP($A5,'Man Tab'!$A:$Q,COLUMN()+2,0))</f>
        <v>0</v>
      </c>
      <c r="H5" s="201">
        <f>IF(ISERROR(VLOOKUP($A5,'Man Tab'!$A:$Q,COLUMN()+2,0)),0,VLOOKUP($A5,'Man Tab'!$A:$Q,COLUMN()+2,0))</f>
        <v>0</v>
      </c>
      <c r="I5" s="201">
        <f>IF(ISERROR(VLOOKUP($A5,'Man Tab'!$A:$Q,COLUMN()+2,0)),0,VLOOKUP($A5,'Man Tab'!$A:$Q,COLUMN()+2,0))</f>
        <v>0</v>
      </c>
      <c r="J5" s="201">
        <f>IF(ISERROR(VLOOKUP($A5,'Man Tab'!$A:$Q,COLUMN()+2,0)),0,VLOOKUP($A5,'Man Tab'!$A:$Q,COLUMN()+2,0))</f>
        <v>0</v>
      </c>
      <c r="K5" s="201">
        <f>IF(ISERROR(VLOOKUP($A5,'Man Tab'!$A:$Q,COLUMN()+2,0)),0,VLOOKUP($A5,'Man Tab'!$A:$Q,COLUMN()+2,0))</f>
        <v>0</v>
      </c>
      <c r="L5" s="201">
        <f>IF(ISERROR(VLOOKUP($A5,'Man Tab'!$A:$Q,COLUMN()+2,0)),0,VLOOKUP($A5,'Man Tab'!$A:$Q,COLUMN()+2,0))</f>
        <v>0</v>
      </c>
      <c r="M5" s="201">
        <f>IF(ISERROR(VLOOKUP($A5,'Man Tab'!$A:$Q,COLUMN()+2,0)),0,VLOOKUP($A5,'Man Tab'!$A:$Q,COLUMN()+2,0))</f>
        <v>0</v>
      </c>
    </row>
    <row r="6" spans="1:13" ht="14.4" customHeight="1" x14ac:dyDescent="0.3">
      <c r="A6" s="202" t="s">
        <v>76</v>
      </c>
      <c r="B6" s="203">
        <f>B5</f>
        <v>2056.4827500000001</v>
      </c>
      <c r="C6" s="203">
        <f t="shared" ref="C6:M6" si="1">C5+B6</f>
        <v>3981.5597600000001</v>
      </c>
      <c r="D6" s="203">
        <f t="shared" si="1"/>
        <v>6002.8860200000099</v>
      </c>
      <c r="E6" s="203">
        <f t="shared" si="1"/>
        <v>8368.2504700000209</v>
      </c>
      <c r="F6" s="203">
        <f t="shared" si="1"/>
        <v>8368.2504700000209</v>
      </c>
      <c r="G6" s="203">
        <f t="shared" si="1"/>
        <v>8368.2504700000209</v>
      </c>
      <c r="H6" s="203">
        <f t="shared" si="1"/>
        <v>8368.2504700000209</v>
      </c>
      <c r="I6" s="203">
        <f t="shared" si="1"/>
        <v>8368.2504700000209</v>
      </c>
      <c r="J6" s="203">
        <f t="shared" si="1"/>
        <v>8368.2504700000209</v>
      </c>
      <c r="K6" s="203">
        <f t="shared" si="1"/>
        <v>8368.2504700000209</v>
      </c>
      <c r="L6" s="203">
        <f t="shared" si="1"/>
        <v>8368.2504700000209</v>
      </c>
      <c r="M6" s="203">
        <f t="shared" si="1"/>
        <v>8368.2504700000209</v>
      </c>
    </row>
    <row r="7" spans="1:13" ht="14.4" customHeight="1" x14ac:dyDescent="0.3">
      <c r="A7" s="202" t="s">
        <v>101</v>
      </c>
      <c r="B7" s="202"/>
      <c r="C7" s="202"/>
      <c r="D7" s="202"/>
      <c r="E7" s="202"/>
      <c r="F7" s="202"/>
      <c r="G7" s="202"/>
      <c r="H7" s="202"/>
      <c r="I7" s="202"/>
      <c r="J7" s="202"/>
      <c r="K7" s="202"/>
      <c r="L7" s="202"/>
      <c r="M7" s="202"/>
    </row>
    <row r="8" spans="1:13" ht="14.4" customHeight="1" x14ac:dyDescent="0.3">
      <c r="A8" s="202" t="s">
        <v>77</v>
      </c>
      <c r="B8" s="203">
        <f>B7*30</f>
        <v>0</v>
      </c>
      <c r="C8" s="203">
        <f t="shared" ref="C8:M8" si="2">C7*30</f>
        <v>0</v>
      </c>
      <c r="D8" s="203">
        <f t="shared" si="2"/>
        <v>0</v>
      </c>
      <c r="E8" s="203">
        <f t="shared" si="2"/>
        <v>0</v>
      </c>
      <c r="F8" s="203">
        <f t="shared" si="2"/>
        <v>0</v>
      </c>
      <c r="G8" s="203">
        <f t="shared" si="2"/>
        <v>0</v>
      </c>
      <c r="H8" s="203">
        <f t="shared" si="2"/>
        <v>0</v>
      </c>
      <c r="I8" s="203">
        <f t="shared" si="2"/>
        <v>0</v>
      </c>
      <c r="J8" s="203">
        <f t="shared" si="2"/>
        <v>0</v>
      </c>
      <c r="K8" s="203">
        <f t="shared" si="2"/>
        <v>0</v>
      </c>
      <c r="L8" s="203">
        <f t="shared" si="2"/>
        <v>0</v>
      </c>
      <c r="M8" s="203">
        <f t="shared" si="2"/>
        <v>0</v>
      </c>
    </row>
    <row r="9" spans="1:13" ht="14.4" customHeight="1" x14ac:dyDescent="0.3">
      <c r="A9" s="202" t="s">
        <v>102</v>
      </c>
      <c r="B9" s="202">
        <v>3138854.09</v>
      </c>
      <c r="C9" s="202">
        <v>3336509.34</v>
      </c>
      <c r="D9" s="202">
        <v>3619593.1000000015</v>
      </c>
      <c r="E9" s="202">
        <v>3880587.4300000006</v>
      </c>
      <c r="F9" s="202">
        <v>0</v>
      </c>
      <c r="G9" s="202">
        <v>0</v>
      </c>
      <c r="H9" s="202">
        <v>0</v>
      </c>
      <c r="I9" s="202">
        <v>0</v>
      </c>
      <c r="J9" s="202">
        <v>0</v>
      </c>
      <c r="K9" s="202">
        <v>0</v>
      </c>
      <c r="L9" s="202">
        <v>0</v>
      </c>
      <c r="M9" s="202">
        <v>0</v>
      </c>
    </row>
    <row r="10" spans="1:13" ht="14.4" customHeight="1" x14ac:dyDescent="0.3">
      <c r="A10" s="202" t="s">
        <v>78</v>
      </c>
      <c r="B10" s="203">
        <f>B9/1000</f>
        <v>3138.8540899999998</v>
      </c>
      <c r="C10" s="203">
        <f t="shared" ref="C10:M10" si="3">C9/1000+B10</f>
        <v>6475.3634299999994</v>
      </c>
      <c r="D10" s="203">
        <f t="shared" si="3"/>
        <v>10094.956530000001</v>
      </c>
      <c r="E10" s="203">
        <f t="shared" si="3"/>
        <v>13975.543960000003</v>
      </c>
      <c r="F10" s="203">
        <f t="shared" si="3"/>
        <v>13975.543960000003</v>
      </c>
      <c r="G10" s="203">
        <f t="shared" si="3"/>
        <v>13975.543960000003</v>
      </c>
      <c r="H10" s="203">
        <f t="shared" si="3"/>
        <v>13975.543960000003</v>
      </c>
      <c r="I10" s="203">
        <f t="shared" si="3"/>
        <v>13975.543960000003</v>
      </c>
      <c r="J10" s="203">
        <f t="shared" si="3"/>
        <v>13975.543960000003</v>
      </c>
      <c r="K10" s="203">
        <f t="shared" si="3"/>
        <v>13975.543960000003</v>
      </c>
      <c r="L10" s="203">
        <f t="shared" si="3"/>
        <v>13975.543960000003</v>
      </c>
      <c r="M10" s="203">
        <f t="shared" si="3"/>
        <v>13975.543960000003</v>
      </c>
    </row>
    <row r="11" spans="1:13" ht="14.4" customHeight="1" x14ac:dyDescent="0.3">
      <c r="A11" s="198"/>
      <c r="B11" s="198" t="s">
        <v>93</v>
      </c>
      <c r="C11" s="198">
        <f ca="1">IF(MONTH(TODAY())=1,12,MONTH(TODAY())-1)</f>
        <v>4</v>
      </c>
      <c r="D11" s="198"/>
      <c r="E11" s="198"/>
      <c r="F11" s="198"/>
      <c r="G11" s="198"/>
      <c r="H11" s="198"/>
      <c r="I11" s="198"/>
      <c r="J11" s="198"/>
      <c r="K11" s="198"/>
      <c r="L11" s="198"/>
      <c r="M11" s="198"/>
    </row>
    <row r="12" spans="1:13" ht="14.4" customHeight="1" x14ac:dyDescent="0.3">
      <c r="A12" s="198">
        <v>0</v>
      </c>
      <c r="B12" s="201">
        <f>IF(ISERROR(HI!F15),#REF!,HI!F15)</f>
        <v>3.0463740224390357</v>
      </c>
      <c r="C12" s="198"/>
      <c r="D12" s="198"/>
      <c r="E12" s="198"/>
      <c r="F12" s="198"/>
      <c r="G12" s="198"/>
      <c r="H12" s="198"/>
      <c r="I12" s="198"/>
      <c r="J12" s="198"/>
      <c r="K12" s="198"/>
      <c r="L12" s="198"/>
      <c r="M12" s="198"/>
    </row>
    <row r="13" spans="1:13" ht="14.4" customHeight="1" x14ac:dyDescent="0.3">
      <c r="A13" s="198">
        <v>1</v>
      </c>
      <c r="B13" s="201">
        <f>IF(ISERROR(HI!F15),#REF!,HI!F15)</f>
        <v>3.0463740224390357</v>
      </c>
      <c r="C13" s="198"/>
      <c r="D13" s="198"/>
      <c r="E13" s="198"/>
      <c r="F13" s="198"/>
      <c r="G13" s="198"/>
      <c r="H13" s="198"/>
      <c r="I13" s="198"/>
      <c r="J13" s="198"/>
      <c r="K13" s="198"/>
      <c r="L13" s="198"/>
      <c r="M13" s="198"/>
    </row>
  </sheetData>
  <mergeCells count="1">
    <mergeCell ref="A1:M1"/>
  </mergeCells>
  <hyperlinks>
    <hyperlink ref="A2" location="Obsah!A1" display="Zpět na Obsah  KL 01  1.-4.měsíc"/>
  </hyperlinks>
  <pageMargins left="0.25" right="0.25" top="0.75" bottom="0.75" header="0.3" footer="0.3"/>
  <pageSetup paperSize="9" orientation="landscape" r:id="rId1"/>
  <ignoredErrors>
    <ignoredError sqref="B4:M4" evalError="1"/>
  </ignoredErrors>
  <drawing r:id="rId2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List5">
    <tabColor theme="0" tint="-0.249977111117893"/>
    <pageSetUpPr fitToPage="1"/>
  </sheetPr>
  <dimension ref="A1:Q35"/>
  <sheetViews>
    <sheetView showGridLines="0" showRowColHeaders="0" workbookViewId="0">
      <pane xSplit="1" ySplit="5" topLeftCell="B6" activePane="bottomRight" state="frozen"/>
      <selection pane="topRight" activeCell="B1" sqref="B1"/>
      <selection pane="bottomLeft" activeCell="A6" sqref="A6"/>
      <selection pane="bottomRight" sqref="A1:Q1"/>
    </sheetView>
  </sheetViews>
  <sheetFormatPr defaultRowHeight="14.4" customHeight="1" x14ac:dyDescent="0.3"/>
  <cols>
    <col min="1" max="1" width="42" style="129" bestFit="1" customWidth="1"/>
    <col min="2" max="2" width="12.77734375" style="129" bestFit="1" customWidth="1"/>
    <col min="3" max="3" width="13.6640625" style="129" bestFit="1" customWidth="1"/>
    <col min="4" max="15" width="7.77734375" style="129" bestFit="1" customWidth="1"/>
    <col min="16" max="16" width="8.88671875" style="129" customWidth="1"/>
    <col min="17" max="17" width="6.6640625" style="129" bestFit="1" customWidth="1"/>
    <col min="18" max="16384" width="8.88671875" style="129"/>
  </cols>
  <sheetData>
    <row r="1" spans="1:17" s="204" customFormat="1" ht="18.600000000000001" customHeight="1" thickBot="1" x14ac:dyDescent="0.4">
      <c r="A1" s="341" t="s">
        <v>267</v>
      </c>
      <c r="B1" s="341"/>
      <c r="C1" s="341"/>
      <c r="D1" s="341"/>
      <c r="E1" s="341"/>
      <c r="F1" s="341"/>
      <c r="G1" s="341"/>
      <c r="H1" s="329"/>
      <c r="I1" s="329"/>
      <c r="J1" s="329"/>
      <c r="K1" s="329"/>
      <c r="L1" s="329"/>
      <c r="M1" s="329"/>
      <c r="N1" s="329"/>
      <c r="O1" s="329"/>
      <c r="P1" s="329"/>
      <c r="Q1" s="329"/>
    </row>
    <row r="2" spans="1:17" s="204" customFormat="1" ht="14.4" customHeight="1" thickBot="1" x14ac:dyDescent="0.3">
      <c r="A2" s="232" t="s">
        <v>265</v>
      </c>
      <c r="B2" s="205"/>
      <c r="C2" s="205"/>
      <c r="D2" s="205"/>
      <c r="E2" s="205"/>
      <c r="F2" s="205"/>
      <c r="G2" s="205"/>
      <c r="H2" s="205"/>
      <c r="I2" s="205"/>
      <c r="J2" s="205"/>
      <c r="K2" s="205"/>
      <c r="L2" s="205"/>
      <c r="M2" s="205"/>
      <c r="N2" s="205"/>
      <c r="O2" s="205"/>
      <c r="P2" s="205"/>
      <c r="Q2" s="205"/>
    </row>
    <row r="3" spans="1:17" ht="14.4" customHeight="1" x14ac:dyDescent="0.3">
      <c r="A3" s="76"/>
      <c r="B3" s="342" t="s">
        <v>29</v>
      </c>
      <c r="C3" s="343"/>
      <c r="D3" s="343"/>
      <c r="E3" s="343"/>
      <c r="F3" s="343"/>
      <c r="G3" s="343"/>
      <c r="H3" s="343"/>
      <c r="I3" s="343"/>
      <c r="J3" s="343"/>
      <c r="K3" s="343"/>
      <c r="L3" s="343"/>
      <c r="M3" s="343"/>
      <c r="N3" s="343"/>
      <c r="O3" s="343"/>
      <c r="P3" s="137"/>
      <c r="Q3" s="139"/>
    </row>
    <row r="4" spans="1:17" ht="14.4" customHeight="1" x14ac:dyDescent="0.3">
      <c r="A4" s="77"/>
      <c r="B4" s="20">
        <v>2018</v>
      </c>
      <c r="C4" s="138" t="s">
        <v>30</v>
      </c>
      <c r="D4" s="262" t="s">
        <v>244</v>
      </c>
      <c r="E4" s="262" t="s">
        <v>245</v>
      </c>
      <c r="F4" s="262" t="s">
        <v>246</v>
      </c>
      <c r="G4" s="262" t="s">
        <v>247</v>
      </c>
      <c r="H4" s="262" t="s">
        <v>248</v>
      </c>
      <c r="I4" s="262" t="s">
        <v>249</v>
      </c>
      <c r="J4" s="262" t="s">
        <v>250</v>
      </c>
      <c r="K4" s="262" t="s">
        <v>251</v>
      </c>
      <c r="L4" s="262" t="s">
        <v>252</v>
      </c>
      <c r="M4" s="262" t="s">
        <v>253</v>
      </c>
      <c r="N4" s="262" t="s">
        <v>254</v>
      </c>
      <c r="O4" s="262" t="s">
        <v>255</v>
      </c>
      <c r="P4" s="344" t="s">
        <v>3</v>
      </c>
      <c r="Q4" s="345"/>
    </row>
    <row r="5" spans="1:17" ht="14.4" customHeight="1" thickBot="1" x14ac:dyDescent="0.35">
      <c r="A5" s="78"/>
      <c r="B5" s="21" t="s">
        <v>31</v>
      </c>
      <c r="C5" s="22" t="s">
        <v>31</v>
      </c>
      <c r="D5" s="22" t="s">
        <v>32</v>
      </c>
      <c r="E5" s="22" t="s">
        <v>32</v>
      </c>
      <c r="F5" s="22" t="s">
        <v>32</v>
      </c>
      <c r="G5" s="22" t="s">
        <v>32</v>
      </c>
      <c r="H5" s="22" t="s">
        <v>32</v>
      </c>
      <c r="I5" s="22" t="s">
        <v>32</v>
      </c>
      <c r="J5" s="22" t="s">
        <v>32</v>
      </c>
      <c r="K5" s="22" t="s">
        <v>32</v>
      </c>
      <c r="L5" s="22" t="s">
        <v>32</v>
      </c>
      <c r="M5" s="22" t="s">
        <v>32</v>
      </c>
      <c r="N5" s="22" t="s">
        <v>32</v>
      </c>
      <c r="O5" s="22" t="s">
        <v>32</v>
      </c>
      <c r="P5" s="22" t="s">
        <v>32</v>
      </c>
      <c r="Q5" s="23" t="s">
        <v>33</v>
      </c>
    </row>
    <row r="6" spans="1:17" ht="14.4" customHeight="1" x14ac:dyDescent="0.3">
      <c r="A6" s="14" t="s">
        <v>34</v>
      </c>
      <c r="B6" s="48">
        <v>0</v>
      </c>
      <c r="C6" s="49">
        <v>0</v>
      </c>
      <c r="D6" s="49">
        <v>0</v>
      </c>
      <c r="E6" s="49">
        <v>0</v>
      </c>
      <c r="F6" s="49">
        <v>0</v>
      </c>
      <c r="G6" s="49">
        <v>0</v>
      </c>
      <c r="H6" s="49">
        <v>0</v>
      </c>
      <c r="I6" s="49">
        <v>0</v>
      </c>
      <c r="J6" s="49">
        <v>0</v>
      </c>
      <c r="K6" s="49">
        <v>0</v>
      </c>
      <c r="L6" s="49">
        <v>0</v>
      </c>
      <c r="M6" s="49">
        <v>0</v>
      </c>
      <c r="N6" s="49">
        <v>0</v>
      </c>
      <c r="O6" s="49">
        <v>0</v>
      </c>
      <c r="P6" s="50">
        <v>0</v>
      </c>
      <c r="Q6" s="94" t="s">
        <v>266</v>
      </c>
    </row>
    <row r="7" spans="1:17" ht="14.4" customHeight="1" x14ac:dyDescent="0.3">
      <c r="A7" s="15" t="s">
        <v>35</v>
      </c>
      <c r="B7" s="51">
        <v>40</v>
      </c>
      <c r="C7" s="52">
        <v>3.333333333333</v>
      </c>
      <c r="D7" s="52">
        <v>1.8433299999999999</v>
      </c>
      <c r="E7" s="52">
        <v>3.8738999999999999</v>
      </c>
      <c r="F7" s="52">
        <v>2.5991900000000001</v>
      </c>
      <c r="G7" s="52">
        <v>3.1308600000000002</v>
      </c>
      <c r="H7" s="52">
        <v>0</v>
      </c>
      <c r="I7" s="52">
        <v>0</v>
      </c>
      <c r="J7" s="52">
        <v>0</v>
      </c>
      <c r="K7" s="52">
        <v>0</v>
      </c>
      <c r="L7" s="52">
        <v>0</v>
      </c>
      <c r="M7" s="52">
        <v>0</v>
      </c>
      <c r="N7" s="52">
        <v>0</v>
      </c>
      <c r="O7" s="52">
        <v>0</v>
      </c>
      <c r="P7" s="53">
        <v>11.447279999999999</v>
      </c>
      <c r="Q7" s="95">
        <v>0.85854600000000003</v>
      </c>
    </row>
    <row r="8" spans="1:17" ht="14.4" customHeight="1" x14ac:dyDescent="0.3">
      <c r="A8" s="15" t="s">
        <v>36</v>
      </c>
      <c r="B8" s="51">
        <v>0</v>
      </c>
      <c r="C8" s="52">
        <v>0</v>
      </c>
      <c r="D8" s="52">
        <v>0</v>
      </c>
      <c r="E8" s="52">
        <v>0</v>
      </c>
      <c r="F8" s="52">
        <v>0</v>
      </c>
      <c r="G8" s="52">
        <v>0</v>
      </c>
      <c r="H8" s="52">
        <v>0</v>
      </c>
      <c r="I8" s="52">
        <v>0</v>
      </c>
      <c r="J8" s="52">
        <v>0</v>
      </c>
      <c r="K8" s="52">
        <v>0</v>
      </c>
      <c r="L8" s="52">
        <v>0</v>
      </c>
      <c r="M8" s="52">
        <v>0</v>
      </c>
      <c r="N8" s="52">
        <v>0</v>
      </c>
      <c r="O8" s="52">
        <v>0</v>
      </c>
      <c r="P8" s="53">
        <v>0</v>
      </c>
      <c r="Q8" s="95" t="s">
        <v>266</v>
      </c>
    </row>
    <row r="9" spans="1:17" ht="14.4" customHeight="1" x14ac:dyDescent="0.3">
      <c r="A9" s="15" t="s">
        <v>37</v>
      </c>
      <c r="B9" s="51">
        <v>4786.9540187726398</v>
      </c>
      <c r="C9" s="52">
        <v>398.91283489772002</v>
      </c>
      <c r="D9" s="52">
        <v>210.26895999999999</v>
      </c>
      <c r="E9" s="52">
        <v>270.64738</v>
      </c>
      <c r="F9" s="52">
        <v>281.12719000000101</v>
      </c>
      <c r="G9" s="52">
        <v>270.084370000001</v>
      </c>
      <c r="H9" s="52">
        <v>0</v>
      </c>
      <c r="I9" s="52">
        <v>0</v>
      </c>
      <c r="J9" s="52">
        <v>0</v>
      </c>
      <c r="K9" s="52">
        <v>0</v>
      </c>
      <c r="L9" s="52">
        <v>0</v>
      </c>
      <c r="M9" s="52">
        <v>0</v>
      </c>
      <c r="N9" s="52">
        <v>0</v>
      </c>
      <c r="O9" s="52">
        <v>0</v>
      </c>
      <c r="P9" s="53">
        <v>1032.1279</v>
      </c>
      <c r="Q9" s="95">
        <v>0.64683798671399995</v>
      </c>
    </row>
    <row r="10" spans="1:17" ht="14.4" customHeight="1" x14ac:dyDescent="0.3">
      <c r="A10" s="15" t="s">
        <v>38</v>
      </c>
      <c r="B10" s="51">
        <v>0</v>
      </c>
      <c r="C10" s="52">
        <v>0</v>
      </c>
      <c r="D10" s="52">
        <v>0</v>
      </c>
      <c r="E10" s="52">
        <v>0</v>
      </c>
      <c r="F10" s="52">
        <v>0</v>
      </c>
      <c r="G10" s="52">
        <v>0</v>
      </c>
      <c r="H10" s="52">
        <v>0</v>
      </c>
      <c r="I10" s="52">
        <v>0</v>
      </c>
      <c r="J10" s="52">
        <v>0</v>
      </c>
      <c r="K10" s="52">
        <v>0</v>
      </c>
      <c r="L10" s="52">
        <v>0</v>
      </c>
      <c r="M10" s="52">
        <v>0</v>
      </c>
      <c r="N10" s="52">
        <v>0</v>
      </c>
      <c r="O10" s="52">
        <v>0</v>
      </c>
      <c r="P10" s="53">
        <v>0</v>
      </c>
      <c r="Q10" s="95" t="s">
        <v>266</v>
      </c>
    </row>
    <row r="11" spans="1:17" ht="14.4" customHeight="1" x14ac:dyDescent="0.3">
      <c r="A11" s="15" t="s">
        <v>39</v>
      </c>
      <c r="B11" s="51">
        <v>115.62484221605899</v>
      </c>
      <c r="C11" s="52">
        <v>9.6354035180040007</v>
      </c>
      <c r="D11" s="52">
        <v>8.2803299999999993</v>
      </c>
      <c r="E11" s="52">
        <v>6.9396300000000002</v>
      </c>
      <c r="F11" s="52">
        <v>15.35558</v>
      </c>
      <c r="G11" s="52">
        <v>5.6919700000000004</v>
      </c>
      <c r="H11" s="52">
        <v>0</v>
      </c>
      <c r="I11" s="52">
        <v>0</v>
      </c>
      <c r="J11" s="52">
        <v>0</v>
      </c>
      <c r="K11" s="52">
        <v>0</v>
      </c>
      <c r="L11" s="52">
        <v>0</v>
      </c>
      <c r="M11" s="52">
        <v>0</v>
      </c>
      <c r="N11" s="52">
        <v>0</v>
      </c>
      <c r="O11" s="52">
        <v>0</v>
      </c>
      <c r="P11" s="53">
        <v>36.267510000000001</v>
      </c>
      <c r="Q11" s="95">
        <v>0.94099613815399996</v>
      </c>
    </row>
    <row r="12" spans="1:17" ht="14.4" customHeight="1" x14ac:dyDescent="0.3">
      <c r="A12" s="15" t="s">
        <v>40</v>
      </c>
      <c r="B12" s="51">
        <v>9.8997786460100006</v>
      </c>
      <c r="C12" s="52">
        <v>0.82498155383399996</v>
      </c>
      <c r="D12" s="52">
        <v>4.385E-2</v>
      </c>
      <c r="E12" s="52">
        <v>0.14280000000000001</v>
      </c>
      <c r="F12" s="52">
        <v>0</v>
      </c>
      <c r="G12" s="52">
        <v>0.27600000000000002</v>
      </c>
      <c r="H12" s="52">
        <v>0</v>
      </c>
      <c r="I12" s="52">
        <v>0</v>
      </c>
      <c r="J12" s="52">
        <v>0</v>
      </c>
      <c r="K12" s="52">
        <v>0</v>
      </c>
      <c r="L12" s="52">
        <v>0</v>
      </c>
      <c r="M12" s="52">
        <v>0</v>
      </c>
      <c r="N12" s="52">
        <v>0</v>
      </c>
      <c r="O12" s="52">
        <v>0</v>
      </c>
      <c r="P12" s="53">
        <v>0.46265000000000001</v>
      </c>
      <c r="Q12" s="95">
        <v>0.14020010442899999</v>
      </c>
    </row>
    <row r="13" spans="1:17" ht="14.4" customHeight="1" x14ac:dyDescent="0.3">
      <c r="A13" s="15" t="s">
        <v>41</v>
      </c>
      <c r="B13" s="51">
        <v>12.090649985422999</v>
      </c>
      <c r="C13" s="52">
        <v>1.0075541654510001</v>
      </c>
      <c r="D13" s="52">
        <v>1.1869799999999999</v>
      </c>
      <c r="E13" s="52">
        <v>0.88814000000000004</v>
      </c>
      <c r="F13" s="52">
        <v>0.52707999999999999</v>
      </c>
      <c r="G13" s="52">
        <v>0.24418999999999999</v>
      </c>
      <c r="H13" s="52">
        <v>0</v>
      </c>
      <c r="I13" s="52">
        <v>0</v>
      </c>
      <c r="J13" s="52">
        <v>0</v>
      </c>
      <c r="K13" s="52">
        <v>0</v>
      </c>
      <c r="L13" s="52">
        <v>0</v>
      </c>
      <c r="M13" s="52">
        <v>0</v>
      </c>
      <c r="N13" s="52">
        <v>0</v>
      </c>
      <c r="O13" s="52">
        <v>0</v>
      </c>
      <c r="P13" s="53">
        <v>2.84639</v>
      </c>
      <c r="Q13" s="95">
        <v>0.70626227789999996</v>
      </c>
    </row>
    <row r="14" spans="1:17" ht="14.4" customHeight="1" x14ac:dyDescent="0.3">
      <c r="A14" s="15" t="s">
        <v>42</v>
      </c>
      <c r="B14" s="51">
        <v>163.58267765678099</v>
      </c>
      <c r="C14" s="52">
        <v>13.631889804730999</v>
      </c>
      <c r="D14" s="52">
        <v>18.457000000000001</v>
      </c>
      <c r="E14" s="52">
        <v>17.524000000000001</v>
      </c>
      <c r="F14" s="52">
        <v>17.225999999999999</v>
      </c>
      <c r="G14" s="52">
        <v>11.394</v>
      </c>
      <c r="H14" s="52">
        <v>0</v>
      </c>
      <c r="I14" s="52">
        <v>0</v>
      </c>
      <c r="J14" s="52">
        <v>0</v>
      </c>
      <c r="K14" s="52">
        <v>0</v>
      </c>
      <c r="L14" s="52">
        <v>0</v>
      </c>
      <c r="M14" s="52">
        <v>0</v>
      </c>
      <c r="N14" s="52">
        <v>0</v>
      </c>
      <c r="O14" s="52">
        <v>0</v>
      </c>
      <c r="P14" s="53">
        <v>64.600999999999999</v>
      </c>
      <c r="Q14" s="95">
        <v>1.184740357451</v>
      </c>
    </row>
    <row r="15" spans="1:17" ht="14.4" customHeight="1" x14ac:dyDescent="0.3">
      <c r="A15" s="15" t="s">
        <v>43</v>
      </c>
      <c r="B15" s="51">
        <v>0</v>
      </c>
      <c r="C15" s="52">
        <v>0</v>
      </c>
      <c r="D15" s="52">
        <v>0</v>
      </c>
      <c r="E15" s="52">
        <v>0</v>
      </c>
      <c r="F15" s="52">
        <v>0</v>
      </c>
      <c r="G15" s="52">
        <v>0</v>
      </c>
      <c r="H15" s="52">
        <v>0</v>
      </c>
      <c r="I15" s="52">
        <v>0</v>
      </c>
      <c r="J15" s="52">
        <v>0</v>
      </c>
      <c r="K15" s="52">
        <v>0</v>
      </c>
      <c r="L15" s="52">
        <v>0</v>
      </c>
      <c r="M15" s="52">
        <v>0</v>
      </c>
      <c r="N15" s="52">
        <v>0</v>
      </c>
      <c r="O15" s="52">
        <v>0</v>
      </c>
      <c r="P15" s="53">
        <v>0</v>
      </c>
      <c r="Q15" s="95" t="s">
        <v>266</v>
      </c>
    </row>
    <row r="16" spans="1:17" ht="14.4" customHeight="1" x14ac:dyDescent="0.3">
      <c r="A16" s="15" t="s">
        <v>44</v>
      </c>
      <c r="B16" s="51">
        <v>0</v>
      </c>
      <c r="C16" s="52">
        <v>0</v>
      </c>
      <c r="D16" s="52">
        <v>0</v>
      </c>
      <c r="E16" s="52">
        <v>0</v>
      </c>
      <c r="F16" s="52">
        <v>0</v>
      </c>
      <c r="G16" s="52">
        <v>0</v>
      </c>
      <c r="H16" s="52">
        <v>0</v>
      </c>
      <c r="I16" s="52">
        <v>0</v>
      </c>
      <c r="J16" s="52">
        <v>0</v>
      </c>
      <c r="K16" s="52">
        <v>0</v>
      </c>
      <c r="L16" s="52">
        <v>0</v>
      </c>
      <c r="M16" s="52">
        <v>0</v>
      </c>
      <c r="N16" s="52">
        <v>0</v>
      </c>
      <c r="O16" s="52">
        <v>0</v>
      </c>
      <c r="P16" s="53">
        <v>0</v>
      </c>
      <c r="Q16" s="95" t="s">
        <v>266</v>
      </c>
    </row>
    <row r="17" spans="1:17" ht="14.4" customHeight="1" x14ac:dyDescent="0.3">
      <c r="A17" s="15" t="s">
        <v>45</v>
      </c>
      <c r="B17" s="51">
        <v>318.971382100109</v>
      </c>
      <c r="C17" s="52">
        <v>26.580948508342001</v>
      </c>
      <c r="D17" s="52">
        <v>2.04732</v>
      </c>
      <c r="E17" s="52">
        <v>5.0287600000000001</v>
      </c>
      <c r="F17" s="52">
        <v>6.1038399999999999</v>
      </c>
      <c r="G17" s="52">
        <v>296.00742000000099</v>
      </c>
      <c r="H17" s="52">
        <v>0</v>
      </c>
      <c r="I17" s="52">
        <v>0</v>
      </c>
      <c r="J17" s="52">
        <v>0</v>
      </c>
      <c r="K17" s="52">
        <v>0</v>
      </c>
      <c r="L17" s="52">
        <v>0</v>
      </c>
      <c r="M17" s="52">
        <v>0</v>
      </c>
      <c r="N17" s="52">
        <v>0</v>
      </c>
      <c r="O17" s="52">
        <v>0</v>
      </c>
      <c r="P17" s="53">
        <v>309.18734000000097</v>
      </c>
      <c r="Q17" s="95">
        <v>2.9079788095499999</v>
      </c>
    </row>
    <row r="18" spans="1:17" ht="14.4" customHeight="1" x14ac:dyDescent="0.3">
      <c r="A18" s="15" t="s">
        <v>46</v>
      </c>
      <c r="B18" s="51">
        <v>0</v>
      </c>
      <c r="C18" s="52">
        <v>0</v>
      </c>
      <c r="D18" s="52">
        <v>2.2599999999999998</v>
      </c>
      <c r="E18" s="52">
        <v>9.2200000000000006</v>
      </c>
      <c r="F18" s="52">
        <v>4.0880000000000001</v>
      </c>
      <c r="G18" s="52">
        <v>9.0310000000000006</v>
      </c>
      <c r="H18" s="52">
        <v>0</v>
      </c>
      <c r="I18" s="52">
        <v>0</v>
      </c>
      <c r="J18" s="52">
        <v>0</v>
      </c>
      <c r="K18" s="52">
        <v>0</v>
      </c>
      <c r="L18" s="52">
        <v>0</v>
      </c>
      <c r="M18" s="52">
        <v>0</v>
      </c>
      <c r="N18" s="52">
        <v>0</v>
      </c>
      <c r="O18" s="52">
        <v>0</v>
      </c>
      <c r="P18" s="53">
        <v>24.599</v>
      </c>
      <c r="Q18" s="95" t="s">
        <v>266</v>
      </c>
    </row>
    <row r="19" spans="1:17" ht="14.4" customHeight="1" x14ac:dyDescent="0.3">
      <c r="A19" s="15" t="s">
        <v>47</v>
      </c>
      <c r="B19" s="51">
        <v>1249.3509925639601</v>
      </c>
      <c r="C19" s="52">
        <v>104.112582713663</v>
      </c>
      <c r="D19" s="52">
        <v>62.013269999999999</v>
      </c>
      <c r="E19" s="52">
        <v>27.499140000000001</v>
      </c>
      <c r="F19" s="52">
        <v>37.074399999999997</v>
      </c>
      <c r="G19" s="52">
        <v>95.687700000000007</v>
      </c>
      <c r="H19" s="52">
        <v>0</v>
      </c>
      <c r="I19" s="52">
        <v>0</v>
      </c>
      <c r="J19" s="52">
        <v>0</v>
      </c>
      <c r="K19" s="52">
        <v>0</v>
      </c>
      <c r="L19" s="52">
        <v>0</v>
      </c>
      <c r="M19" s="52">
        <v>0</v>
      </c>
      <c r="N19" s="52">
        <v>0</v>
      </c>
      <c r="O19" s="52">
        <v>0</v>
      </c>
      <c r="P19" s="53">
        <v>222.27451000000099</v>
      </c>
      <c r="Q19" s="95">
        <v>0.53373594287600001</v>
      </c>
    </row>
    <row r="20" spans="1:17" ht="14.4" customHeight="1" x14ac:dyDescent="0.3">
      <c r="A20" s="15" t="s">
        <v>48</v>
      </c>
      <c r="B20" s="51">
        <v>18881.9959987609</v>
      </c>
      <c r="C20" s="52">
        <v>1573.4996665634101</v>
      </c>
      <c r="D20" s="52">
        <v>1634.77269</v>
      </c>
      <c r="E20" s="52">
        <v>1454.76027</v>
      </c>
      <c r="F20" s="52">
        <v>1543.5261800000001</v>
      </c>
      <c r="G20" s="52">
        <v>1557.61842000001</v>
      </c>
      <c r="H20" s="52">
        <v>0</v>
      </c>
      <c r="I20" s="52">
        <v>0</v>
      </c>
      <c r="J20" s="52">
        <v>0</v>
      </c>
      <c r="K20" s="52">
        <v>0</v>
      </c>
      <c r="L20" s="52">
        <v>0</v>
      </c>
      <c r="M20" s="52">
        <v>0</v>
      </c>
      <c r="N20" s="52">
        <v>0</v>
      </c>
      <c r="O20" s="52">
        <v>0</v>
      </c>
      <c r="P20" s="53">
        <v>6190.6775600000101</v>
      </c>
      <c r="Q20" s="95">
        <v>0.98358418682100002</v>
      </c>
    </row>
    <row r="21" spans="1:17" ht="14.4" customHeight="1" x14ac:dyDescent="0.3">
      <c r="A21" s="16" t="s">
        <v>49</v>
      </c>
      <c r="B21" s="51">
        <v>1274.76838900639</v>
      </c>
      <c r="C21" s="52">
        <v>106.230699083866</v>
      </c>
      <c r="D21" s="52">
        <v>109.79900000000001</v>
      </c>
      <c r="E21" s="52">
        <v>109.79900000000001</v>
      </c>
      <c r="F21" s="52">
        <v>109.79900000000001</v>
      </c>
      <c r="G21" s="52">
        <v>109.799000000001</v>
      </c>
      <c r="H21" s="52">
        <v>0</v>
      </c>
      <c r="I21" s="52">
        <v>0</v>
      </c>
      <c r="J21" s="52">
        <v>0</v>
      </c>
      <c r="K21" s="52">
        <v>0</v>
      </c>
      <c r="L21" s="52">
        <v>0</v>
      </c>
      <c r="M21" s="52">
        <v>0</v>
      </c>
      <c r="N21" s="52">
        <v>0</v>
      </c>
      <c r="O21" s="52">
        <v>0</v>
      </c>
      <c r="P21" s="53">
        <v>439.19600000000099</v>
      </c>
      <c r="Q21" s="95">
        <v>1.0335901104559999</v>
      </c>
    </row>
    <row r="22" spans="1:17" ht="14.4" customHeight="1" x14ac:dyDescent="0.3">
      <c r="A22" s="15" t="s">
        <v>50</v>
      </c>
      <c r="B22" s="51">
        <v>0</v>
      </c>
      <c r="C22" s="52">
        <v>0</v>
      </c>
      <c r="D22" s="52">
        <v>0</v>
      </c>
      <c r="E22" s="52">
        <v>0</v>
      </c>
      <c r="F22" s="52">
        <v>0</v>
      </c>
      <c r="G22" s="52">
        <v>0</v>
      </c>
      <c r="H22" s="52">
        <v>0</v>
      </c>
      <c r="I22" s="52">
        <v>0</v>
      </c>
      <c r="J22" s="52">
        <v>0</v>
      </c>
      <c r="K22" s="52">
        <v>0</v>
      </c>
      <c r="L22" s="52">
        <v>0</v>
      </c>
      <c r="M22" s="52">
        <v>0</v>
      </c>
      <c r="N22" s="52">
        <v>0</v>
      </c>
      <c r="O22" s="52">
        <v>0</v>
      </c>
      <c r="P22" s="53">
        <v>0</v>
      </c>
      <c r="Q22" s="95" t="s">
        <v>266</v>
      </c>
    </row>
    <row r="23" spans="1:17" ht="14.4" customHeight="1" x14ac:dyDescent="0.3">
      <c r="A23" s="16" t="s">
        <v>51</v>
      </c>
      <c r="B23" s="51">
        <v>0</v>
      </c>
      <c r="C23" s="52">
        <v>0</v>
      </c>
      <c r="D23" s="52">
        <v>0</v>
      </c>
      <c r="E23" s="52">
        <v>0</v>
      </c>
      <c r="F23" s="52">
        <v>0</v>
      </c>
      <c r="G23" s="52">
        <v>0</v>
      </c>
      <c r="H23" s="52">
        <v>0</v>
      </c>
      <c r="I23" s="52">
        <v>0</v>
      </c>
      <c r="J23" s="52">
        <v>0</v>
      </c>
      <c r="K23" s="52">
        <v>0</v>
      </c>
      <c r="L23" s="52">
        <v>0</v>
      </c>
      <c r="M23" s="52">
        <v>0</v>
      </c>
      <c r="N23" s="52">
        <v>0</v>
      </c>
      <c r="O23" s="52">
        <v>0</v>
      </c>
      <c r="P23" s="53">
        <v>0</v>
      </c>
      <c r="Q23" s="95" t="s">
        <v>266</v>
      </c>
    </row>
    <row r="24" spans="1:17" ht="14.4" customHeight="1" x14ac:dyDescent="0.3">
      <c r="A24" s="16" t="s">
        <v>52</v>
      </c>
      <c r="B24" s="51">
        <v>16.552120762748999</v>
      </c>
      <c r="C24" s="52">
        <v>1.3793433968960001</v>
      </c>
      <c r="D24" s="52">
        <v>5.5100199999989998</v>
      </c>
      <c r="E24" s="52">
        <v>18.753989999999</v>
      </c>
      <c r="F24" s="52">
        <v>3.8997999999999999</v>
      </c>
      <c r="G24" s="52">
        <v>6.3995199999989998</v>
      </c>
      <c r="H24" s="52">
        <v>0</v>
      </c>
      <c r="I24" s="52">
        <v>0</v>
      </c>
      <c r="J24" s="52">
        <v>0</v>
      </c>
      <c r="K24" s="52">
        <v>0</v>
      </c>
      <c r="L24" s="52">
        <v>0</v>
      </c>
      <c r="M24" s="52">
        <v>0</v>
      </c>
      <c r="N24" s="52">
        <v>0</v>
      </c>
      <c r="O24" s="52">
        <v>0</v>
      </c>
      <c r="P24" s="53">
        <v>34.563329999998999</v>
      </c>
      <c r="Q24" s="95"/>
    </row>
    <row r="25" spans="1:17" ht="14.4" customHeight="1" x14ac:dyDescent="0.3">
      <c r="A25" s="17" t="s">
        <v>53</v>
      </c>
      <c r="B25" s="54">
        <v>26869.790850470999</v>
      </c>
      <c r="C25" s="55">
        <v>2239.14923753925</v>
      </c>
      <c r="D25" s="55">
        <v>2056.4827500000001</v>
      </c>
      <c r="E25" s="55">
        <v>1925.07701</v>
      </c>
      <c r="F25" s="55">
        <v>2021.3262600000101</v>
      </c>
      <c r="G25" s="55">
        <v>2365.36445000001</v>
      </c>
      <c r="H25" s="55">
        <v>0</v>
      </c>
      <c r="I25" s="55">
        <v>0</v>
      </c>
      <c r="J25" s="55">
        <v>0</v>
      </c>
      <c r="K25" s="55">
        <v>0</v>
      </c>
      <c r="L25" s="55">
        <v>0</v>
      </c>
      <c r="M25" s="55">
        <v>0</v>
      </c>
      <c r="N25" s="55">
        <v>0</v>
      </c>
      <c r="O25" s="55">
        <v>0</v>
      </c>
      <c r="P25" s="56">
        <v>8368.2504700000209</v>
      </c>
      <c r="Q25" s="96">
        <v>0.93431138149500004</v>
      </c>
    </row>
    <row r="26" spans="1:17" ht="14.4" customHeight="1" x14ac:dyDescent="0.3">
      <c r="A26" s="15" t="s">
        <v>54</v>
      </c>
      <c r="B26" s="51">
        <v>3186.8240487186699</v>
      </c>
      <c r="C26" s="52">
        <v>265.56867072655598</v>
      </c>
      <c r="D26" s="52">
        <v>255.65189000000001</v>
      </c>
      <c r="E26" s="52">
        <v>240.13558</v>
      </c>
      <c r="F26" s="52">
        <v>239.88684000000001</v>
      </c>
      <c r="G26" s="52">
        <v>250.78326000000001</v>
      </c>
      <c r="H26" s="52">
        <v>0</v>
      </c>
      <c r="I26" s="52">
        <v>0</v>
      </c>
      <c r="J26" s="52">
        <v>0</v>
      </c>
      <c r="K26" s="52">
        <v>0</v>
      </c>
      <c r="L26" s="52">
        <v>0</v>
      </c>
      <c r="M26" s="52">
        <v>0</v>
      </c>
      <c r="N26" s="52">
        <v>0</v>
      </c>
      <c r="O26" s="52">
        <v>0</v>
      </c>
      <c r="P26" s="53">
        <v>986.45757000000003</v>
      </c>
      <c r="Q26" s="95">
        <v>0.92862758180500005</v>
      </c>
    </row>
    <row r="27" spans="1:17" ht="14.4" customHeight="1" x14ac:dyDescent="0.3">
      <c r="A27" s="18" t="s">
        <v>55</v>
      </c>
      <c r="B27" s="54">
        <v>30056.614899189699</v>
      </c>
      <c r="C27" s="55">
        <v>2504.7179082658099</v>
      </c>
      <c r="D27" s="55">
        <v>2312.1346400000002</v>
      </c>
      <c r="E27" s="55">
        <v>2165.2125900000001</v>
      </c>
      <c r="F27" s="55">
        <v>2261.2131000000099</v>
      </c>
      <c r="G27" s="55">
        <v>2616.1477100000102</v>
      </c>
      <c r="H27" s="55">
        <v>0</v>
      </c>
      <c r="I27" s="55">
        <v>0</v>
      </c>
      <c r="J27" s="55">
        <v>0</v>
      </c>
      <c r="K27" s="55">
        <v>0</v>
      </c>
      <c r="L27" s="55">
        <v>0</v>
      </c>
      <c r="M27" s="55">
        <v>0</v>
      </c>
      <c r="N27" s="55">
        <v>0</v>
      </c>
      <c r="O27" s="55">
        <v>0</v>
      </c>
      <c r="P27" s="56">
        <v>9354.7080400000195</v>
      </c>
      <c r="Q27" s="96">
        <v>0.93370874312100005</v>
      </c>
    </row>
    <row r="28" spans="1:17" ht="14.4" customHeight="1" x14ac:dyDescent="0.3">
      <c r="A28" s="16" t="s">
        <v>56</v>
      </c>
      <c r="B28" s="51">
        <v>25.991262776671999</v>
      </c>
      <c r="C28" s="52">
        <v>2.165938564722</v>
      </c>
      <c r="D28" s="52">
        <v>0</v>
      </c>
      <c r="E28" s="52">
        <v>5.6529999999999996</v>
      </c>
      <c r="F28" s="52">
        <v>0</v>
      </c>
      <c r="G28" s="52">
        <v>0</v>
      </c>
      <c r="H28" s="52">
        <v>0</v>
      </c>
      <c r="I28" s="52">
        <v>0</v>
      </c>
      <c r="J28" s="52">
        <v>0</v>
      </c>
      <c r="K28" s="52">
        <v>0</v>
      </c>
      <c r="L28" s="52">
        <v>0</v>
      </c>
      <c r="M28" s="52">
        <v>0</v>
      </c>
      <c r="N28" s="52">
        <v>0</v>
      </c>
      <c r="O28" s="52">
        <v>0</v>
      </c>
      <c r="P28" s="53">
        <v>5.6529999999999996</v>
      </c>
      <c r="Q28" s="95">
        <v>0.65248849760399996</v>
      </c>
    </row>
    <row r="29" spans="1:17" ht="14.4" customHeight="1" x14ac:dyDescent="0.3">
      <c r="A29" s="16" t="s">
        <v>57</v>
      </c>
      <c r="B29" s="51">
        <v>0</v>
      </c>
      <c r="C29" s="52">
        <v>0</v>
      </c>
      <c r="D29" s="52">
        <v>0</v>
      </c>
      <c r="E29" s="52">
        <v>0</v>
      </c>
      <c r="F29" s="52">
        <v>0</v>
      </c>
      <c r="G29" s="52">
        <v>0</v>
      </c>
      <c r="H29" s="52">
        <v>0</v>
      </c>
      <c r="I29" s="52">
        <v>0</v>
      </c>
      <c r="J29" s="52">
        <v>0</v>
      </c>
      <c r="K29" s="52">
        <v>0</v>
      </c>
      <c r="L29" s="52">
        <v>0</v>
      </c>
      <c r="M29" s="52">
        <v>0</v>
      </c>
      <c r="N29" s="52">
        <v>0</v>
      </c>
      <c r="O29" s="52">
        <v>0</v>
      </c>
      <c r="P29" s="53">
        <v>0</v>
      </c>
      <c r="Q29" s="95" t="s">
        <v>266</v>
      </c>
    </row>
    <row r="30" spans="1:17" ht="14.4" customHeight="1" x14ac:dyDescent="0.3">
      <c r="A30" s="16" t="s">
        <v>58</v>
      </c>
      <c r="B30" s="51">
        <v>0</v>
      </c>
      <c r="C30" s="52">
        <v>0</v>
      </c>
      <c r="D30" s="52">
        <v>0</v>
      </c>
      <c r="E30" s="52">
        <v>0</v>
      </c>
      <c r="F30" s="52">
        <v>0</v>
      </c>
      <c r="G30" s="52">
        <v>0</v>
      </c>
      <c r="H30" s="52">
        <v>0</v>
      </c>
      <c r="I30" s="52">
        <v>0</v>
      </c>
      <c r="J30" s="52">
        <v>0</v>
      </c>
      <c r="K30" s="52">
        <v>0</v>
      </c>
      <c r="L30" s="52">
        <v>0</v>
      </c>
      <c r="M30" s="52">
        <v>0</v>
      </c>
      <c r="N30" s="52">
        <v>0</v>
      </c>
      <c r="O30" s="52">
        <v>0</v>
      </c>
      <c r="P30" s="53">
        <v>0</v>
      </c>
      <c r="Q30" s="95">
        <v>0</v>
      </c>
    </row>
    <row r="31" spans="1:17" ht="14.4" customHeight="1" thickBot="1" x14ac:dyDescent="0.35">
      <c r="A31" s="19" t="s">
        <v>59</v>
      </c>
      <c r="B31" s="57">
        <v>0</v>
      </c>
      <c r="C31" s="58">
        <v>0</v>
      </c>
      <c r="D31" s="58">
        <v>0</v>
      </c>
      <c r="E31" s="58">
        <v>0</v>
      </c>
      <c r="F31" s="58">
        <v>0</v>
      </c>
      <c r="G31" s="58">
        <v>0</v>
      </c>
      <c r="H31" s="58">
        <v>0</v>
      </c>
      <c r="I31" s="58">
        <v>0</v>
      </c>
      <c r="J31" s="58">
        <v>0</v>
      </c>
      <c r="K31" s="58">
        <v>0</v>
      </c>
      <c r="L31" s="58">
        <v>0</v>
      </c>
      <c r="M31" s="58">
        <v>0</v>
      </c>
      <c r="N31" s="58">
        <v>0</v>
      </c>
      <c r="O31" s="58">
        <v>0</v>
      </c>
      <c r="P31" s="59">
        <v>0</v>
      </c>
      <c r="Q31" s="97" t="s">
        <v>266</v>
      </c>
    </row>
    <row r="32" spans="1:17" ht="14.4" customHeight="1" x14ac:dyDescent="0.3">
      <c r="B32" s="130"/>
      <c r="C32" s="130"/>
      <c r="D32" s="130"/>
      <c r="E32" s="130"/>
      <c r="F32" s="130"/>
      <c r="G32" s="130"/>
      <c r="H32" s="130"/>
      <c r="I32" s="130"/>
      <c r="J32" s="130"/>
      <c r="K32" s="130"/>
      <c r="L32" s="130"/>
      <c r="M32" s="130"/>
      <c r="N32" s="130"/>
      <c r="O32" s="130"/>
      <c r="P32" s="130"/>
      <c r="Q32" s="130"/>
    </row>
    <row r="33" spans="1:17" ht="14.4" customHeight="1" x14ac:dyDescent="0.3">
      <c r="A33" s="113" t="s">
        <v>156</v>
      </c>
      <c r="B33" s="131"/>
      <c r="C33" s="131"/>
      <c r="D33" s="131"/>
      <c r="E33" s="131"/>
      <c r="F33" s="131"/>
      <c r="G33" s="131"/>
      <c r="H33" s="131"/>
      <c r="I33" s="131"/>
      <c r="J33" s="131"/>
      <c r="K33" s="131"/>
      <c r="L33" s="131"/>
      <c r="M33" s="131"/>
      <c r="N33" s="131"/>
      <c r="O33" s="131"/>
      <c r="P33" s="131"/>
      <c r="Q33" s="131"/>
    </row>
    <row r="34" spans="1:17" ht="14.4" customHeight="1" x14ac:dyDescent="0.3">
      <c r="A34" s="135" t="s">
        <v>264</v>
      </c>
      <c r="B34" s="131"/>
      <c r="C34" s="131"/>
      <c r="D34" s="131"/>
      <c r="E34" s="131"/>
      <c r="F34" s="131"/>
      <c r="G34" s="131"/>
      <c r="H34" s="131"/>
      <c r="I34" s="131"/>
      <c r="J34" s="131"/>
      <c r="K34" s="131"/>
      <c r="L34" s="131"/>
      <c r="M34" s="131"/>
      <c r="N34" s="131"/>
      <c r="O34" s="131"/>
      <c r="P34" s="131"/>
      <c r="Q34" s="131"/>
    </row>
    <row r="35" spans="1:17" ht="14.4" customHeight="1" x14ac:dyDescent="0.3">
      <c r="A35" s="136" t="s">
        <v>60</v>
      </c>
      <c r="B35" s="131"/>
      <c r="C35" s="131"/>
      <c r="D35" s="131"/>
      <c r="E35" s="131"/>
      <c r="F35" s="131"/>
      <c r="G35" s="131"/>
      <c r="H35" s="131"/>
      <c r="I35" s="131"/>
      <c r="J35" s="131"/>
      <c r="K35" s="131"/>
      <c r="L35" s="131"/>
      <c r="M35" s="131"/>
      <c r="N35" s="131"/>
      <c r="O35" s="131"/>
      <c r="P35" s="131"/>
      <c r="Q35" s="131"/>
    </row>
  </sheetData>
  <autoFilter ref="A5:A31"/>
  <mergeCells count="3">
    <mergeCell ref="A1:Q1"/>
    <mergeCell ref="B3:O3"/>
    <mergeCell ref="P4:Q4"/>
  </mergeCells>
  <hyperlinks>
    <hyperlink ref="A2" location="Obsah!A1" display="Zpět na Obsah  KL 01  1.-4.měsíc"/>
  </hyperlinks>
  <pageMargins left="0.25" right="0.25" top="0.75" bottom="0.75" header="0.3" footer="0.3"/>
  <pageSetup paperSize="9" scale="81" fitToHeight="0" orientation="landscape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List6">
    <tabColor theme="0" tint="-0.249977111117893"/>
    <pageSetUpPr fitToPage="1"/>
  </sheetPr>
  <dimension ref="A1:K185"/>
  <sheetViews>
    <sheetView showGridLines="0" showRowColHeaders="0" workbookViewId="0">
      <pane xSplit="1" ySplit="5" topLeftCell="B6" activePane="bottomRight" state="frozen"/>
      <selection pane="topRight" activeCell="B1" sqref="B1"/>
      <selection pane="bottomLeft" activeCell="A6" sqref="A6"/>
      <selection pane="bottomRight" sqref="A1:K1"/>
    </sheetView>
  </sheetViews>
  <sheetFormatPr defaultRowHeight="14.4" customHeight="1" x14ac:dyDescent="0.3"/>
  <cols>
    <col min="1" max="1" width="50" style="129" customWidth="1"/>
    <col min="2" max="11" width="10" style="129" customWidth="1"/>
    <col min="12" max="16384" width="8.88671875" style="129"/>
  </cols>
  <sheetData>
    <row r="1" spans="1:11" s="60" customFormat="1" ht="18.600000000000001" customHeight="1" thickBot="1" x14ac:dyDescent="0.4">
      <c r="A1" s="341" t="s">
        <v>61</v>
      </c>
      <c r="B1" s="341"/>
      <c r="C1" s="341"/>
      <c r="D1" s="341"/>
      <c r="E1" s="341"/>
      <c r="F1" s="341"/>
      <c r="G1" s="341"/>
      <c r="H1" s="346"/>
      <c r="I1" s="346"/>
      <c r="J1" s="346"/>
      <c r="K1" s="346"/>
    </row>
    <row r="2" spans="1:11" s="60" customFormat="1" ht="14.4" customHeight="1" thickBot="1" x14ac:dyDescent="0.35">
      <c r="A2" s="232" t="s">
        <v>265</v>
      </c>
      <c r="B2" s="61"/>
      <c r="C2" s="61"/>
      <c r="D2" s="61"/>
      <c r="E2" s="61"/>
      <c r="F2" s="61"/>
      <c r="G2" s="61"/>
      <c r="H2" s="61"/>
      <c r="I2" s="61"/>
      <c r="J2" s="61"/>
      <c r="K2" s="61"/>
    </row>
    <row r="3" spans="1:11" ht="14.4" customHeight="1" x14ac:dyDescent="0.3">
      <c r="A3" s="76"/>
      <c r="B3" s="342" t="s">
        <v>62</v>
      </c>
      <c r="C3" s="343"/>
      <c r="D3" s="343"/>
      <c r="E3" s="343"/>
      <c r="F3" s="349" t="s">
        <v>63</v>
      </c>
      <c r="G3" s="343"/>
      <c r="H3" s="343"/>
      <c r="I3" s="343"/>
      <c r="J3" s="343"/>
      <c r="K3" s="350"/>
    </row>
    <row r="4" spans="1:11" ht="14.4" customHeight="1" x14ac:dyDescent="0.3">
      <c r="A4" s="77"/>
      <c r="B4" s="347"/>
      <c r="C4" s="348"/>
      <c r="D4" s="348"/>
      <c r="E4" s="348"/>
      <c r="F4" s="351" t="s">
        <v>260</v>
      </c>
      <c r="G4" s="353" t="s">
        <v>64</v>
      </c>
      <c r="H4" s="140" t="s">
        <v>140</v>
      </c>
      <c r="I4" s="351" t="s">
        <v>65</v>
      </c>
      <c r="J4" s="353" t="s">
        <v>262</v>
      </c>
      <c r="K4" s="354" t="s">
        <v>263</v>
      </c>
    </row>
    <row r="5" spans="1:11" ht="42" thickBot="1" x14ac:dyDescent="0.35">
      <c r="A5" s="78"/>
      <c r="B5" s="24" t="s">
        <v>256</v>
      </c>
      <c r="C5" s="25" t="s">
        <v>257</v>
      </c>
      <c r="D5" s="26" t="s">
        <v>258</v>
      </c>
      <c r="E5" s="26" t="s">
        <v>259</v>
      </c>
      <c r="F5" s="352"/>
      <c r="G5" s="352"/>
      <c r="H5" s="25" t="s">
        <v>261</v>
      </c>
      <c r="I5" s="352"/>
      <c r="J5" s="352"/>
      <c r="K5" s="355"/>
    </row>
    <row r="6" spans="1:11" ht="14.4" customHeight="1" thickBot="1" x14ac:dyDescent="0.35">
      <c r="A6" s="477" t="s">
        <v>268</v>
      </c>
      <c r="B6" s="459">
        <v>24968.0908375607</v>
      </c>
      <c r="C6" s="459">
        <v>27141.603810000001</v>
      </c>
      <c r="D6" s="460">
        <v>2173.51297243925</v>
      </c>
      <c r="E6" s="461">
        <v>1.087051628679</v>
      </c>
      <c r="F6" s="459">
        <v>26869.790850470999</v>
      </c>
      <c r="G6" s="460">
        <v>8956.5969501570107</v>
      </c>
      <c r="H6" s="462">
        <v>2365.36445000001</v>
      </c>
      <c r="I6" s="459">
        <v>8368.2504700000209</v>
      </c>
      <c r="J6" s="460">
        <v>-588.34648015698997</v>
      </c>
      <c r="K6" s="463">
        <v>0.31143712716499999</v>
      </c>
    </row>
    <row r="7" spans="1:11" ht="14.4" customHeight="1" thickBot="1" x14ac:dyDescent="0.35">
      <c r="A7" s="478" t="s">
        <v>269</v>
      </c>
      <c r="B7" s="459">
        <v>5158.8409267707802</v>
      </c>
      <c r="C7" s="459">
        <v>4877.4066599999996</v>
      </c>
      <c r="D7" s="460">
        <v>-281.43426677078497</v>
      </c>
      <c r="E7" s="461">
        <v>0.94544622120199995</v>
      </c>
      <c r="F7" s="459">
        <v>5128.15196727691</v>
      </c>
      <c r="G7" s="460">
        <v>1709.3839890923</v>
      </c>
      <c r="H7" s="462">
        <v>290.82091000000099</v>
      </c>
      <c r="I7" s="459">
        <v>1147.75206</v>
      </c>
      <c r="J7" s="460">
        <v>-561.63192909230304</v>
      </c>
      <c r="K7" s="463">
        <v>0.22381397183999999</v>
      </c>
    </row>
    <row r="8" spans="1:11" ht="14.4" customHeight="1" thickBot="1" x14ac:dyDescent="0.35">
      <c r="A8" s="479" t="s">
        <v>270</v>
      </c>
      <c r="B8" s="459">
        <v>4991.8085263662797</v>
      </c>
      <c r="C8" s="459">
        <v>4713.2686599999997</v>
      </c>
      <c r="D8" s="460">
        <v>-278.53986636627599</v>
      </c>
      <c r="E8" s="461">
        <v>0.94420061088100005</v>
      </c>
      <c r="F8" s="459">
        <v>4964.5692896201299</v>
      </c>
      <c r="G8" s="460">
        <v>1654.85642987338</v>
      </c>
      <c r="H8" s="462">
        <v>279.42691000000099</v>
      </c>
      <c r="I8" s="459">
        <v>1083.1510599999999</v>
      </c>
      <c r="J8" s="460">
        <v>-571.70536987337596</v>
      </c>
      <c r="K8" s="463">
        <v>0.218176239833</v>
      </c>
    </row>
    <row r="9" spans="1:11" ht="14.4" customHeight="1" thickBot="1" x14ac:dyDescent="0.35">
      <c r="A9" s="480" t="s">
        <v>271</v>
      </c>
      <c r="B9" s="464">
        <v>0</v>
      </c>
      <c r="C9" s="464">
        <v>-1.01E-3</v>
      </c>
      <c r="D9" s="465">
        <v>-1.01E-3</v>
      </c>
      <c r="E9" s="466" t="s">
        <v>266</v>
      </c>
      <c r="F9" s="464">
        <v>0</v>
      </c>
      <c r="G9" s="465">
        <v>0</v>
      </c>
      <c r="H9" s="467">
        <v>-4.8000000000000001E-4</v>
      </c>
      <c r="I9" s="464">
        <v>-6.7000000000000002E-4</v>
      </c>
      <c r="J9" s="465">
        <v>-6.7000000000000002E-4</v>
      </c>
      <c r="K9" s="468" t="s">
        <v>266</v>
      </c>
    </row>
    <row r="10" spans="1:11" ht="14.4" customHeight="1" thickBot="1" x14ac:dyDescent="0.35">
      <c r="A10" s="481" t="s">
        <v>272</v>
      </c>
      <c r="B10" s="459">
        <v>0</v>
      </c>
      <c r="C10" s="459">
        <v>-1.01E-3</v>
      </c>
      <c r="D10" s="460">
        <v>-1.01E-3</v>
      </c>
      <c r="E10" s="469" t="s">
        <v>266</v>
      </c>
      <c r="F10" s="459">
        <v>0</v>
      </c>
      <c r="G10" s="460">
        <v>0</v>
      </c>
      <c r="H10" s="462">
        <v>-4.8000000000000001E-4</v>
      </c>
      <c r="I10" s="459">
        <v>-6.7000000000000002E-4</v>
      </c>
      <c r="J10" s="460">
        <v>-6.7000000000000002E-4</v>
      </c>
      <c r="K10" s="470" t="s">
        <v>266</v>
      </c>
    </row>
    <row r="11" spans="1:11" ht="14.4" customHeight="1" thickBot="1" x14ac:dyDescent="0.35">
      <c r="A11" s="480" t="s">
        <v>273</v>
      </c>
      <c r="B11" s="464">
        <v>50.202600188841998</v>
      </c>
      <c r="C11" s="464">
        <v>32.974739999999997</v>
      </c>
      <c r="D11" s="465">
        <v>-17.227860188842001</v>
      </c>
      <c r="E11" s="471">
        <v>0.65683330895100001</v>
      </c>
      <c r="F11" s="464">
        <v>40</v>
      </c>
      <c r="G11" s="465">
        <v>13.333333333333</v>
      </c>
      <c r="H11" s="467">
        <v>3.1308600000000002</v>
      </c>
      <c r="I11" s="464">
        <v>11.447279999999999</v>
      </c>
      <c r="J11" s="465">
        <v>-1.8860533333330001</v>
      </c>
      <c r="K11" s="472">
        <v>0.28618199999999999</v>
      </c>
    </row>
    <row r="12" spans="1:11" ht="14.4" customHeight="1" thickBot="1" x14ac:dyDescent="0.35">
      <c r="A12" s="481" t="s">
        <v>274</v>
      </c>
      <c r="B12" s="459">
        <v>50</v>
      </c>
      <c r="C12" s="459">
        <v>32.974739999999997</v>
      </c>
      <c r="D12" s="460">
        <v>-17.025259999999999</v>
      </c>
      <c r="E12" s="461">
        <v>0.65949480000000005</v>
      </c>
      <c r="F12" s="459">
        <v>40</v>
      </c>
      <c r="G12" s="460">
        <v>13.333333333333</v>
      </c>
      <c r="H12" s="462">
        <v>3.1308600000000002</v>
      </c>
      <c r="I12" s="459">
        <v>11.447279999999999</v>
      </c>
      <c r="J12" s="460">
        <v>-1.8860533333330001</v>
      </c>
      <c r="K12" s="463">
        <v>0.28618199999999999</v>
      </c>
    </row>
    <row r="13" spans="1:11" ht="14.4" customHeight="1" thickBot="1" x14ac:dyDescent="0.35">
      <c r="A13" s="481" t="s">
        <v>275</v>
      </c>
      <c r="B13" s="459">
        <v>0.20260018884200001</v>
      </c>
      <c r="C13" s="459">
        <v>0</v>
      </c>
      <c r="D13" s="460">
        <v>-0.20260018884200001</v>
      </c>
      <c r="E13" s="461">
        <v>0</v>
      </c>
      <c r="F13" s="459">
        <v>0</v>
      </c>
      <c r="G13" s="460">
        <v>0</v>
      </c>
      <c r="H13" s="462">
        <v>0</v>
      </c>
      <c r="I13" s="459">
        <v>0</v>
      </c>
      <c r="J13" s="460">
        <v>0</v>
      </c>
      <c r="K13" s="463">
        <v>4</v>
      </c>
    </row>
    <row r="14" spans="1:11" ht="14.4" customHeight="1" thickBot="1" x14ac:dyDescent="0.35">
      <c r="A14" s="480" t="s">
        <v>276</v>
      </c>
      <c r="B14" s="464">
        <v>4761.6506508389502</v>
      </c>
      <c r="C14" s="464">
        <v>4545.3414300000004</v>
      </c>
      <c r="D14" s="465">
        <v>-216.309220838952</v>
      </c>
      <c r="E14" s="471">
        <v>0.95457263946799997</v>
      </c>
      <c r="F14" s="464">
        <v>4786.9540187726398</v>
      </c>
      <c r="G14" s="465">
        <v>1595.6513395908801</v>
      </c>
      <c r="H14" s="467">
        <v>270.084370000001</v>
      </c>
      <c r="I14" s="464">
        <v>1032.1279</v>
      </c>
      <c r="J14" s="465">
        <v>-563.52343959087898</v>
      </c>
      <c r="K14" s="472">
        <v>0.21561266223799999</v>
      </c>
    </row>
    <row r="15" spans="1:11" ht="14.4" customHeight="1" thickBot="1" x14ac:dyDescent="0.35">
      <c r="A15" s="481" t="s">
        <v>277</v>
      </c>
      <c r="B15" s="459">
        <v>4199.8662205187202</v>
      </c>
      <c r="C15" s="459">
        <v>4019.9522099999999</v>
      </c>
      <c r="D15" s="460">
        <v>-179.91401051872</v>
      </c>
      <c r="E15" s="461">
        <v>0.95716196633999995</v>
      </c>
      <c r="F15" s="459">
        <v>4200</v>
      </c>
      <c r="G15" s="460">
        <v>1400</v>
      </c>
      <c r="H15" s="462">
        <v>252.75675000000101</v>
      </c>
      <c r="I15" s="459">
        <v>936.02896000000203</v>
      </c>
      <c r="J15" s="460">
        <v>-463.97103999999803</v>
      </c>
      <c r="K15" s="463">
        <v>0.22286403809499999</v>
      </c>
    </row>
    <row r="16" spans="1:11" ht="14.4" customHeight="1" thickBot="1" x14ac:dyDescent="0.35">
      <c r="A16" s="481" t="s">
        <v>278</v>
      </c>
      <c r="B16" s="459">
        <v>349.623541009836</v>
      </c>
      <c r="C16" s="459">
        <v>296.54930000000002</v>
      </c>
      <c r="D16" s="460">
        <v>-53.074241009836001</v>
      </c>
      <c r="E16" s="461">
        <v>0.84819603148900002</v>
      </c>
      <c r="F16" s="459">
        <v>350</v>
      </c>
      <c r="G16" s="460">
        <v>116.666666666667</v>
      </c>
      <c r="H16" s="462">
        <v>10.072520000000001</v>
      </c>
      <c r="I16" s="459">
        <v>72.018140000000002</v>
      </c>
      <c r="J16" s="460">
        <v>-44.648526666666001</v>
      </c>
      <c r="K16" s="463">
        <v>0.205766114285</v>
      </c>
    </row>
    <row r="17" spans="1:11" ht="14.4" customHeight="1" thickBot="1" x14ac:dyDescent="0.35">
      <c r="A17" s="481" t="s">
        <v>279</v>
      </c>
      <c r="B17" s="459">
        <v>20</v>
      </c>
      <c r="C17" s="459">
        <v>12.898490000000001</v>
      </c>
      <c r="D17" s="460">
        <v>-7.1015100000000002</v>
      </c>
      <c r="E17" s="461">
        <v>0.64492450000000001</v>
      </c>
      <c r="F17" s="459">
        <v>20</v>
      </c>
      <c r="G17" s="460">
        <v>6.6666666666659999</v>
      </c>
      <c r="H17" s="462">
        <v>0.36613000000000001</v>
      </c>
      <c r="I17" s="459">
        <v>1.9231</v>
      </c>
      <c r="J17" s="460">
        <v>-4.7435666666660001</v>
      </c>
      <c r="K17" s="463">
        <v>9.6155000000000004E-2</v>
      </c>
    </row>
    <row r="18" spans="1:11" ht="14.4" customHeight="1" thickBot="1" x14ac:dyDescent="0.35">
      <c r="A18" s="481" t="s">
        <v>280</v>
      </c>
      <c r="B18" s="459">
        <v>170</v>
      </c>
      <c r="C18" s="459">
        <v>194.93993</v>
      </c>
      <c r="D18" s="460">
        <v>24.939929999998999</v>
      </c>
      <c r="E18" s="461">
        <v>1.146705470588</v>
      </c>
      <c r="F18" s="459">
        <v>191.13127082925601</v>
      </c>
      <c r="G18" s="460">
        <v>63.710423609751999</v>
      </c>
      <c r="H18" s="462">
        <v>4.0379699999999996</v>
      </c>
      <c r="I18" s="459">
        <v>14.060700000000001</v>
      </c>
      <c r="J18" s="460">
        <v>-49.649723609752002</v>
      </c>
      <c r="K18" s="463">
        <v>7.3565670018000004E-2</v>
      </c>
    </row>
    <row r="19" spans="1:11" ht="14.4" customHeight="1" thickBot="1" x14ac:dyDescent="0.35">
      <c r="A19" s="481" t="s">
        <v>281</v>
      </c>
      <c r="B19" s="459">
        <v>0.16088931039500001</v>
      </c>
      <c r="C19" s="459">
        <v>0</v>
      </c>
      <c r="D19" s="460">
        <v>-0.16088931039500001</v>
      </c>
      <c r="E19" s="461">
        <v>0</v>
      </c>
      <c r="F19" s="459">
        <v>0</v>
      </c>
      <c r="G19" s="460">
        <v>0</v>
      </c>
      <c r="H19" s="462">
        <v>0</v>
      </c>
      <c r="I19" s="459">
        <v>0</v>
      </c>
      <c r="J19" s="460">
        <v>0</v>
      </c>
      <c r="K19" s="463">
        <v>4</v>
      </c>
    </row>
    <row r="20" spans="1:11" ht="14.4" customHeight="1" thickBot="1" x14ac:dyDescent="0.35">
      <c r="A20" s="481" t="s">
        <v>282</v>
      </c>
      <c r="B20" s="459">
        <v>6</v>
      </c>
      <c r="C20" s="459">
        <v>3.496</v>
      </c>
      <c r="D20" s="460">
        <v>-2.504</v>
      </c>
      <c r="E20" s="461">
        <v>0.58266666666599998</v>
      </c>
      <c r="F20" s="459">
        <v>6</v>
      </c>
      <c r="G20" s="460">
        <v>2</v>
      </c>
      <c r="H20" s="462">
        <v>0.21099999999999999</v>
      </c>
      <c r="I20" s="459">
        <v>0.93100000000000005</v>
      </c>
      <c r="J20" s="460">
        <v>-1.069</v>
      </c>
      <c r="K20" s="463">
        <v>0.15516666666600001</v>
      </c>
    </row>
    <row r="21" spans="1:11" ht="14.4" customHeight="1" thickBot="1" x14ac:dyDescent="0.35">
      <c r="A21" s="481" t="s">
        <v>283</v>
      </c>
      <c r="B21" s="459">
        <v>16</v>
      </c>
      <c r="C21" s="459">
        <v>17.505500000000001</v>
      </c>
      <c r="D21" s="460">
        <v>1.505499999999</v>
      </c>
      <c r="E21" s="461">
        <v>1.0940937500000001</v>
      </c>
      <c r="F21" s="459">
        <v>19.822747943385</v>
      </c>
      <c r="G21" s="460">
        <v>6.6075826477949997</v>
      </c>
      <c r="H21" s="462">
        <v>2.64</v>
      </c>
      <c r="I21" s="459">
        <v>7.1660000000000004</v>
      </c>
      <c r="J21" s="460">
        <v>0.55841735220400002</v>
      </c>
      <c r="K21" s="463">
        <v>0.36150386517799998</v>
      </c>
    </row>
    <row r="22" spans="1:11" ht="14.4" customHeight="1" thickBot="1" x14ac:dyDescent="0.35">
      <c r="A22" s="480" t="s">
        <v>284</v>
      </c>
      <c r="B22" s="464">
        <v>118.50567054448</v>
      </c>
      <c r="C22" s="464">
        <v>114.35916</v>
      </c>
      <c r="D22" s="465">
        <v>-4.1465105444799999</v>
      </c>
      <c r="E22" s="471">
        <v>0.96501002420000004</v>
      </c>
      <c r="F22" s="464">
        <v>115.62484221605899</v>
      </c>
      <c r="G22" s="465">
        <v>38.541614072019001</v>
      </c>
      <c r="H22" s="467">
        <v>5.6919700000000004</v>
      </c>
      <c r="I22" s="464">
        <v>36.267510000000001</v>
      </c>
      <c r="J22" s="465">
        <v>-2.274104072019</v>
      </c>
      <c r="K22" s="472">
        <v>0.31366537938400002</v>
      </c>
    </row>
    <row r="23" spans="1:11" ht="14.4" customHeight="1" thickBot="1" x14ac:dyDescent="0.35">
      <c r="A23" s="481" t="s">
        <v>285</v>
      </c>
      <c r="B23" s="459">
        <v>0</v>
      </c>
      <c r="C23" s="459">
        <v>4.3014999999999999</v>
      </c>
      <c r="D23" s="460">
        <v>4.3014999999999999</v>
      </c>
      <c r="E23" s="469" t="s">
        <v>266</v>
      </c>
      <c r="F23" s="459">
        <v>0</v>
      </c>
      <c r="G23" s="460">
        <v>0</v>
      </c>
      <c r="H23" s="462">
        <v>0</v>
      </c>
      <c r="I23" s="459">
        <v>0</v>
      </c>
      <c r="J23" s="460">
        <v>0</v>
      </c>
      <c r="K23" s="470" t="s">
        <v>266</v>
      </c>
    </row>
    <row r="24" spans="1:11" ht="14.4" customHeight="1" thickBot="1" x14ac:dyDescent="0.35">
      <c r="A24" s="481" t="s">
        <v>286</v>
      </c>
      <c r="B24" s="459">
        <v>5</v>
      </c>
      <c r="C24" s="459">
        <v>4.9196099999999996</v>
      </c>
      <c r="D24" s="460">
        <v>-8.0389999998999997E-2</v>
      </c>
      <c r="E24" s="461">
        <v>0.98392199999999996</v>
      </c>
      <c r="F24" s="459">
        <v>6.919713588714</v>
      </c>
      <c r="G24" s="460">
        <v>2.306571196238</v>
      </c>
      <c r="H24" s="462">
        <v>0.18512000000000001</v>
      </c>
      <c r="I24" s="459">
        <v>1.28098</v>
      </c>
      <c r="J24" s="460">
        <v>-1.025591196238</v>
      </c>
      <c r="K24" s="463">
        <v>0.185120378694</v>
      </c>
    </row>
    <row r="25" spans="1:11" ht="14.4" customHeight="1" thickBot="1" x14ac:dyDescent="0.35">
      <c r="A25" s="481" t="s">
        <v>287</v>
      </c>
      <c r="B25" s="459">
        <v>14.349554122374</v>
      </c>
      <c r="C25" s="459">
        <v>6.94848</v>
      </c>
      <c r="D25" s="460">
        <v>-7.4010741223740002</v>
      </c>
      <c r="E25" s="461">
        <v>0.484229679942</v>
      </c>
      <c r="F25" s="459">
        <v>8.6161114615120002</v>
      </c>
      <c r="G25" s="460">
        <v>2.8720371538370002</v>
      </c>
      <c r="H25" s="462">
        <v>1.87435</v>
      </c>
      <c r="I25" s="459">
        <v>4.4251699999999996</v>
      </c>
      <c r="J25" s="460">
        <v>1.553132846162</v>
      </c>
      <c r="K25" s="463">
        <v>0.51359247379299999</v>
      </c>
    </row>
    <row r="26" spans="1:11" ht="14.4" customHeight="1" thickBot="1" x14ac:dyDescent="0.35">
      <c r="A26" s="481" t="s">
        <v>288</v>
      </c>
      <c r="B26" s="459">
        <v>25</v>
      </c>
      <c r="C26" s="459">
        <v>31.0059</v>
      </c>
      <c r="D26" s="460">
        <v>6.0058999999999996</v>
      </c>
      <c r="E26" s="461">
        <v>1.2402359999999999</v>
      </c>
      <c r="F26" s="459">
        <v>33.137804132874003</v>
      </c>
      <c r="G26" s="460">
        <v>11.045934710958001</v>
      </c>
      <c r="H26" s="462">
        <v>2.2610100000000002</v>
      </c>
      <c r="I26" s="459">
        <v>9.5727899999999995</v>
      </c>
      <c r="J26" s="460">
        <v>-1.473144710958</v>
      </c>
      <c r="K26" s="463">
        <v>0.28887822384400003</v>
      </c>
    </row>
    <row r="27" spans="1:11" ht="14.4" customHeight="1" thickBot="1" x14ac:dyDescent="0.35">
      <c r="A27" s="481" t="s">
        <v>289</v>
      </c>
      <c r="B27" s="459">
        <v>3.9667456394260001</v>
      </c>
      <c r="C27" s="459">
        <v>3.9548800000000002</v>
      </c>
      <c r="D27" s="460">
        <v>-1.1865639426E-2</v>
      </c>
      <c r="E27" s="461">
        <v>0.99700872188300005</v>
      </c>
      <c r="F27" s="459">
        <v>3.5074837825829999</v>
      </c>
      <c r="G27" s="460">
        <v>1.169161260861</v>
      </c>
      <c r="H27" s="462">
        <v>0</v>
      </c>
      <c r="I27" s="459">
        <v>0</v>
      </c>
      <c r="J27" s="460">
        <v>-1.169161260861</v>
      </c>
      <c r="K27" s="463">
        <v>0</v>
      </c>
    </row>
    <row r="28" spans="1:11" ht="14.4" customHeight="1" thickBot="1" x14ac:dyDescent="0.35">
      <c r="A28" s="481" t="s">
        <v>290</v>
      </c>
      <c r="B28" s="459">
        <v>0</v>
      </c>
      <c r="C28" s="459">
        <v>0.65336000000000005</v>
      </c>
      <c r="D28" s="460">
        <v>0.65336000000000005</v>
      </c>
      <c r="E28" s="469" t="s">
        <v>291</v>
      </c>
      <c r="F28" s="459">
        <v>0</v>
      </c>
      <c r="G28" s="460">
        <v>0</v>
      </c>
      <c r="H28" s="462">
        <v>0</v>
      </c>
      <c r="I28" s="459">
        <v>0.28026000000000001</v>
      </c>
      <c r="J28" s="460">
        <v>0.28026000000000001</v>
      </c>
      <c r="K28" s="470" t="s">
        <v>266</v>
      </c>
    </row>
    <row r="29" spans="1:11" ht="14.4" customHeight="1" thickBot="1" x14ac:dyDescent="0.35">
      <c r="A29" s="481" t="s">
        <v>292</v>
      </c>
      <c r="B29" s="459">
        <v>4</v>
      </c>
      <c r="C29" s="459">
        <v>2.8981699999999999</v>
      </c>
      <c r="D29" s="460">
        <v>-1.1018300000000001</v>
      </c>
      <c r="E29" s="461">
        <v>0.72454249999999998</v>
      </c>
      <c r="F29" s="459">
        <v>5</v>
      </c>
      <c r="G29" s="460">
        <v>1.6666666666659999</v>
      </c>
      <c r="H29" s="462">
        <v>0</v>
      </c>
      <c r="I29" s="459">
        <v>0.87200999999999995</v>
      </c>
      <c r="J29" s="460">
        <v>-0.79465666666599999</v>
      </c>
      <c r="K29" s="463">
        <v>0.174402</v>
      </c>
    </row>
    <row r="30" spans="1:11" ht="14.4" customHeight="1" thickBot="1" x14ac:dyDescent="0.35">
      <c r="A30" s="481" t="s">
        <v>293</v>
      </c>
      <c r="B30" s="459">
        <v>21.189370782678999</v>
      </c>
      <c r="C30" s="459">
        <v>24.299939999999999</v>
      </c>
      <c r="D30" s="460">
        <v>3.1105692173200001</v>
      </c>
      <c r="E30" s="461">
        <v>1.146798564677</v>
      </c>
      <c r="F30" s="459">
        <v>24.879762528446999</v>
      </c>
      <c r="G30" s="460">
        <v>8.2932541761490004</v>
      </c>
      <c r="H30" s="462">
        <v>0.38235999999999998</v>
      </c>
      <c r="I30" s="459">
        <v>11.643509999999999</v>
      </c>
      <c r="J30" s="460">
        <v>3.3502558238510001</v>
      </c>
      <c r="K30" s="463">
        <v>0.467991203159</v>
      </c>
    </row>
    <row r="31" spans="1:11" ht="14.4" customHeight="1" thickBot="1" x14ac:dyDescent="0.35">
      <c r="A31" s="481" t="s">
        <v>294</v>
      </c>
      <c r="B31" s="459">
        <v>0</v>
      </c>
      <c r="C31" s="459">
        <v>1.5318499999999999</v>
      </c>
      <c r="D31" s="460">
        <v>1.5318499999999999</v>
      </c>
      <c r="E31" s="469" t="s">
        <v>291</v>
      </c>
      <c r="F31" s="459">
        <v>0</v>
      </c>
      <c r="G31" s="460">
        <v>0</v>
      </c>
      <c r="H31" s="462">
        <v>0</v>
      </c>
      <c r="I31" s="459">
        <v>0</v>
      </c>
      <c r="J31" s="460">
        <v>0</v>
      </c>
      <c r="K31" s="470" t="s">
        <v>266</v>
      </c>
    </row>
    <row r="32" spans="1:11" ht="14.4" customHeight="1" thickBot="1" x14ac:dyDescent="0.35">
      <c r="A32" s="481" t="s">
        <v>295</v>
      </c>
      <c r="B32" s="459">
        <v>30</v>
      </c>
      <c r="C32" s="459">
        <v>25.35127</v>
      </c>
      <c r="D32" s="460">
        <v>-4.6487299999999996</v>
      </c>
      <c r="E32" s="461">
        <v>0.84504233333300005</v>
      </c>
      <c r="F32" s="459">
        <v>25</v>
      </c>
      <c r="G32" s="460">
        <v>8.333333333333</v>
      </c>
      <c r="H32" s="462">
        <v>0.98912999999999995</v>
      </c>
      <c r="I32" s="459">
        <v>6.3051899999999996</v>
      </c>
      <c r="J32" s="460">
        <v>-2.0281433333329999</v>
      </c>
      <c r="K32" s="463">
        <v>0.25220759999999998</v>
      </c>
    </row>
    <row r="33" spans="1:11" ht="14.4" customHeight="1" thickBot="1" x14ac:dyDescent="0.35">
      <c r="A33" s="481" t="s">
        <v>296</v>
      </c>
      <c r="B33" s="459">
        <v>15</v>
      </c>
      <c r="C33" s="459">
        <v>8.4941999999999993</v>
      </c>
      <c r="D33" s="460">
        <v>-6.5057999999999998</v>
      </c>
      <c r="E33" s="461">
        <v>0.56627999999900003</v>
      </c>
      <c r="F33" s="459">
        <v>8.5639667219270006</v>
      </c>
      <c r="G33" s="460">
        <v>2.8546555739750001</v>
      </c>
      <c r="H33" s="462">
        <v>0</v>
      </c>
      <c r="I33" s="459">
        <v>1.8875999999999999</v>
      </c>
      <c r="J33" s="460">
        <v>-0.96705557397499997</v>
      </c>
      <c r="K33" s="463">
        <v>0.22041187936500001</v>
      </c>
    </row>
    <row r="34" spans="1:11" ht="14.4" customHeight="1" thickBot="1" x14ac:dyDescent="0.35">
      <c r="A34" s="480" t="s">
        <v>297</v>
      </c>
      <c r="B34" s="464">
        <v>44.449604794001999</v>
      </c>
      <c r="C34" s="464">
        <v>10.06193</v>
      </c>
      <c r="D34" s="465">
        <v>-34.387674794002002</v>
      </c>
      <c r="E34" s="471">
        <v>0.22636714199399999</v>
      </c>
      <c r="F34" s="464">
        <v>9.8997786460100006</v>
      </c>
      <c r="G34" s="465">
        <v>3.2999262153359998</v>
      </c>
      <c r="H34" s="467">
        <v>0.27600000000000002</v>
      </c>
      <c r="I34" s="464">
        <v>0.46265000000000001</v>
      </c>
      <c r="J34" s="465">
        <v>-2.8372762153359998</v>
      </c>
      <c r="K34" s="472">
        <v>4.6733368142999998E-2</v>
      </c>
    </row>
    <row r="35" spans="1:11" ht="14.4" customHeight="1" thickBot="1" x14ac:dyDescent="0.35">
      <c r="A35" s="481" t="s">
        <v>298</v>
      </c>
      <c r="B35" s="459">
        <v>6.3488781153789997</v>
      </c>
      <c r="C35" s="459">
        <v>7.3446999999999996</v>
      </c>
      <c r="D35" s="460">
        <v>0.99582188461999999</v>
      </c>
      <c r="E35" s="461">
        <v>1.1568500554779999</v>
      </c>
      <c r="F35" s="459">
        <v>7.3772011677069997</v>
      </c>
      <c r="G35" s="460">
        <v>2.459067055902</v>
      </c>
      <c r="H35" s="462">
        <v>0</v>
      </c>
      <c r="I35" s="459">
        <v>0</v>
      </c>
      <c r="J35" s="460">
        <v>-2.459067055902</v>
      </c>
      <c r="K35" s="463">
        <v>0</v>
      </c>
    </row>
    <row r="36" spans="1:11" ht="14.4" customHeight="1" thickBot="1" x14ac:dyDescent="0.35">
      <c r="A36" s="481" t="s">
        <v>299</v>
      </c>
      <c r="B36" s="459">
        <v>34.482620857838</v>
      </c>
      <c r="C36" s="459">
        <v>0</v>
      </c>
      <c r="D36" s="460">
        <v>-34.482620857838</v>
      </c>
      <c r="E36" s="461">
        <v>0</v>
      </c>
      <c r="F36" s="459">
        <v>0</v>
      </c>
      <c r="G36" s="460">
        <v>0</v>
      </c>
      <c r="H36" s="462">
        <v>0</v>
      </c>
      <c r="I36" s="459">
        <v>0</v>
      </c>
      <c r="J36" s="460">
        <v>0</v>
      </c>
      <c r="K36" s="463">
        <v>4</v>
      </c>
    </row>
    <row r="37" spans="1:11" ht="14.4" customHeight="1" thickBot="1" x14ac:dyDescent="0.35">
      <c r="A37" s="481" t="s">
        <v>300</v>
      </c>
      <c r="B37" s="459">
        <v>3.6181058207839998</v>
      </c>
      <c r="C37" s="459">
        <v>2.7172299999999998</v>
      </c>
      <c r="D37" s="460">
        <v>-0.90087582078399997</v>
      </c>
      <c r="E37" s="461">
        <v>0.75100899050199998</v>
      </c>
      <c r="F37" s="459">
        <v>2.5225774783029999</v>
      </c>
      <c r="G37" s="460">
        <v>0.84085915943400003</v>
      </c>
      <c r="H37" s="462">
        <v>0.27600000000000002</v>
      </c>
      <c r="I37" s="459">
        <v>0.46265000000000001</v>
      </c>
      <c r="J37" s="460">
        <v>-0.37820915943400002</v>
      </c>
      <c r="K37" s="463">
        <v>0.18340368293100001</v>
      </c>
    </row>
    <row r="38" spans="1:11" ht="14.4" customHeight="1" thickBot="1" x14ac:dyDescent="0.35">
      <c r="A38" s="480" t="s">
        <v>301</v>
      </c>
      <c r="B38" s="464">
        <v>17</v>
      </c>
      <c r="C38" s="464">
        <v>10.53241</v>
      </c>
      <c r="D38" s="465">
        <v>-6.4675900000000004</v>
      </c>
      <c r="E38" s="471">
        <v>0.61955352941099995</v>
      </c>
      <c r="F38" s="464">
        <v>12.090649985422999</v>
      </c>
      <c r="G38" s="465">
        <v>4.0302166618069997</v>
      </c>
      <c r="H38" s="467">
        <v>0.24418999999999999</v>
      </c>
      <c r="I38" s="464">
        <v>2.84639</v>
      </c>
      <c r="J38" s="465">
        <v>-1.1838266618069999</v>
      </c>
      <c r="K38" s="472">
        <v>0.2354207593</v>
      </c>
    </row>
    <row r="39" spans="1:11" ht="14.4" customHeight="1" thickBot="1" x14ac:dyDescent="0.35">
      <c r="A39" s="481" t="s">
        <v>302</v>
      </c>
      <c r="B39" s="459">
        <v>13</v>
      </c>
      <c r="C39" s="459">
        <v>7.2332900000000002</v>
      </c>
      <c r="D39" s="460">
        <v>-5.7667099999999998</v>
      </c>
      <c r="E39" s="461">
        <v>0.55640692307600004</v>
      </c>
      <c r="F39" s="459">
        <v>8.0906499854229992</v>
      </c>
      <c r="G39" s="460">
        <v>2.6968833284740001</v>
      </c>
      <c r="H39" s="462">
        <v>0</v>
      </c>
      <c r="I39" s="459">
        <v>1.47499</v>
      </c>
      <c r="J39" s="460">
        <v>-1.2218933284739999</v>
      </c>
      <c r="K39" s="463">
        <v>0.182307973111</v>
      </c>
    </row>
    <row r="40" spans="1:11" ht="14.4" customHeight="1" thickBot="1" x14ac:dyDescent="0.35">
      <c r="A40" s="481" t="s">
        <v>303</v>
      </c>
      <c r="B40" s="459">
        <v>1</v>
      </c>
      <c r="C40" s="459">
        <v>0.38419999999999999</v>
      </c>
      <c r="D40" s="460">
        <v>-0.61580000000000001</v>
      </c>
      <c r="E40" s="461">
        <v>0.38419999999999999</v>
      </c>
      <c r="F40" s="459">
        <v>1</v>
      </c>
      <c r="G40" s="460">
        <v>0.33333333333300003</v>
      </c>
      <c r="H40" s="462">
        <v>0</v>
      </c>
      <c r="I40" s="459">
        <v>0.38419999999999999</v>
      </c>
      <c r="J40" s="460">
        <v>5.0866666666000003E-2</v>
      </c>
      <c r="K40" s="463">
        <v>0.38419999999999999</v>
      </c>
    </row>
    <row r="41" spans="1:11" ht="14.4" customHeight="1" thickBot="1" x14ac:dyDescent="0.35">
      <c r="A41" s="481" t="s">
        <v>304</v>
      </c>
      <c r="B41" s="459">
        <v>3</v>
      </c>
      <c r="C41" s="459">
        <v>2.91492</v>
      </c>
      <c r="D41" s="460">
        <v>-8.5080000000000003E-2</v>
      </c>
      <c r="E41" s="461">
        <v>0.97163999999999995</v>
      </c>
      <c r="F41" s="459">
        <v>3</v>
      </c>
      <c r="G41" s="460">
        <v>1</v>
      </c>
      <c r="H41" s="462">
        <v>0.24418999999999999</v>
      </c>
      <c r="I41" s="459">
        <v>0.98719999999999997</v>
      </c>
      <c r="J41" s="460">
        <v>-1.2799999999E-2</v>
      </c>
      <c r="K41" s="463">
        <v>0.32906666666599999</v>
      </c>
    </row>
    <row r="42" spans="1:11" ht="14.4" customHeight="1" thickBot="1" x14ac:dyDescent="0.35">
      <c r="A42" s="479" t="s">
        <v>42</v>
      </c>
      <c r="B42" s="459">
        <v>167.032400404507</v>
      </c>
      <c r="C42" s="459">
        <v>164.13800000000001</v>
      </c>
      <c r="D42" s="460">
        <v>-2.8944004045059999</v>
      </c>
      <c r="E42" s="461">
        <v>0.98267162300499999</v>
      </c>
      <c r="F42" s="459">
        <v>163.58267765678099</v>
      </c>
      <c r="G42" s="460">
        <v>54.527559218926001</v>
      </c>
      <c r="H42" s="462">
        <v>11.394</v>
      </c>
      <c r="I42" s="459">
        <v>64.600999999999999</v>
      </c>
      <c r="J42" s="460">
        <v>10.073440781073</v>
      </c>
      <c r="K42" s="463">
        <v>0.39491345248300003</v>
      </c>
    </row>
    <row r="43" spans="1:11" ht="14.4" customHeight="1" thickBot="1" x14ac:dyDescent="0.35">
      <c r="A43" s="480" t="s">
        <v>305</v>
      </c>
      <c r="B43" s="464">
        <v>167.032400404507</v>
      </c>
      <c r="C43" s="464">
        <v>164.13800000000001</v>
      </c>
      <c r="D43" s="465">
        <v>-2.8944004045059999</v>
      </c>
      <c r="E43" s="471">
        <v>0.98267162300499999</v>
      </c>
      <c r="F43" s="464">
        <v>163.58267765678099</v>
      </c>
      <c r="G43" s="465">
        <v>54.527559218926001</v>
      </c>
      <c r="H43" s="467">
        <v>11.394</v>
      </c>
      <c r="I43" s="464">
        <v>64.600999999999999</v>
      </c>
      <c r="J43" s="465">
        <v>10.073440781073</v>
      </c>
      <c r="K43" s="472">
        <v>0.39491345248300003</v>
      </c>
    </row>
    <row r="44" spans="1:11" ht="14.4" customHeight="1" thickBot="1" x14ac:dyDescent="0.35">
      <c r="A44" s="481" t="s">
        <v>306</v>
      </c>
      <c r="B44" s="459">
        <v>55.999999999998998</v>
      </c>
      <c r="C44" s="459">
        <v>57.244</v>
      </c>
      <c r="D44" s="460">
        <v>1.244</v>
      </c>
      <c r="E44" s="461">
        <v>1.022214285714</v>
      </c>
      <c r="F44" s="459">
        <v>56.590948534797</v>
      </c>
      <c r="G44" s="460">
        <v>18.863649511599</v>
      </c>
      <c r="H44" s="462">
        <v>4.5179999999999998</v>
      </c>
      <c r="I44" s="459">
        <v>18.318000000000001</v>
      </c>
      <c r="J44" s="460">
        <v>-0.54564951159899999</v>
      </c>
      <c r="K44" s="463">
        <v>0.323691340652</v>
      </c>
    </row>
    <row r="45" spans="1:11" ht="14.4" customHeight="1" thickBot="1" x14ac:dyDescent="0.35">
      <c r="A45" s="481" t="s">
        <v>307</v>
      </c>
      <c r="B45" s="459">
        <v>27.032400404507001</v>
      </c>
      <c r="C45" s="459">
        <v>24.547999999999998</v>
      </c>
      <c r="D45" s="460">
        <v>-2.4844004045069998</v>
      </c>
      <c r="E45" s="461">
        <v>0.90809545703100003</v>
      </c>
      <c r="F45" s="459">
        <v>26.103329548232999</v>
      </c>
      <c r="G45" s="460">
        <v>8.7011098494110009</v>
      </c>
      <c r="H45" s="462">
        <v>2.294</v>
      </c>
      <c r="I45" s="459">
        <v>9.5150000000000006</v>
      </c>
      <c r="J45" s="460">
        <v>0.81389015058799996</v>
      </c>
      <c r="K45" s="463">
        <v>0.364512886466</v>
      </c>
    </row>
    <row r="46" spans="1:11" ht="14.4" customHeight="1" thickBot="1" x14ac:dyDescent="0.35">
      <c r="A46" s="481" t="s">
        <v>308</v>
      </c>
      <c r="B46" s="459">
        <v>83.999999999999005</v>
      </c>
      <c r="C46" s="459">
        <v>82.346000000000004</v>
      </c>
      <c r="D46" s="460">
        <v>-1.653999999999</v>
      </c>
      <c r="E46" s="461">
        <v>0.98030952380900005</v>
      </c>
      <c r="F46" s="459">
        <v>80.888399573749993</v>
      </c>
      <c r="G46" s="460">
        <v>26.962799857916</v>
      </c>
      <c r="H46" s="462">
        <v>4.5819999999999999</v>
      </c>
      <c r="I46" s="459">
        <v>36.768000000000001</v>
      </c>
      <c r="J46" s="460">
        <v>9.8052001420830006</v>
      </c>
      <c r="K46" s="463">
        <v>0.45455220023800003</v>
      </c>
    </row>
    <row r="47" spans="1:11" ht="14.4" customHeight="1" thickBot="1" x14ac:dyDescent="0.35">
      <c r="A47" s="482" t="s">
        <v>309</v>
      </c>
      <c r="B47" s="464">
        <v>1490.24991078996</v>
      </c>
      <c r="C47" s="464">
        <v>1526.1762699999999</v>
      </c>
      <c r="D47" s="465">
        <v>35.926359210039998</v>
      </c>
      <c r="E47" s="471">
        <v>1.0241076070190001</v>
      </c>
      <c r="F47" s="464">
        <v>1568.3223746640699</v>
      </c>
      <c r="G47" s="465">
        <v>522.77412488802202</v>
      </c>
      <c r="H47" s="467">
        <v>400.72612000000203</v>
      </c>
      <c r="I47" s="464">
        <v>556.06085000000201</v>
      </c>
      <c r="J47" s="465">
        <v>33.286725111979003</v>
      </c>
      <c r="K47" s="472">
        <v>0.354557748447</v>
      </c>
    </row>
    <row r="48" spans="1:11" ht="14.4" customHeight="1" thickBot="1" x14ac:dyDescent="0.35">
      <c r="A48" s="479" t="s">
        <v>45</v>
      </c>
      <c r="B48" s="459">
        <v>405.94661257208202</v>
      </c>
      <c r="C48" s="459">
        <v>375.92858999999999</v>
      </c>
      <c r="D48" s="460">
        <v>-30.018022572081001</v>
      </c>
      <c r="E48" s="461">
        <v>0.92605426023399995</v>
      </c>
      <c r="F48" s="459">
        <v>318.971382100109</v>
      </c>
      <c r="G48" s="460">
        <v>106.32379403337001</v>
      </c>
      <c r="H48" s="462">
        <v>296.00742000000099</v>
      </c>
      <c r="I48" s="459">
        <v>309.18734000000097</v>
      </c>
      <c r="J48" s="460">
        <v>202.86354596663199</v>
      </c>
      <c r="K48" s="463">
        <v>0.96932626985000003</v>
      </c>
    </row>
    <row r="49" spans="1:11" ht="14.4" customHeight="1" thickBot="1" x14ac:dyDescent="0.35">
      <c r="A49" s="483" t="s">
        <v>310</v>
      </c>
      <c r="B49" s="459">
        <v>405.94661257208202</v>
      </c>
      <c r="C49" s="459">
        <v>375.92858999999999</v>
      </c>
      <c r="D49" s="460">
        <v>-30.018022572081001</v>
      </c>
      <c r="E49" s="461">
        <v>0.92605426023399995</v>
      </c>
      <c r="F49" s="459">
        <v>318.971382100109</v>
      </c>
      <c r="G49" s="460">
        <v>106.32379403337001</v>
      </c>
      <c r="H49" s="462">
        <v>296.00742000000099</v>
      </c>
      <c r="I49" s="459">
        <v>309.18734000000097</v>
      </c>
      <c r="J49" s="460">
        <v>202.86354596663199</v>
      </c>
      <c r="K49" s="463">
        <v>0.96932626985000003</v>
      </c>
    </row>
    <row r="50" spans="1:11" ht="14.4" customHeight="1" thickBot="1" x14ac:dyDescent="0.35">
      <c r="A50" s="481" t="s">
        <v>311</v>
      </c>
      <c r="B50" s="459">
        <v>304.56326156191699</v>
      </c>
      <c r="C50" s="459">
        <v>234.97575000000001</v>
      </c>
      <c r="D50" s="460">
        <v>-69.587511561916003</v>
      </c>
      <c r="E50" s="461">
        <v>0.77151705295899997</v>
      </c>
      <c r="F50" s="459">
        <v>192.51354985390299</v>
      </c>
      <c r="G50" s="460">
        <v>64.171183284633997</v>
      </c>
      <c r="H50" s="462">
        <v>293.04748000000097</v>
      </c>
      <c r="I50" s="459">
        <v>295.00768000000102</v>
      </c>
      <c r="J50" s="460">
        <v>230.83649671536699</v>
      </c>
      <c r="K50" s="463">
        <v>1.532399564726</v>
      </c>
    </row>
    <row r="51" spans="1:11" ht="14.4" customHeight="1" thickBot="1" x14ac:dyDescent="0.35">
      <c r="A51" s="481" t="s">
        <v>312</v>
      </c>
      <c r="B51" s="459">
        <v>1.383351010165</v>
      </c>
      <c r="C51" s="459">
        <v>52.872199999999999</v>
      </c>
      <c r="D51" s="460">
        <v>51.488848989833997</v>
      </c>
      <c r="E51" s="461">
        <v>38.220379073331003</v>
      </c>
      <c r="F51" s="459">
        <v>43.77582921914</v>
      </c>
      <c r="G51" s="460">
        <v>14.591943073046</v>
      </c>
      <c r="H51" s="462">
        <v>0</v>
      </c>
      <c r="I51" s="459">
        <v>3.2669999999999999</v>
      </c>
      <c r="J51" s="460">
        <v>-11.324943073046001</v>
      </c>
      <c r="K51" s="463">
        <v>7.4630225361000002E-2</v>
      </c>
    </row>
    <row r="52" spans="1:11" ht="14.4" customHeight="1" thickBot="1" x14ac:dyDescent="0.35">
      <c r="A52" s="481" t="s">
        <v>313</v>
      </c>
      <c r="B52" s="459">
        <v>49.999999999998998</v>
      </c>
      <c r="C52" s="459">
        <v>43.25562</v>
      </c>
      <c r="D52" s="460">
        <v>-6.7443799999990004</v>
      </c>
      <c r="E52" s="461">
        <v>0.8651124</v>
      </c>
      <c r="F52" s="459">
        <v>40.581173918231997</v>
      </c>
      <c r="G52" s="460">
        <v>13.527057972744</v>
      </c>
      <c r="H52" s="462">
        <v>0</v>
      </c>
      <c r="I52" s="459">
        <v>0.33879999999999999</v>
      </c>
      <c r="J52" s="460">
        <v>-13.188257972743999</v>
      </c>
      <c r="K52" s="463">
        <v>8.3486988490000004E-3</v>
      </c>
    </row>
    <row r="53" spans="1:11" ht="14.4" customHeight="1" thickBot="1" x14ac:dyDescent="0.35">
      <c r="A53" s="481" t="s">
        <v>314</v>
      </c>
      <c r="B53" s="459">
        <v>49.999999999998998</v>
      </c>
      <c r="C53" s="459">
        <v>44.825020000000002</v>
      </c>
      <c r="D53" s="460">
        <v>-5.1749799999989996</v>
      </c>
      <c r="E53" s="461">
        <v>0.89650039999999998</v>
      </c>
      <c r="F53" s="459">
        <v>42.100829108832002</v>
      </c>
      <c r="G53" s="460">
        <v>14.033609702944</v>
      </c>
      <c r="H53" s="462">
        <v>2.95994</v>
      </c>
      <c r="I53" s="459">
        <v>10.57386</v>
      </c>
      <c r="J53" s="460">
        <v>-3.4597497029439999</v>
      </c>
      <c r="K53" s="463">
        <v>0.251155623863</v>
      </c>
    </row>
    <row r="54" spans="1:11" ht="14.4" customHeight="1" thickBot="1" x14ac:dyDescent="0.35">
      <c r="A54" s="484" t="s">
        <v>46</v>
      </c>
      <c r="B54" s="464">
        <v>0</v>
      </c>
      <c r="C54" s="464">
        <v>134.73400000000001</v>
      </c>
      <c r="D54" s="465">
        <v>134.73400000000001</v>
      </c>
      <c r="E54" s="466" t="s">
        <v>266</v>
      </c>
      <c r="F54" s="464">
        <v>0</v>
      </c>
      <c r="G54" s="465">
        <v>0</v>
      </c>
      <c r="H54" s="467">
        <v>9.0310000000000006</v>
      </c>
      <c r="I54" s="464">
        <v>24.599</v>
      </c>
      <c r="J54" s="465">
        <v>24.599</v>
      </c>
      <c r="K54" s="468" t="s">
        <v>266</v>
      </c>
    </row>
    <row r="55" spans="1:11" ht="14.4" customHeight="1" thickBot="1" x14ac:dyDescent="0.35">
      <c r="A55" s="480" t="s">
        <v>315</v>
      </c>
      <c r="B55" s="464">
        <v>0</v>
      </c>
      <c r="C55" s="464">
        <v>76.164000000000001</v>
      </c>
      <c r="D55" s="465">
        <v>76.164000000000001</v>
      </c>
      <c r="E55" s="466" t="s">
        <v>266</v>
      </c>
      <c r="F55" s="464">
        <v>0</v>
      </c>
      <c r="G55" s="465">
        <v>0</v>
      </c>
      <c r="H55" s="467">
        <v>9.0310000000000006</v>
      </c>
      <c r="I55" s="464">
        <v>24.599</v>
      </c>
      <c r="J55" s="465">
        <v>24.599</v>
      </c>
      <c r="K55" s="468" t="s">
        <v>266</v>
      </c>
    </row>
    <row r="56" spans="1:11" ht="14.4" customHeight="1" thickBot="1" x14ac:dyDescent="0.35">
      <c r="A56" s="481" t="s">
        <v>316</v>
      </c>
      <c r="B56" s="459">
        <v>0</v>
      </c>
      <c r="C56" s="459">
        <v>71.364000000000004</v>
      </c>
      <c r="D56" s="460">
        <v>71.364000000000004</v>
      </c>
      <c r="E56" s="469" t="s">
        <v>266</v>
      </c>
      <c r="F56" s="459">
        <v>0</v>
      </c>
      <c r="G56" s="460">
        <v>0</v>
      </c>
      <c r="H56" s="462">
        <v>8.5809999999999995</v>
      </c>
      <c r="I56" s="459">
        <v>23.699000000000002</v>
      </c>
      <c r="J56" s="460">
        <v>23.699000000000002</v>
      </c>
      <c r="K56" s="470" t="s">
        <v>266</v>
      </c>
    </row>
    <row r="57" spans="1:11" ht="14.4" customHeight="1" thickBot="1" x14ac:dyDescent="0.35">
      <c r="A57" s="481" t="s">
        <v>317</v>
      </c>
      <c r="B57" s="459">
        <v>0</v>
      </c>
      <c r="C57" s="459">
        <v>4.8</v>
      </c>
      <c r="D57" s="460">
        <v>4.8</v>
      </c>
      <c r="E57" s="469" t="s">
        <v>266</v>
      </c>
      <c r="F57" s="459">
        <v>0</v>
      </c>
      <c r="G57" s="460">
        <v>0</v>
      </c>
      <c r="H57" s="462">
        <v>0.45</v>
      </c>
      <c r="I57" s="459">
        <v>0.9</v>
      </c>
      <c r="J57" s="460">
        <v>0.9</v>
      </c>
      <c r="K57" s="470" t="s">
        <v>266</v>
      </c>
    </row>
    <row r="58" spans="1:11" ht="14.4" customHeight="1" thickBot="1" x14ac:dyDescent="0.35">
      <c r="A58" s="480" t="s">
        <v>318</v>
      </c>
      <c r="B58" s="464">
        <v>0</v>
      </c>
      <c r="C58" s="464">
        <v>58.569999999998998</v>
      </c>
      <c r="D58" s="465">
        <v>58.569999999998998</v>
      </c>
      <c r="E58" s="466" t="s">
        <v>266</v>
      </c>
      <c r="F58" s="464">
        <v>0</v>
      </c>
      <c r="G58" s="465">
        <v>0</v>
      </c>
      <c r="H58" s="467">
        <v>0</v>
      </c>
      <c r="I58" s="464">
        <v>0</v>
      </c>
      <c r="J58" s="465">
        <v>0</v>
      </c>
      <c r="K58" s="468" t="s">
        <v>266</v>
      </c>
    </row>
    <row r="59" spans="1:11" ht="14.4" customHeight="1" thickBot="1" x14ac:dyDescent="0.35">
      <c r="A59" s="481" t="s">
        <v>319</v>
      </c>
      <c r="B59" s="459">
        <v>0</v>
      </c>
      <c r="C59" s="459">
        <v>58.569999999998998</v>
      </c>
      <c r="D59" s="460">
        <v>58.569999999998998</v>
      </c>
      <c r="E59" s="469" t="s">
        <v>266</v>
      </c>
      <c r="F59" s="459">
        <v>0</v>
      </c>
      <c r="G59" s="460">
        <v>0</v>
      </c>
      <c r="H59" s="462">
        <v>0</v>
      </c>
      <c r="I59" s="459">
        <v>0</v>
      </c>
      <c r="J59" s="460">
        <v>0</v>
      </c>
      <c r="K59" s="470" t="s">
        <v>266</v>
      </c>
    </row>
    <row r="60" spans="1:11" ht="14.4" customHeight="1" thickBot="1" x14ac:dyDescent="0.35">
      <c r="A60" s="479" t="s">
        <v>47</v>
      </c>
      <c r="B60" s="459">
        <v>1084.30329821788</v>
      </c>
      <c r="C60" s="459">
        <v>1015.51368</v>
      </c>
      <c r="D60" s="460">
        <v>-68.789618217877006</v>
      </c>
      <c r="E60" s="461">
        <v>0.93655869318899998</v>
      </c>
      <c r="F60" s="459">
        <v>1249.3509925639601</v>
      </c>
      <c r="G60" s="460">
        <v>416.45033085465298</v>
      </c>
      <c r="H60" s="462">
        <v>95.687700000000007</v>
      </c>
      <c r="I60" s="459">
        <v>222.27451000000099</v>
      </c>
      <c r="J60" s="460">
        <v>-194.17582085465199</v>
      </c>
      <c r="K60" s="463">
        <v>0.17791198095800001</v>
      </c>
    </row>
    <row r="61" spans="1:11" ht="14.4" customHeight="1" thickBot="1" x14ac:dyDescent="0.35">
      <c r="A61" s="480" t="s">
        <v>320</v>
      </c>
      <c r="B61" s="464">
        <v>0</v>
      </c>
      <c r="C61" s="464">
        <v>2.828449999999</v>
      </c>
      <c r="D61" s="465">
        <v>2.828449999999</v>
      </c>
      <c r="E61" s="466" t="s">
        <v>291</v>
      </c>
      <c r="F61" s="464">
        <v>0</v>
      </c>
      <c r="G61" s="465">
        <v>0</v>
      </c>
      <c r="H61" s="467">
        <v>0</v>
      </c>
      <c r="I61" s="464">
        <v>0</v>
      </c>
      <c r="J61" s="465">
        <v>0</v>
      </c>
      <c r="K61" s="472">
        <v>4</v>
      </c>
    </row>
    <row r="62" spans="1:11" ht="14.4" customHeight="1" thickBot="1" x14ac:dyDescent="0.35">
      <c r="A62" s="481" t="s">
        <v>321</v>
      </c>
      <c r="B62" s="459">
        <v>0</v>
      </c>
      <c r="C62" s="459">
        <v>2.828449999999</v>
      </c>
      <c r="D62" s="460">
        <v>2.828449999999</v>
      </c>
      <c r="E62" s="469" t="s">
        <v>291</v>
      </c>
      <c r="F62" s="459">
        <v>0</v>
      </c>
      <c r="G62" s="460">
        <v>0</v>
      </c>
      <c r="H62" s="462">
        <v>0</v>
      </c>
      <c r="I62" s="459">
        <v>0</v>
      </c>
      <c r="J62" s="460">
        <v>0</v>
      </c>
      <c r="K62" s="463">
        <v>4</v>
      </c>
    </row>
    <row r="63" spans="1:11" ht="14.4" customHeight="1" thickBot="1" x14ac:dyDescent="0.35">
      <c r="A63" s="480" t="s">
        <v>322</v>
      </c>
      <c r="B63" s="464">
        <v>38.739524529577999</v>
      </c>
      <c r="C63" s="464">
        <v>42.003259999999997</v>
      </c>
      <c r="D63" s="465">
        <v>3.263735470421</v>
      </c>
      <c r="E63" s="471">
        <v>1.0842482067100001</v>
      </c>
      <c r="F63" s="464">
        <v>41.495417365441</v>
      </c>
      <c r="G63" s="465">
        <v>13.831805788480001</v>
      </c>
      <c r="H63" s="467">
        <v>4.7270799999999999</v>
      </c>
      <c r="I63" s="464">
        <v>17.477129999999999</v>
      </c>
      <c r="J63" s="465">
        <v>3.6453242115190001</v>
      </c>
      <c r="K63" s="472">
        <v>0.421182171662</v>
      </c>
    </row>
    <row r="64" spans="1:11" ht="14.4" customHeight="1" thickBot="1" x14ac:dyDescent="0.35">
      <c r="A64" s="481" t="s">
        <v>323</v>
      </c>
      <c r="B64" s="459">
        <v>28.323295698664001</v>
      </c>
      <c r="C64" s="459">
        <v>31.676600000000001</v>
      </c>
      <c r="D64" s="460">
        <v>3.3533043013350001</v>
      </c>
      <c r="E64" s="461">
        <v>1.1183938598459999</v>
      </c>
      <c r="F64" s="459">
        <v>30.875383554245001</v>
      </c>
      <c r="G64" s="460">
        <v>10.291794518081</v>
      </c>
      <c r="H64" s="462">
        <v>3.5568</v>
      </c>
      <c r="I64" s="459">
        <v>13.2448</v>
      </c>
      <c r="J64" s="460">
        <v>2.9530054819179998</v>
      </c>
      <c r="K64" s="463">
        <v>0.42897604743000001</v>
      </c>
    </row>
    <row r="65" spans="1:11" ht="14.4" customHeight="1" thickBot="1" x14ac:dyDescent="0.35">
      <c r="A65" s="481" t="s">
        <v>324</v>
      </c>
      <c r="B65" s="459">
        <v>10.416228830912999</v>
      </c>
      <c r="C65" s="459">
        <v>10.32666</v>
      </c>
      <c r="D65" s="460">
        <v>-8.9568830912999997E-2</v>
      </c>
      <c r="E65" s="461">
        <v>0.99140103079800002</v>
      </c>
      <c r="F65" s="459">
        <v>10.620033811196</v>
      </c>
      <c r="G65" s="460">
        <v>3.5400112703979998</v>
      </c>
      <c r="H65" s="462">
        <v>1.17028</v>
      </c>
      <c r="I65" s="459">
        <v>4.2323300000000001</v>
      </c>
      <c r="J65" s="460">
        <v>0.69231872960100005</v>
      </c>
      <c r="K65" s="463">
        <v>0.39852321331899998</v>
      </c>
    </row>
    <row r="66" spans="1:11" ht="14.4" customHeight="1" thickBot="1" x14ac:dyDescent="0.35">
      <c r="A66" s="480" t="s">
        <v>325</v>
      </c>
      <c r="B66" s="464">
        <v>25</v>
      </c>
      <c r="C66" s="464">
        <v>20.608000000000001</v>
      </c>
      <c r="D66" s="465">
        <v>-4.3920000000000003</v>
      </c>
      <c r="E66" s="471">
        <v>0.82431999999899996</v>
      </c>
      <c r="F66" s="464">
        <v>27.440013654967998</v>
      </c>
      <c r="G66" s="465">
        <v>9.146671218322</v>
      </c>
      <c r="H66" s="467">
        <v>0.67500000000000004</v>
      </c>
      <c r="I66" s="464">
        <v>16.273340000000001</v>
      </c>
      <c r="J66" s="465">
        <v>7.126668781677</v>
      </c>
      <c r="K66" s="472">
        <v>0.59305145415000005</v>
      </c>
    </row>
    <row r="67" spans="1:11" ht="14.4" customHeight="1" thickBot="1" x14ac:dyDescent="0.35">
      <c r="A67" s="481" t="s">
        <v>326</v>
      </c>
      <c r="B67" s="459">
        <v>2</v>
      </c>
      <c r="C67" s="459">
        <v>2.7</v>
      </c>
      <c r="D67" s="460">
        <v>0.69999999999899998</v>
      </c>
      <c r="E67" s="461">
        <v>1.35</v>
      </c>
      <c r="F67" s="459">
        <v>2.8394366197180001</v>
      </c>
      <c r="G67" s="460">
        <v>0.94647887323900004</v>
      </c>
      <c r="H67" s="462">
        <v>0.67500000000000004</v>
      </c>
      <c r="I67" s="459">
        <v>1.35</v>
      </c>
      <c r="J67" s="460">
        <v>0.40352112676000002</v>
      </c>
      <c r="K67" s="463">
        <v>0.475446428571</v>
      </c>
    </row>
    <row r="68" spans="1:11" ht="14.4" customHeight="1" thickBot="1" x14ac:dyDescent="0.35">
      <c r="A68" s="481" t="s">
        <v>327</v>
      </c>
      <c r="B68" s="459">
        <v>23</v>
      </c>
      <c r="C68" s="459">
        <v>17.908000000000001</v>
      </c>
      <c r="D68" s="460">
        <v>-5.0919999999999996</v>
      </c>
      <c r="E68" s="461">
        <v>0.77860869565199997</v>
      </c>
      <c r="F68" s="459">
        <v>24.600577035249</v>
      </c>
      <c r="G68" s="460">
        <v>8.2001923450829999</v>
      </c>
      <c r="H68" s="462">
        <v>0</v>
      </c>
      <c r="I68" s="459">
        <v>14.92334</v>
      </c>
      <c r="J68" s="460">
        <v>6.7231476549159996</v>
      </c>
      <c r="K68" s="463">
        <v>0.60662560795200005</v>
      </c>
    </row>
    <row r="69" spans="1:11" ht="14.4" customHeight="1" thickBot="1" x14ac:dyDescent="0.35">
      <c r="A69" s="480" t="s">
        <v>328</v>
      </c>
      <c r="B69" s="464">
        <v>275.33534641976303</v>
      </c>
      <c r="C69" s="464">
        <v>263.86840999999998</v>
      </c>
      <c r="D69" s="465">
        <v>-11.466936419763</v>
      </c>
      <c r="E69" s="471">
        <v>0.95835283566399998</v>
      </c>
      <c r="F69" s="464">
        <v>295.332630834459</v>
      </c>
      <c r="G69" s="465">
        <v>98.444210278152994</v>
      </c>
      <c r="H69" s="467">
        <v>20.050249999999998</v>
      </c>
      <c r="I69" s="464">
        <v>87.569100000000006</v>
      </c>
      <c r="J69" s="465">
        <v>-10.875110278152</v>
      </c>
      <c r="K69" s="472">
        <v>0.29651007324299999</v>
      </c>
    </row>
    <row r="70" spans="1:11" ht="14.4" customHeight="1" thickBot="1" x14ac:dyDescent="0.35">
      <c r="A70" s="481" t="s">
        <v>329</v>
      </c>
      <c r="B70" s="459">
        <v>236</v>
      </c>
      <c r="C70" s="459">
        <v>228.29633999999999</v>
      </c>
      <c r="D70" s="460">
        <v>-7.7036600000000002</v>
      </c>
      <c r="E70" s="461">
        <v>0.96735737288099999</v>
      </c>
      <c r="F70" s="459">
        <v>259.75243803257098</v>
      </c>
      <c r="G70" s="460">
        <v>86.584146010856003</v>
      </c>
      <c r="H70" s="462">
        <v>20.050249999999998</v>
      </c>
      <c r="I70" s="459">
        <v>78.734899999999996</v>
      </c>
      <c r="J70" s="460">
        <v>-7.8492460108559996</v>
      </c>
      <c r="K70" s="463">
        <v>0.30311515301300002</v>
      </c>
    </row>
    <row r="71" spans="1:11" ht="14.4" customHeight="1" thickBot="1" x14ac:dyDescent="0.35">
      <c r="A71" s="481" t="s">
        <v>330</v>
      </c>
      <c r="B71" s="459">
        <v>0.40874392592300002</v>
      </c>
      <c r="C71" s="459">
        <v>0.36399999999999999</v>
      </c>
      <c r="D71" s="460">
        <v>-4.4743925923E-2</v>
      </c>
      <c r="E71" s="461">
        <v>0.89053311111099998</v>
      </c>
      <c r="F71" s="459">
        <v>0</v>
      </c>
      <c r="G71" s="460">
        <v>0</v>
      </c>
      <c r="H71" s="462">
        <v>0</v>
      </c>
      <c r="I71" s="459">
        <v>0.182</v>
      </c>
      <c r="J71" s="460">
        <v>0.182</v>
      </c>
      <c r="K71" s="470" t="s">
        <v>266</v>
      </c>
    </row>
    <row r="72" spans="1:11" ht="14.4" customHeight="1" thickBot="1" x14ac:dyDescent="0.35">
      <c r="A72" s="481" t="s">
        <v>331</v>
      </c>
      <c r="B72" s="459">
        <v>38.926602493840001</v>
      </c>
      <c r="C72" s="459">
        <v>35.208069999999999</v>
      </c>
      <c r="D72" s="460">
        <v>-3.7185324938400002</v>
      </c>
      <c r="E72" s="461">
        <v>0.90447323281199998</v>
      </c>
      <c r="F72" s="459">
        <v>35.580192801888003</v>
      </c>
      <c r="G72" s="460">
        <v>11.860064267296</v>
      </c>
      <c r="H72" s="462">
        <v>0</v>
      </c>
      <c r="I72" s="459">
        <v>8.6522000000000006</v>
      </c>
      <c r="J72" s="460">
        <v>-3.2078642672959998</v>
      </c>
      <c r="K72" s="463">
        <v>0.24317462381800001</v>
      </c>
    </row>
    <row r="73" spans="1:11" ht="14.4" customHeight="1" thickBot="1" x14ac:dyDescent="0.35">
      <c r="A73" s="480" t="s">
        <v>332</v>
      </c>
      <c r="B73" s="464">
        <v>475.228427268536</v>
      </c>
      <c r="C73" s="464">
        <v>562.54259999999999</v>
      </c>
      <c r="D73" s="465">
        <v>87.314172731463003</v>
      </c>
      <c r="E73" s="471">
        <v>1.183730954886</v>
      </c>
      <c r="F73" s="464">
        <v>675.08293070908906</v>
      </c>
      <c r="G73" s="465">
        <v>225.02764356969601</v>
      </c>
      <c r="H73" s="467">
        <v>70.235370000000003</v>
      </c>
      <c r="I73" s="464">
        <v>100.95493999999999</v>
      </c>
      <c r="J73" s="465">
        <v>-124.072703569696</v>
      </c>
      <c r="K73" s="472">
        <v>0.14954450099</v>
      </c>
    </row>
    <row r="74" spans="1:11" ht="14.4" customHeight="1" thickBot="1" x14ac:dyDescent="0.35">
      <c r="A74" s="481" t="s">
        <v>333</v>
      </c>
      <c r="B74" s="459">
        <v>0</v>
      </c>
      <c r="C74" s="459">
        <v>12.934900000000001</v>
      </c>
      <c r="D74" s="460">
        <v>12.934900000000001</v>
      </c>
      <c r="E74" s="469" t="s">
        <v>291</v>
      </c>
      <c r="F74" s="459">
        <v>0</v>
      </c>
      <c r="G74" s="460">
        <v>0</v>
      </c>
      <c r="H74" s="462">
        <v>0</v>
      </c>
      <c r="I74" s="459">
        <v>0</v>
      </c>
      <c r="J74" s="460">
        <v>0</v>
      </c>
      <c r="K74" s="470" t="s">
        <v>266</v>
      </c>
    </row>
    <row r="75" spans="1:11" ht="14.4" customHeight="1" thickBot="1" x14ac:dyDescent="0.35">
      <c r="A75" s="481" t="s">
        <v>334</v>
      </c>
      <c r="B75" s="459">
        <v>273.23801520251601</v>
      </c>
      <c r="C75" s="459">
        <v>363.95447000000001</v>
      </c>
      <c r="D75" s="460">
        <v>90.716454797484005</v>
      </c>
      <c r="E75" s="461">
        <v>1.3320052472570001</v>
      </c>
      <c r="F75" s="459">
        <v>459.54662533480501</v>
      </c>
      <c r="G75" s="460">
        <v>153.18220844493499</v>
      </c>
      <c r="H75" s="462">
        <v>50.808390000000003</v>
      </c>
      <c r="I75" s="459">
        <v>69.25806</v>
      </c>
      <c r="J75" s="460">
        <v>-83.924148444934005</v>
      </c>
      <c r="K75" s="463">
        <v>0.15070953888399999</v>
      </c>
    </row>
    <row r="76" spans="1:11" ht="14.4" customHeight="1" thickBot="1" x14ac:dyDescent="0.35">
      <c r="A76" s="481" t="s">
        <v>335</v>
      </c>
      <c r="B76" s="459">
        <v>15</v>
      </c>
      <c r="C76" s="459">
        <v>9.6989999999999998</v>
      </c>
      <c r="D76" s="460">
        <v>-5.3010000000000002</v>
      </c>
      <c r="E76" s="461">
        <v>0.64659999999999995</v>
      </c>
      <c r="F76" s="459">
        <v>15.544532759457001</v>
      </c>
      <c r="G76" s="460">
        <v>5.1815109198189999</v>
      </c>
      <c r="H76" s="462">
        <v>1.4370000000000001</v>
      </c>
      <c r="I76" s="459">
        <v>1.4370000000000001</v>
      </c>
      <c r="J76" s="460">
        <v>-3.7445109198190001</v>
      </c>
      <c r="K76" s="463">
        <v>9.2444078070999997E-2</v>
      </c>
    </row>
    <row r="77" spans="1:11" ht="14.4" customHeight="1" thickBot="1" x14ac:dyDescent="0.35">
      <c r="A77" s="481" t="s">
        <v>336</v>
      </c>
      <c r="B77" s="459">
        <v>185.28001220453299</v>
      </c>
      <c r="C77" s="459">
        <v>173.66459</v>
      </c>
      <c r="D77" s="460">
        <v>-11.615422204532999</v>
      </c>
      <c r="E77" s="461">
        <v>0.93730882211</v>
      </c>
      <c r="F77" s="459">
        <v>197.82051572174001</v>
      </c>
      <c r="G77" s="460">
        <v>65.940171907245997</v>
      </c>
      <c r="H77" s="462">
        <v>17.989979999999999</v>
      </c>
      <c r="I77" s="459">
        <v>29.182980000000001</v>
      </c>
      <c r="J77" s="460">
        <v>-36.757191907246003</v>
      </c>
      <c r="K77" s="463">
        <v>0.14752251500999999</v>
      </c>
    </row>
    <row r="78" spans="1:11" ht="14.4" customHeight="1" thickBot="1" x14ac:dyDescent="0.35">
      <c r="A78" s="481" t="s">
        <v>337</v>
      </c>
      <c r="B78" s="459">
        <v>1.7103998614860001</v>
      </c>
      <c r="C78" s="459">
        <v>2.2896399999999999</v>
      </c>
      <c r="D78" s="460">
        <v>0.57924013851300005</v>
      </c>
      <c r="E78" s="461">
        <v>1.338657732355</v>
      </c>
      <c r="F78" s="459">
        <v>2.1712568930849998</v>
      </c>
      <c r="G78" s="460">
        <v>0.72375229769500005</v>
      </c>
      <c r="H78" s="462">
        <v>0</v>
      </c>
      <c r="I78" s="459">
        <v>1.0769</v>
      </c>
      <c r="J78" s="460">
        <v>0.353147702304</v>
      </c>
      <c r="K78" s="463">
        <v>0.49598000283999999</v>
      </c>
    </row>
    <row r="79" spans="1:11" ht="14.4" customHeight="1" thickBot="1" x14ac:dyDescent="0.35">
      <c r="A79" s="480" t="s">
        <v>338</v>
      </c>
      <c r="B79" s="464">
        <v>270</v>
      </c>
      <c r="C79" s="464">
        <v>123.66296</v>
      </c>
      <c r="D79" s="465">
        <v>-146.33704</v>
      </c>
      <c r="E79" s="471">
        <v>0.458010962962</v>
      </c>
      <c r="F79" s="464">
        <v>210</v>
      </c>
      <c r="G79" s="465">
        <v>70</v>
      </c>
      <c r="H79" s="467">
        <v>0</v>
      </c>
      <c r="I79" s="464">
        <v>0</v>
      </c>
      <c r="J79" s="465">
        <v>-70</v>
      </c>
      <c r="K79" s="472">
        <v>0</v>
      </c>
    </row>
    <row r="80" spans="1:11" ht="14.4" customHeight="1" thickBot="1" x14ac:dyDescent="0.35">
      <c r="A80" s="481" t="s">
        <v>339</v>
      </c>
      <c r="B80" s="459">
        <v>180</v>
      </c>
      <c r="C80" s="459">
        <v>64.571160000000006</v>
      </c>
      <c r="D80" s="460">
        <v>-115.42883999999999</v>
      </c>
      <c r="E80" s="461">
        <v>0.35872866666600001</v>
      </c>
      <c r="F80" s="459">
        <v>160</v>
      </c>
      <c r="G80" s="460">
        <v>53.333333333333002</v>
      </c>
      <c r="H80" s="462">
        <v>0</v>
      </c>
      <c r="I80" s="459">
        <v>0</v>
      </c>
      <c r="J80" s="460">
        <v>-53.333333333333002</v>
      </c>
      <c r="K80" s="463">
        <v>0</v>
      </c>
    </row>
    <row r="81" spans="1:11" ht="14.4" customHeight="1" thickBot="1" x14ac:dyDescent="0.35">
      <c r="A81" s="481" t="s">
        <v>340</v>
      </c>
      <c r="B81" s="459">
        <v>90</v>
      </c>
      <c r="C81" s="459">
        <v>59.091799999999999</v>
      </c>
      <c r="D81" s="460">
        <v>-30.908200000000001</v>
      </c>
      <c r="E81" s="461">
        <v>0.65657555555500002</v>
      </c>
      <c r="F81" s="459">
        <v>50</v>
      </c>
      <c r="G81" s="460">
        <v>16.666666666666</v>
      </c>
      <c r="H81" s="462">
        <v>0</v>
      </c>
      <c r="I81" s="459">
        <v>0</v>
      </c>
      <c r="J81" s="460">
        <v>-16.666666666666</v>
      </c>
      <c r="K81" s="463">
        <v>0</v>
      </c>
    </row>
    <row r="82" spans="1:11" ht="14.4" customHeight="1" thickBot="1" x14ac:dyDescent="0.35">
      <c r="A82" s="478" t="s">
        <v>48</v>
      </c>
      <c r="B82" s="459">
        <v>17135</v>
      </c>
      <c r="C82" s="459">
        <v>19212.99785</v>
      </c>
      <c r="D82" s="460">
        <v>2077.9978500000002</v>
      </c>
      <c r="E82" s="461">
        <v>1.121272124306</v>
      </c>
      <c r="F82" s="459">
        <v>18881.9959987609</v>
      </c>
      <c r="G82" s="460">
        <v>6293.9986662536303</v>
      </c>
      <c r="H82" s="462">
        <v>1557.61842000001</v>
      </c>
      <c r="I82" s="459">
        <v>6190.6775600000101</v>
      </c>
      <c r="J82" s="460">
        <v>-103.321106253617</v>
      </c>
      <c r="K82" s="463">
        <v>0.32786139560700001</v>
      </c>
    </row>
    <row r="83" spans="1:11" ht="14.4" customHeight="1" thickBot="1" x14ac:dyDescent="0.35">
      <c r="A83" s="484" t="s">
        <v>341</v>
      </c>
      <c r="B83" s="464">
        <v>12639</v>
      </c>
      <c r="C83" s="464">
        <v>14170.05</v>
      </c>
      <c r="D83" s="465">
        <v>1531.04999999999</v>
      </c>
      <c r="E83" s="471">
        <v>1.121136957037</v>
      </c>
      <c r="F83" s="464">
        <v>13931.9959987609</v>
      </c>
      <c r="G83" s="465">
        <v>4643.9986662536303</v>
      </c>
      <c r="H83" s="467">
        <v>1148.06</v>
      </c>
      <c r="I83" s="464">
        <v>4566.7450000000099</v>
      </c>
      <c r="J83" s="465">
        <v>-77.253666253621006</v>
      </c>
      <c r="K83" s="472">
        <v>0.32778827961200002</v>
      </c>
    </row>
    <row r="84" spans="1:11" ht="14.4" customHeight="1" thickBot="1" x14ac:dyDescent="0.35">
      <c r="A84" s="480" t="s">
        <v>342</v>
      </c>
      <c r="B84" s="464">
        <v>12484</v>
      </c>
      <c r="C84" s="464">
        <v>13975.272000000001</v>
      </c>
      <c r="D84" s="465">
        <v>1491.2719999999899</v>
      </c>
      <c r="E84" s="471">
        <v>1.1194546619670001</v>
      </c>
      <c r="F84" s="464">
        <v>13750</v>
      </c>
      <c r="G84" s="465">
        <v>4583.3333333333203</v>
      </c>
      <c r="H84" s="467">
        <v>1130.8600000000099</v>
      </c>
      <c r="I84" s="464">
        <v>4487.3950000000104</v>
      </c>
      <c r="J84" s="465">
        <v>-95.938333333310993</v>
      </c>
      <c r="K84" s="472">
        <v>0.32635599999999998</v>
      </c>
    </row>
    <row r="85" spans="1:11" ht="14.4" customHeight="1" thickBot="1" x14ac:dyDescent="0.35">
      <c r="A85" s="481" t="s">
        <v>343</v>
      </c>
      <c r="B85" s="459">
        <v>12484</v>
      </c>
      <c r="C85" s="459">
        <v>13975.272000000001</v>
      </c>
      <c r="D85" s="460">
        <v>1491.2719999999899</v>
      </c>
      <c r="E85" s="461">
        <v>1.1194546619670001</v>
      </c>
      <c r="F85" s="459">
        <v>13750</v>
      </c>
      <c r="G85" s="460">
        <v>4583.3333333333203</v>
      </c>
      <c r="H85" s="462">
        <v>1130.8600000000099</v>
      </c>
      <c r="I85" s="459">
        <v>4487.3950000000104</v>
      </c>
      <c r="J85" s="460">
        <v>-95.938333333310993</v>
      </c>
      <c r="K85" s="463">
        <v>0.32635599999999998</v>
      </c>
    </row>
    <row r="86" spans="1:11" ht="14.4" customHeight="1" thickBot="1" x14ac:dyDescent="0.35">
      <c r="A86" s="480" t="s">
        <v>344</v>
      </c>
      <c r="B86" s="464">
        <v>120</v>
      </c>
      <c r="C86" s="464">
        <v>132</v>
      </c>
      <c r="D86" s="465">
        <v>12</v>
      </c>
      <c r="E86" s="471">
        <v>1.1000000000000001</v>
      </c>
      <c r="F86" s="464">
        <v>149.22699876093</v>
      </c>
      <c r="G86" s="465">
        <v>49.742332920309003</v>
      </c>
      <c r="H86" s="467">
        <v>17.2</v>
      </c>
      <c r="I86" s="464">
        <v>64</v>
      </c>
      <c r="J86" s="465">
        <v>14.25766707969</v>
      </c>
      <c r="K86" s="472">
        <v>0.42887681539799999</v>
      </c>
    </row>
    <row r="87" spans="1:11" ht="14.4" customHeight="1" thickBot="1" x14ac:dyDescent="0.35">
      <c r="A87" s="481" t="s">
        <v>345</v>
      </c>
      <c r="B87" s="459">
        <v>120</v>
      </c>
      <c r="C87" s="459">
        <v>132</v>
      </c>
      <c r="D87" s="460">
        <v>12</v>
      </c>
      <c r="E87" s="461">
        <v>1.1000000000000001</v>
      </c>
      <c r="F87" s="459">
        <v>149.22699876093</v>
      </c>
      <c r="G87" s="460">
        <v>49.742332920309003</v>
      </c>
      <c r="H87" s="462">
        <v>17.2</v>
      </c>
      <c r="I87" s="459">
        <v>64</v>
      </c>
      <c r="J87" s="460">
        <v>14.25766707969</v>
      </c>
      <c r="K87" s="463">
        <v>0.42887681539799999</v>
      </c>
    </row>
    <row r="88" spans="1:11" ht="14.4" customHeight="1" thickBot="1" x14ac:dyDescent="0.35">
      <c r="A88" s="480" t="s">
        <v>346</v>
      </c>
      <c r="B88" s="464">
        <v>35</v>
      </c>
      <c r="C88" s="464">
        <v>32.027999999999999</v>
      </c>
      <c r="D88" s="465">
        <v>-2.972</v>
      </c>
      <c r="E88" s="471">
        <v>0.91508571428499996</v>
      </c>
      <c r="F88" s="464">
        <v>32.768999999999998</v>
      </c>
      <c r="G88" s="465">
        <v>10.923</v>
      </c>
      <c r="H88" s="467">
        <v>0</v>
      </c>
      <c r="I88" s="464">
        <v>15.35</v>
      </c>
      <c r="J88" s="465">
        <v>4.4269999999999996</v>
      </c>
      <c r="K88" s="472">
        <v>0.46843052885300002</v>
      </c>
    </row>
    <row r="89" spans="1:11" ht="14.4" customHeight="1" thickBot="1" x14ac:dyDescent="0.35">
      <c r="A89" s="481" t="s">
        <v>347</v>
      </c>
      <c r="B89" s="459">
        <v>35</v>
      </c>
      <c r="C89" s="459">
        <v>32.027999999999999</v>
      </c>
      <c r="D89" s="460">
        <v>-2.972</v>
      </c>
      <c r="E89" s="461">
        <v>0.91508571428499996</v>
      </c>
      <c r="F89" s="459">
        <v>32.768999999999998</v>
      </c>
      <c r="G89" s="460">
        <v>10.923</v>
      </c>
      <c r="H89" s="462">
        <v>0</v>
      </c>
      <c r="I89" s="459">
        <v>15.35</v>
      </c>
      <c r="J89" s="460">
        <v>4.4269999999999996</v>
      </c>
      <c r="K89" s="463">
        <v>0.46843052885300002</v>
      </c>
    </row>
    <row r="90" spans="1:11" ht="14.4" customHeight="1" thickBot="1" x14ac:dyDescent="0.35">
      <c r="A90" s="483" t="s">
        <v>348</v>
      </c>
      <c r="B90" s="459">
        <v>0</v>
      </c>
      <c r="C90" s="459">
        <v>30.75</v>
      </c>
      <c r="D90" s="460">
        <v>30.75</v>
      </c>
      <c r="E90" s="469" t="s">
        <v>291</v>
      </c>
      <c r="F90" s="459">
        <v>0</v>
      </c>
      <c r="G90" s="460">
        <v>0</v>
      </c>
      <c r="H90" s="462">
        <v>0</v>
      </c>
      <c r="I90" s="459">
        <v>0</v>
      </c>
      <c r="J90" s="460">
        <v>0</v>
      </c>
      <c r="K90" s="470" t="s">
        <v>266</v>
      </c>
    </row>
    <row r="91" spans="1:11" ht="14.4" customHeight="1" thickBot="1" x14ac:dyDescent="0.35">
      <c r="A91" s="481" t="s">
        <v>349</v>
      </c>
      <c r="B91" s="459">
        <v>0</v>
      </c>
      <c r="C91" s="459">
        <v>30.75</v>
      </c>
      <c r="D91" s="460">
        <v>30.75</v>
      </c>
      <c r="E91" s="469" t="s">
        <v>291</v>
      </c>
      <c r="F91" s="459">
        <v>0</v>
      </c>
      <c r="G91" s="460">
        <v>0</v>
      </c>
      <c r="H91" s="462">
        <v>0</v>
      </c>
      <c r="I91" s="459">
        <v>0</v>
      </c>
      <c r="J91" s="460">
        <v>0</v>
      </c>
      <c r="K91" s="470" t="s">
        <v>266</v>
      </c>
    </row>
    <row r="92" spans="1:11" ht="14.4" customHeight="1" thickBot="1" x14ac:dyDescent="0.35">
      <c r="A92" s="479" t="s">
        <v>350</v>
      </c>
      <c r="B92" s="459">
        <v>4245.99999999999</v>
      </c>
      <c r="C92" s="459">
        <v>4762.8097699999998</v>
      </c>
      <c r="D92" s="460">
        <v>516.80977000000496</v>
      </c>
      <c r="E92" s="461">
        <v>1.1217168558640001</v>
      </c>
      <c r="F92" s="459">
        <v>4675</v>
      </c>
      <c r="G92" s="460">
        <v>1558.3333333333301</v>
      </c>
      <c r="H92" s="462">
        <v>386.94244000000202</v>
      </c>
      <c r="I92" s="459">
        <v>1533.87491</v>
      </c>
      <c r="J92" s="460">
        <v>-24.45842333333</v>
      </c>
      <c r="K92" s="463">
        <v>0.32810158502600001</v>
      </c>
    </row>
    <row r="93" spans="1:11" ht="14.4" customHeight="1" thickBot="1" x14ac:dyDescent="0.35">
      <c r="A93" s="480" t="s">
        <v>351</v>
      </c>
      <c r="B93" s="464">
        <v>1124</v>
      </c>
      <c r="C93" s="464">
        <v>1261.6228000000001</v>
      </c>
      <c r="D93" s="465">
        <v>137.62280000000499</v>
      </c>
      <c r="E93" s="471">
        <v>1.1224402135230001</v>
      </c>
      <c r="F93" s="464">
        <v>1237.5</v>
      </c>
      <c r="G93" s="465">
        <v>412.50000000000102</v>
      </c>
      <c r="H93" s="467">
        <v>102.42744</v>
      </c>
      <c r="I93" s="464">
        <v>406.02616000000103</v>
      </c>
      <c r="J93" s="465">
        <v>-6.47384</v>
      </c>
      <c r="K93" s="472">
        <v>0.32810194747400001</v>
      </c>
    </row>
    <row r="94" spans="1:11" ht="14.4" customHeight="1" thickBot="1" x14ac:dyDescent="0.35">
      <c r="A94" s="481" t="s">
        <v>352</v>
      </c>
      <c r="B94" s="459">
        <v>1124</v>
      </c>
      <c r="C94" s="459">
        <v>1261.6228000000001</v>
      </c>
      <c r="D94" s="460">
        <v>137.62280000000499</v>
      </c>
      <c r="E94" s="461">
        <v>1.1224402135230001</v>
      </c>
      <c r="F94" s="459">
        <v>1237.5</v>
      </c>
      <c r="G94" s="460">
        <v>412.50000000000102</v>
      </c>
      <c r="H94" s="462">
        <v>102.42744</v>
      </c>
      <c r="I94" s="459">
        <v>406.02616000000103</v>
      </c>
      <c r="J94" s="460">
        <v>-6.47384</v>
      </c>
      <c r="K94" s="463">
        <v>0.32810194747400001</v>
      </c>
    </row>
    <row r="95" spans="1:11" ht="14.4" customHeight="1" thickBot="1" x14ac:dyDescent="0.35">
      <c r="A95" s="480" t="s">
        <v>353</v>
      </c>
      <c r="B95" s="464">
        <v>3122</v>
      </c>
      <c r="C95" s="464">
        <v>3501.1869700000002</v>
      </c>
      <c r="D95" s="465">
        <v>379.186970000001</v>
      </c>
      <c r="E95" s="471">
        <v>1.121456428571</v>
      </c>
      <c r="F95" s="464">
        <v>3437.5</v>
      </c>
      <c r="G95" s="465">
        <v>1145.8333333333301</v>
      </c>
      <c r="H95" s="467">
        <v>284.51500000000101</v>
      </c>
      <c r="I95" s="464">
        <v>1127.8487500000001</v>
      </c>
      <c r="J95" s="465">
        <v>-17.984583333330001</v>
      </c>
      <c r="K95" s="472">
        <v>0.328101454545</v>
      </c>
    </row>
    <row r="96" spans="1:11" ht="14.4" customHeight="1" thickBot="1" x14ac:dyDescent="0.35">
      <c r="A96" s="481" t="s">
        <v>354</v>
      </c>
      <c r="B96" s="459">
        <v>3122</v>
      </c>
      <c r="C96" s="459">
        <v>3501.1869700000002</v>
      </c>
      <c r="D96" s="460">
        <v>379.186970000001</v>
      </c>
      <c r="E96" s="461">
        <v>1.121456428571</v>
      </c>
      <c r="F96" s="459">
        <v>3437.5</v>
      </c>
      <c r="G96" s="460">
        <v>1145.8333333333301</v>
      </c>
      <c r="H96" s="462">
        <v>284.51500000000101</v>
      </c>
      <c r="I96" s="459">
        <v>1127.8487500000001</v>
      </c>
      <c r="J96" s="460">
        <v>-17.984583333330001</v>
      </c>
      <c r="K96" s="463">
        <v>0.328101454545</v>
      </c>
    </row>
    <row r="97" spans="1:11" ht="14.4" customHeight="1" thickBot="1" x14ac:dyDescent="0.35">
      <c r="A97" s="479" t="s">
        <v>355</v>
      </c>
      <c r="B97" s="459">
        <v>250</v>
      </c>
      <c r="C97" s="459">
        <v>280.13808</v>
      </c>
      <c r="D97" s="460">
        <v>30.138079999999</v>
      </c>
      <c r="E97" s="461">
        <v>1.12055232</v>
      </c>
      <c r="F97" s="459">
        <v>275.00000000000102</v>
      </c>
      <c r="G97" s="460">
        <v>91.666666666666998</v>
      </c>
      <c r="H97" s="462">
        <v>22.61598</v>
      </c>
      <c r="I97" s="459">
        <v>90.057649999999995</v>
      </c>
      <c r="J97" s="460">
        <v>-1.609016666666</v>
      </c>
      <c r="K97" s="463">
        <v>0.32748236363599997</v>
      </c>
    </row>
    <row r="98" spans="1:11" ht="14.4" customHeight="1" thickBot="1" x14ac:dyDescent="0.35">
      <c r="A98" s="480" t="s">
        <v>356</v>
      </c>
      <c r="B98" s="464">
        <v>250</v>
      </c>
      <c r="C98" s="464">
        <v>280.13808</v>
      </c>
      <c r="D98" s="465">
        <v>30.138079999999</v>
      </c>
      <c r="E98" s="471">
        <v>1.12055232</v>
      </c>
      <c r="F98" s="464">
        <v>275.00000000000102</v>
      </c>
      <c r="G98" s="465">
        <v>91.666666666666998</v>
      </c>
      <c r="H98" s="467">
        <v>22.61598</v>
      </c>
      <c r="I98" s="464">
        <v>90.057649999999995</v>
      </c>
      <c r="J98" s="465">
        <v>-1.609016666666</v>
      </c>
      <c r="K98" s="472">
        <v>0.32748236363599997</v>
      </c>
    </row>
    <row r="99" spans="1:11" ht="14.4" customHeight="1" thickBot="1" x14ac:dyDescent="0.35">
      <c r="A99" s="481" t="s">
        <v>357</v>
      </c>
      <c r="B99" s="459">
        <v>250</v>
      </c>
      <c r="C99" s="459">
        <v>280.13808</v>
      </c>
      <c r="D99" s="460">
        <v>30.138079999999</v>
      </c>
      <c r="E99" s="461">
        <v>1.12055232</v>
      </c>
      <c r="F99" s="459">
        <v>275.00000000000102</v>
      </c>
      <c r="G99" s="460">
        <v>91.666666666666998</v>
      </c>
      <c r="H99" s="462">
        <v>22.61598</v>
      </c>
      <c r="I99" s="459">
        <v>90.057649999999995</v>
      </c>
      <c r="J99" s="460">
        <v>-1.609016666666</v>
      </c>
      <c r="K99" s="463">
        <v>0.32748236363599997</v>
      </c>
    </row>
    <row r="100" spans="1:11" ht="14.4" customHeight="1" thickBot="1" x14ac:dyDescent="0.35">
      <c r="A100" s="478" t="s">
        <v>358</v>
      </c>
      <c r="B100" s="459">
        <v>0</v>
      </c>
      <c r="C100" s="459">
        <v>146.37988000000001</v>
      </c>
      <c r="D100" s="460">
        <v>146.37988000000001</v>
      </c>
      <c r="E100" s="469" t="s">
        <v>266</v>
      </c>
      <c r="F100" s="459">
        <v>16.552120762752001</v>
      </c>
      <c r="G100" s="460">
        <v>5.5173735875840002</v>
      </c>
      <c r="H100" s="462">
        <v>6.4</v>
      </c>
      <c r="I100" s="459">
        <v>34.564</v>
      </c>
      <c r="J100" s="460">
        <v>29.046626412416</v>
      </c>
      <c r="K100" s="463">
        <v>2.0881916278529999</v>
      </c>
    </row>
    <row r="101" spans="1:11" ht="14.4" customHeight="1" thickBot="1" x14ac:dyDescent="0.35">
      <c r="A101" s="479" t="s">
        <v>359</v>
      </c>
      <c r="B101" s="459">
        <v>0</v>
      </c>
      <c r="C101" s="459">
        <v>146.37988000000001</v>
      </c>
      <c r="D101" s="460">
        <v>146.37988000000001</v>
      </c>
      <c r="E101" s="469" t="s">
        <v>266</v>
      </c>
      <c r="F101" s="459">
        <v>16.552120762752001</v>
      </c>
      <c r="G101" s="460">
        <v>5.5173735875840002</v>
      </c>
      <c r="H101" s="462">
        <v>6.4</v>
      </c>
      <c r="I101" s="459">
        <v>34.564</v>
      </c>
      <c r="J101" s="460">
        <v>29.046626412416</v>
      </c>
      <c r="K101" s="463">
        <v>2.0881916278529999</v>
      </c>
    </row>
    <row r="102" spans="1:11" ht="14.4" customHeight="1" thickBot="1" x14ac:dyDescent="0.35">
      <c r="A102" s="480" t="s">
        <v>360</v>
      </c>
      <c r="B102" s="464">
        <v>0</v>
      </c>
      <c r="C102" s="464">
        <v>64.012879999999996</v>
      </c>
      <c r="D102" s="465">
        <v>64.012879999999996</v>
      </c>
      <c r="E102" s="466" t="s">
        <v>266</v>
      </c>
      <c r="F102" s="464">
        <v>0</v>
      </c>
      <c r="G102" s="465">
        <v>0</v>
      </c>
      <c r="H102" s="467">
        <v>3.9</v>
      </c>
      <c r="I102" s="464">
        <v>7.91</v>
      </c>
      <c r="J102" s="465">
        <v>7.91</v>
      </c>
      <c r="K102" s="468" t="s">
        <v>266</v>
      </c>
    </row>
    <row r="103" spans="1:11" ht="14.4" customHeight="1" thickBot="1" x14ac:dyDescent="0.35">
      <c r="A103" s="481" t="s">
        <v>361</v>
      </c>
      <c r="B103" s="459">
        <v>0</v>
      </c>
      <c r="C103" s="459">
        <v>1.7878799999999999</v>
      </c>
      <c r="D103" s="460">
        <v>1.7878799999999999</v>
      </c>
      <c r="E103" s="469" t="s">
        <v>291</v>
      </c>
      <c r="F103" s="459">
        <v>0</v>
      </c>
      <c r="G103" s="460">
        <v>0</v>
      </c>
      <c r="H103" s="462">
        <v>0</v>
      </c>
      <c r="I103" s="459">
        <v>0</v>
      </c>
      <c r="J103" s="460">
        <v>0</v>
      </c>
      <c r="K103" s="470" t="s">
        <v>266</v>
      </c>
    </row>
    <row r="104" spans="1:11" ht="14.4" customHeight="1" thickBot="1" x14ac:dyDescent="0.35">
      <c r="A104" s="481" t="s">
        <v>362</v>
      </c>
      <c r="B104" s="459">
        <v>0</v>
      </c>
      <c r="C104" s="459">
        <v>62.225000000000001</v>
      </c>
      <c r="D104" s="460">
        <v>62.225000000000001</v>
      </c>
      <c r="E104" s="469" t="s">
        <v>266</v>
      </c>
      <c r="F104" s="459">
        <v>0</v>
      </c>
      <c r="G104" s="460">
        <v>0</v>
      </c>
      <c r="H104" s="462">
        <v>3.9</v>
      </c>
      <c r="I104" s="459">
        <v>7.8</v>
      </c>
      <c r="J104" s="460">
        <v>7.8</v>
      </c>
      <c r="K104" s="470" t="s">
        <v>266</v>
      </c>
    </row>
    <row r="105" spans="1:11" ht="14.4" customHeight="1" thickBot="1" x14ac:dyDescent="0.35">
      <c r="A105" s="481" t="s">
        <v>363</v>
      </c>
      <c r="B105" s="459">
        <v>0</v>
      </c>
      <c r="C105" s="459">
        <v>0</v>
      </c>
      <c r="D105" s="460">
        <v>0</v>
      </c>
      <c r="E105" s="469" t="s">
        <v>266</v>
      </c>
      <c r="F105" s="459">
        <v>0</v>
      </c>
      <c r="G105" s="460">
        <v>0</v>
      </c>
      <c r="H105" s="462">
        <v>0</v>
      </c>
      <c r="I105" s="459">
        <v>0.11</v>
      </c>
      <c r="J105" s="460">
        <v>0.11</v>
      </c>
      <c r="K105" s="470" t="s">
        <v>291</v>
      </c>
    </row>
    <row r="106" spans="1:11" ht="14.4" customHeight="1" thickBot="1" x14ac:dyDescent="0.35">
      <c r="A106" s="483" t="s">
        <v>364</v>
      </c>
      <c r="B106" s="459">
        <v>0</v>
      </c>
      <c r="C106" s="459">
        <v>0</v>
      </c>
      <c r="D106" s="460">
        <v>0</v>
      </c>
      <c r="E106" s="461">
        <v>1</v>
      </c>
      <c r="F106" s="459">
        <v>0</v>
      </c>
      <c r="G106" s="460">
        <v>0</v>
      </c>
      <c r="H106" s="462">
        <v>0</v>
      </c>
      <c r="I106" s="459">
        <v>17.454000000000001</v>
      </c>
      <c r="J106" s="460">
        <v>17.454000000000001</v>
      </c>
      <c r="K106" s="470" t="s">
        <v>291</v>
      </c>
    </row>
    <row r="107" spans="1:11" ht="14.4" customHeight="1" thickBot="1" x14ac:dyDescent="0.35">
      <c r="A107" s="481" t="s">
        <v>365</v>
      </c>
      <c r="B107" s="459">
        <v>0</v>
      </c>
      <c r="C107" s="459">
        <v>0</v>
      </c>
      <c r="D107" s="460">
        <v>0</v>
      </c>
      <c r="E107" s="461">
        <v>1</v>
      </c>
      <c r="F107" s="459">
        <v>0</v>
      </c>
      <c r="G107" s="460">
        <v>0</v>
      </c>
      <c r="H107" s="462">
        <v>0</v>
      </c>
      <c r="I107" s="459">
        <v>17.454000000000001</v>
      </c>
      <c r="J107" s="460">
        <v>17.454000000000001</v>
      </c>
      <c r="K107" s="470" t="s">
        <v>291</v>
      </c>
    </row>
    <row r="108" spans="1:11" ht="14.4" customHeight="1" thickBot="1" x14ac:dyDescent="0.35">
      <c r="A108" s="483" t="s">
        <v>366</v>
      </c>
      <c r="B108" s="459">
        <v>0</v>
      </c>
      <c r="C108" s="459">
        <v>22.65</v>
      </c>
      <c r="D108" s="460">
        <v>22.65</v>
      </c>
      <c r="E108" s="469" t="s">
        <v>266</v>
      </c>
      <c r="F108" s="459">
        <v>16.552120762752001</v>
      </c>
      <c r="G108" s="460">
        <v>5.5173735875840002</v>
      </c>
      <c r="H108" s="462">
        <v>2.5</v>
      </c>
      <c r="I108" s="459">
        <v>8.6</v>
      </c>
      <c r="J108" s="460">
        <v>3.0826264124149998</v>
      </c>
      <c r="K108" s="463">
        <v>0.51957088298599996</v>
      </c>
    </row>
    <row r="109" spans="1:11" ht="14.4" customHeight="1" thickBot="1" x14ac:dyDescent="0.35">
      <c r="A109" s="481" t="s">
        <v>367</v>
      </c>
      <c r="B109" s="459">
        <v>0</v>
      </c>
      <c r="C109" s="459">
        <v>22.65</v>
      </c>
      <c r="D109" s="460">
        <v>22.65</v>
      </c>
      <c r="E109" s="469" t="s">
        <v>266</v>
      </c>
      <c r="F109" s="459">
        <v>16.552120762752001</v>
      </c>
      <c r="G109" s="460">
        <v>5.5173735875840002</v>
      </c>
      <c r="H109" s="462">
        <v>2.5</v>
      </c>
      <c r="I109" s="459">
        <v>8.6</v>
      </c>
      <c r="J109" s="460">
        <v>3.0826264124149998</v>
      </c>
      <c r="K109" s="463">
        <v>0.51957088298599996</v>
      </c>
    </row>
    <row r="110" spans="1:11" ht="14.4" customHeight="1" thickBot="1" x14ac:dyDescent="0.35">
      <c r="A110" s="483" t="s">
        <v>368</v>
      </c>
      <c r="B110" s="459">
        <v>0</v>
      </c>
      <c r="C110" s="459">
        <v>27.114000000000001</v>
      </c>
      <c r="D110" s="460">
        <v>27.114000000000001</v>
      </c>
      <c r="E110" s="469" t="s">
        <v>266</v>
      </c>
      <c r="F110" s="459">
        <v>0</v>
      </c>
      <c r="G110" s="460">
        <v>0</v>
      </c>
      <c r="H110" s="462">
        <v>0</v>
      </c>
      <c r="I110" s="459">
        <v>0.6</v>
      </c>
      <c r="J110" s="460">
        <v>0.6</v>
      </c>
      <c r="K110" s="470" t="s">
        <v>266</v>
      </c>
    </row>
    <row r="111" spans="1:11" ht="14.4" customHeight="1" thickBot="1" x14ac:dyDescent="0.35">
      <c r="A111" s="481" t="s">
        <v>369</v>
      </c>
      <c r="B111" s="459">
        <v>0</v>
      </c>
      <c r="C111" s="459">
        <v>27.114000000000001</v>
      </c>
      <c r="D111" s="460">
        <v>27.114000000000001</v>
      </c>
      <c r="E111" s="469" t="s">
        <v>266</v>
      </c>
      <c r="F111" s="459">
        <v>0</v>
      </c>
      <c r="G111" s="460">
        <v>0</v>
      </c>
      <c r="H111" s="462">
        <v>0</v>
      </c>
      <c r="I111" s="459">
        <v>0.6</v>
      </c>
      <c r="J111" s="460">
        <v>0.6</v>
      </c>
      <c r="K111" s="470" t="s">
        <v>266</v>
      </c>
    </row>
    <row r="112" spans="1:11" ht="14.4" customHeight="1" thickBot="1" x14ac:dyDescent="0.35">
      <c r="A112" s="483" t="s">
        <v>370</v>
      </c>
      <c r="B112" s="459">
        <v>0</v>
      </c>
      <c r="C112" s="459">
        <v>32.603000000000002</v>
      </c>
      <c r="D112" s="460">
        <v>32.603000000000002</v>
      </c>
      <c r="E112" s="469" t="s">
        <v>266</v>
      </c>
      <c r="F112" s="459">
        <v>0</v>
      </c>
      <c r="G112" s="460">
        <v>0</v>
      </c>
      <c r="H112" s="462">
        <v>0</v>
      </c>
      <c r="I112" s="459">
        <v>0</v>
      </c>
      <c r="J112" s="460">
        <v>0</v>
      </c>
      <c r="K112" s="470" t="s">
        <v>266</v>
      </c>
    </row>
    <row r="113" spans="1:11" ht="14.4" customHeight="1" thickBot="1" x14ac:dyDescent="0.35">
      <c r="A113" s="481" t="s">
        <v>371</v>
      </c>
      <c r="B113" s="459">
        <v>0</v>
      </c>
      <c r="C113" s="459">
        <v>32.603000000000002</v>
      </c>
      <c r="D113" s="460">
        <v>32.603000000000002</v>
      </c>
      <c r="E113" s="469" t="s">
        <v>266</v>
      </c>
      <c r="F113" s="459">
        <v>0</v>
      </c>
      <c r="G113" s="460">
        <v>0</v>
      </c>
      <c r="H113" s="462">
        <v>0</v>
      </c>
      <c r="I113" s="459">
        <v>0</v>
      </c>
      <c r="J113" s="460">
        <v>0</v>
      </c>
      <c r="K113" s="470" t="s">
        <v>266</v>
      </c>
    </row>
    <row r="114" spans="1:11" ht="14.4" customHeight="1" thickBot="1" x14ac:dyDescent="0.35">
      <c r="A114" s="478" t="s">
        <v>372</v>
      </c>
      <c r="B114" s="459">
        <v>1184</v>
      </c>
      <c r="C114" s="459">
        <v>1378.4770699999999</v>
      </c>
      <c r="D114" s="460">
        <v>194.47706999999801</v>
      </c>
      <c r="E114" s="461">
        <v>1.1642542820940001</v>
      </c>
      <c r="F114" s="459">
        <v>1274.76838900639</v>
      </c>
      <c r="G114" s="460">
        <v>424.922796335464</v>
      </c>
      <c r="H114" s="462">
        <v>109.799000000001</v>
      </c>
      <c r="I114" s="459">
        <v>439.19600000000099</v>
      </c>
      <c r="J114" s="460">
        <v>14.273203664536</v>
      </c>
      <c r="K114" s="463">
        <v>0.34453003681799999</v>
      </c>
    </row>
    <row r="115" spans="1:11" ht="14.4" customHeight="1" thickBot="1" x14ac:dyDescent="0.35">
      <c r="A115" s="479" t="s">
        <v>373</v>
      </c>
      <c r="B115" s="459">
        <v>1167</v>
      </c>
      <c r="C115" s="459">
        <v>1204.3779999999999</v>
      </c>
      <c r="D115" s="460">
        <v>37.377999999998003</v>
      </c>
      <c r="E115" s="461">
        <v>1.0320291345320001</v>
      </c>
      <c r="F115" s="459">
        <v>1274.76838900639</v>
      </c>
      <c r="G115" s="460">
        <v>424.922796335464</v>
      </c>
      <c r="H115" s="462">
        <v>109.799000000001</v>
      </c>
      <c r="I115" s="459">
        <v>439.19600000000099</v>
      </c>
      <c r="J115" s="460">
        <v>14.273203664536</v>
      </c>
      <c r="K115" s="463">
        <v>0.34453003681799999</v>
      </c>
    </row>
    <row r="116" spans="1:11" ht="14.4" customHeight="1" thickBot="1" x14ac:dyDescent="0.35">
      <c r="A116" s="480" t="s">
        <v>374</v>
      </c>
      <c r="B116" s="464">
        <v>1167</v>
      </c>
      <c r="C116" s="464">
        <v>1204.3779999999999</v>
      </c>
      <c r="D116" s="465">
        <v>37.377999999998003</v>
      </c>
      <c r="E116" s="471">
        <v>1.0320291345320001</v>
      </c>
      <c r="F116" s="464">
        <v>1274.76838900639</v>
      </c>
      <c r="G116" s="465">
        <v>424.922796335464</v>
      </c>
      <c r="H116" s="467">
        <v>109.799000000001</v>
      </c>
      <c r="I116" s="464">
        <v>439.19600000000099</v>
      </c>
      <c r="J116" s="465">
        <v>14.273203664536</v>
      </c>
      <c r="K116" s="472">
        <v>0.34453003681799999</v>
      </c>
    </row>
    <row r="117" spans="1:11" ht="14.4" customHeight="1" thickBot="1" x14ac:dyDescent="0.35">
      <c r="A117" s="481" t="s">
        <v>375</v>
      </c>
      <c r="B117" s="459">
        <v>42</v>
      </c>
      <c r="C117" s="459">
        <v>42.335999999999999</v>
      </c>
      <c r="D117" s="460">
        <v>0.33599999999899999</v>
      </c>
      <c r="E117" s="461">
        <v>1.008</v>
      </c>
      <c r="F117" s="459">
        <v>44.992838238300997</v>
      </c>
      <c r="G117" s="460">
        <v>14.9976127461</v>
      </c>
      <c r="H117" s="462">
        <v>3.528</v>
      </c>
      <c r="I117" s="459">
        <v>14.112</v>
      </c>
      <c r="J117" s="460">
        <v>-0.88561274609999996</v>
      </c>
      <c r="K117" s="463">
        <v>0.31364991746499998</v>
      </c>
    </row>
    <row r="118" spans="1:11" ht="14.4" customHeight="1" thickBot="1" x14ac:dyDescent="0.35">
      <c r="A118" s="481" t="s">
        <v>376</v>
      </c>
      <c r="B118" s="459">
        <v>423.00000000000102</v>
      </c>
      <c r="C118" s="459">
        <v>440.11099999999999</v>
      </c>
      <c r="D118" s="460">
        <v>17.110999999998999</v>
      </c>
      <c r="E118" s="461">
        <v>1.0404515366430001</v>
      </c>
      <c r="F118" s="459">
        <v>467.73060822696999</v>
      </c>
      <c r="G118" s="460">
        <v>155.91020274232301</v>
      </c>
      <c r="H118" s="462">
        <v>41.405000000000001</v>
      </c>
      <c r="I118" s="459">
        <v>165.62</v>
      </c>
      <c r="J118" s="460">
        <v>9.7097972576769997</v>
      </c>
      <c r="K118" s="463">
        <v>0.35409271295599998</v>
      </c>
    </row>
    <row r="119" spans="1:11" ht="14.4" customHeight="1" thickBot="1" x14ac:dyDescent="0.35">
      <c r="A119" s="481" t="s">
        <v>377</v>
      </c>
      <c r="B119" s="459">
        <v>698.00000000000102</v>
      </c>
      <c r="C119" s="459">
        <v>712.26700000000005</v>
      </c>
      <c r="D119" s="460">
        <v>14.266999999998999</v>
      </c>
      <c r="E119" s="461">
        <v>1.02043982808</v>
      </c>
      <c r="F119" s="459">
        <v>756.966031592028</v>
      </c>
      <c r="G119" s="460">
        <v>252.32201053067601</v>
      </c>
      <c r="H119" s="462">
        <v>59.557000000000002</v>
      </c>
      <c r="I119" s="459">
        <v>238.22800000000001</v>
      </c>
      <c r="J119" s="460">
        <v>-14.094010530675</v>
      </c>
      <c r="K119" s="463">
        <v>0.314714254084</v>
      </c>
    </row>
    <row r="120" spans="1:11" ht="14.4" customHeight="1" thickBot="1" x14ac:dyDescent="0.35">
      <c r="A120" s="481" t="s">
        <v>378</v>
      </c>
      <c r="B120" s="459">
        <v>0</v>
      </c>
      <c r="C120" s="459">
        <v>4.8849999999989997</v>
      </c>
      <c r="D120" s="460">
        <v>4.8849999999989997</v>
      </c>
      <c r="E120" s="469" t="s">
        <v>291</v>
      </c>
      <c r="F120" s="459">
        <v>0</v>
      </c>
      <c r="G120" s="460">
        <v>0</v>
      </c>
      <c r="H120" s="462">
        <v>4.8849999999999998</v>
      </c>
      <c r="I120" s="459">
        <v>19.54</v>
      </c>
      <c r="J120" s="460">
        <v>19.54</v>
      </c>
      <c r="K120" s="470" t="s">
        <v>291</v>
      </c>
    </row>
    <row r="121" spans="1:11" ht="14.4" customHeight="1" thickBot="1" x14ac:dyDescent="0.35">
      <c r="A121" s="481" t="s">
        <v>379</v>
      </c>
      <c r="B121" s="459">
        <v>4</v>
      </c>
      <c r="C121" s="459">
        <v>4.7789999999999999</v>
      </c>
      <c r="D121" s="460">
        <v>0.77899999999900005</v>
      </c>
      <c r="E121" s="461">
        <v>1.19475</v>
      </c>
      <c r="F121" s="459">
        <v>5.0789109490930002</v>
      </c>
      <c r="G121" s="460">
        <v>1.692970316364</v>
      </c>
      <c r="H121" s="462">
        <v>0.42399999999999999</v>
      </c>
      <c r="I121" s="459">
        <v>1.696</v>
      </c>
      <c r="J121" s="460">
        <v>3.0296836350000001E-3</v>
      </c>
      <c r="K121" s="463">
        <v>0.33392985563200001</v>
      </c>
    </row>
    <row r="122" spans="1:11" ht="14.4" customHeight="1" thickBot="1" x14ac:dyDescent="0.35">
      <c r="A122" s="479" t="s">
        <v>380</v>
      </c>
      <c r="B122" s="459">
        <v>17</v>
      </c>
      <c r="C122" s="459">
        <v>174.09907000000001</v>
      </c>
      <c r="D122" s="460">
        <v>157.09907000000001</v>
      </c>
      <c r="E122" s="461">
        <v>10.241121764704999</v>
      </c>
      <c r="F122" s="459">
        <v>0</v>
      </c>
      <c r="G122" s="460">
        <v>0</v>
      </c>
      <c r="H122" s="462">
        <v>0</v>
      </c>
      <c r="I122" s="459">
        <v>0</v>
      </c>
      <c r="J122" s="460">
        <v>0</v>
      </c>
      <c r="K122" s="470" t="s">
        <v>266</v>
      </c>
    </row>
    <row r="123" spans="1:11" ht="14.4" customHeight="1" thickBot="1" x14ac:dyDescent="0.35">
      <c r="A123" s="480" t="s">
        <v>381</v>
      </c>
      <c r="B123" s="464">
        <v>17</v>
      </c>
      <c r="C123" s="464">
        <v>69.904999999999006</v>
      </c>
      <c r="D123" s="465">
        <v>52.904999999998999</v>
      </c>
      <c r="E123" s="471">
        <v>4.1120588235289999</v>
      </c>
      <c r="F123" s="464">
        <v>0</v>
      </c>
      <c r="G123" s="465">
        <v>0</v>
      </c>
      <c r="H123" s="467">
        <v>0</v>
      </c>
      <c r="I123" s="464">
        <v>0</v>
      </c>
      <c r="J123" s="465">
        <v>0</v>
      </c>
      <c r="K123" s="468" t="s">
        <v>266</v>
      </c>
    </row>
    <row r="124" spans="1:11" ht="14.4" customHeight="1" thickBot="1" x14ac:dyDescent="0.35">
      <c r="A124" s="481" t="s">
        <v>382</v>
      </c>
      <c r="B124" s="459">
        <v>17</v>
      </c>
      <c r="C124" s="459">
        <v>69.904999999999006</v>
      </c>
      <c r="D124" s="460">
        <v>52.904999999998999</v>
      </c>
      <c r="E124" s="461">
        <v>4.1120588235289999</v>
      </c>
      <c r="F124" s="459">
        <v>0</v>
      </c>
      <c r="G124" s="460">
        <v>0</v>
      </c>
      <c r="H124" s="462">
        <v>0</v>
      </c>
      <c r="I124" s="459">
        <v>0</v>
      </c>
      <c r="J124" s="460">
        <v>0</v>
      </c>
      <c r="K124" s="470" t="s">
        <v>266</v>
      </c>
    </row>
    <row r="125" spans="1:11" ht="14.4" customHeight="1" thickBot="1" x14ac:dyDescent="0.35">
      <c r="A125" s="480" t="s">
        <v>383</v>
      </c>
      <c r="B125" s="464">
        <v>0</v>
      </c>
      <c r="C125" s="464">
        <v>14.46918</v>
      </c>
      <c r="D125" s="465">
        <v>14.46918</v>
      </c>
      <c r="E125" s="466" t="s">
        <v>291</v>
      </c>
      <c r="F125" s="464">
        <v>0</v>
      </c>
      <c r="G125" s="465">
        <v>0</v>
      </c>
      <c r="H125" s="467">
        <v>0</v>
      </c>
      <c r="I125" s="464">
        <v>0</v>
      </c>
      <c r="J125" s="465">
        <v>0</v>
      </c>
      <c r="K125" s="468" t="s">
        <v>266</v>
      </c>
    </row>
    <row r="126" spans="1:11" ht="14.4" customHeight="1" thickBot="1" x14ac:dyDescent="0.35">
      <c r="A126" s="481" t="s">
        <v>384</v>
      </c>
      <c r="B126" s="459">
        <v>0</v>
      </c>
      <c r="C126" s="459">
        <v>14.46918</v>
      </c>
      <c r="D126" s="460">
        <v>14.46918</v>
      </c>
      <c r="E126" s="469" t="s">
        <v>291</v>
      </c>
      <c r="F126" s="459">
        <v>0</v>
      </c>
      <c r="G126" s="460">
        <v>0</v>
      </c>
      <c r="H126" s="462">
        <v>0</v>
      </c>
      <c r="I126" s="459">
        <v>0</v>
      </c>
      <c r="J126" s="460">
        <v>0</v>
      </c>
      <c r="K126" s="470" t="s">
        <v>266</v>
      </c>
    </row>
    <row r="127" spans="1:11" ht="14.4" customHeight="1" thickBot="1" x14ac:dyDescent="0.35">
      <c r="A127" s="480" t="s">
        <v>385</v>
      </c>
      <c r="B127" s="464">
        <v>0</v>
      </c>
      <c r="C127" s="464">
        <v>89.724890000000002</v>
      </c>
      <c r="D127" s="465">
        <v>89.724890000000002</v>
      </c>
      <c r="E127" s="466" t="s">
        <v>291</v>
      </c>
      <c r="F127" s="464">
        <v>0</v>
      </c>
      <c r="G127" s="465">
        <v>0</v>
      </c>
      <c r="H127" s="467">
        <v>0</v>
      </c>
      <c r="I127" s="464">
        <v>0</v>
      </c>
      <c r="J127" s="465">
        <v>0</v>
      </c>
      <c r="K127" s="468" t="s">
        <v>266</v>
      </c>
    </row>
    <row r="128" spans="1:11" ht="14.4" customHeight="1" thickBot="1" x14ac:dyDescent="0.35">
      <c r="A128" s="481" t="s">
        <v>386</v>
      </c>
      <c r="B128" s="459">
        <v>0</v>
      </c>
      <c r="C128" s="459">
        <v>89.724890000000002</v>
      </c>
      <c r="D128" s="460">
        <v>89.724890000000002</v>
      </c>
      <c r="E128" s="469" t="s">
        <v>291</v>
      </c>
      <c r="F128" s="459">
        <v>0</v>
      </c>
      <c r="G128" s="460">
        <v>0</v>
      </c>
      <c r="H128" s="462">
        <v>0</v>
      </c>
      <c r="I128" s="459">
        <v>0</v>
      </c>
      <c r="J128" s="460">
        <v>0</v>
      </c>
      <c r="K128" s="470" t="s">
        <v>266</v>
      </c>
    </row>
    <row r="129" spans="1:11" ht="14.4" customHeight="1" thickBot="1" x14ac:dyDescent="0.35">
      <c r="A129" s="478" t="s">
        <v>387</v>
      </c>
      <c r="B129" s="459">
        <v>0</v>
      </c>
      <c r="C129" s="459">
        <v>0.16608000000000001</v>
      </c>
      <c r="D129" s="460">
        <v>0.16608000000000001</v>
      </c>
      <c r="E129" s="469" t="s">
        <v>266</v>
      </c>
      <c r="F129" s="459">
        <v>0</v>
      </c>
      <c r="G129" s="460">
        <v>0</v>
      </c>
      <c r="H129" s="462">
        <v>0</v>
      </c>
      <c r="I129" s="459">
        <v>0</v>
      </c>
      <c r="J129" s="460">
        <v>0</v>
      </c>
      <c r="K129" s="470" t="s">
        <v>266</v>
      </c>
    </row>
    <row r="130" spans="1:11" ht="14.4" customHeight="1" thickBot="1" x14ac:dyDescent="0.35">
      <c r="A130" s="479" t="s">
        <v>388</v>
      </c>
      <c r="B130" s="459">
        <v>0</v>
      </c>
      <c r="C130" s="459">
        <v>0.16608000000000001</v>
      </c>
      <c r="D130" s="460">
        <v>0.16608000000000001</v>
      </c>
      <c r="E130" s="469" t="s">
        <v>266</v>
      </c>
      <c r="F130" s="459">
        <v>0</v>
      </c>
      <c r="G130" s="460">
        <v>0</v>
      </c>
      <c r="H130" s="462">
        <v>0</v>
      </c>
      <c r="I130" s="459">
        <v>0</v>
      </c>
      <c r="J130" s="460">
        <v>0</v>
      </c>
      <c r="K130" s="470" t="s">
        <v>266</v>
      </c>
    </row>
    <row r="131" spans="1:11" ht="14.4" customHeight="1" thickBot="1" x14ac:dyDescent="0.35">
      <c r="A131" s="480" t="s">
        <v>389</v>
      </c>
      <c r="B131" s="464">
        <v>0</v>
      </c>
      <c r="C131" s="464">
        <v>0.16608000000000001</v>
      </c>
      <c r="D131" s="465">
        <v>0.16608000000000001</v>
      </c>
      <c r="E131" s="466" t="s">
        <v>266</v>
      </c>
      <c r="F131" s="464">
        <v>0</v>
      </c>
      <c r="G131" s="465">
        <v>0</v>
      </c>
      <c r="H131" s="467">
        <v>0</v>
      </c>
      <c r="I131" s="464">
        <v>0</v>
      </c>
      <c r="J131" s="465">
        <v>0</v>
      </c>
      <c r="K131" s="468" t="s">
        <v>266</v>
      </c>
    </row>
    <row r="132" spans="1:11" ht="14.4" customHeight="1" thickBot="1" x14ac:dyDescent="0.35">
      <c r="A132" s="481" t="s">
        <v>390</v>
      </c>
      <c r="B132" s="459">
        <v>0</v>
      </c>
      <c r="C132" s="459">
        <v>0.16608000000000001</v>
      </c>
      <c r="D132" s="460">
        <v>0.16608000000000001</v>
      </c>
      <c r="E132" s="469" t="s">
        <v>266</v>
      </c>
      <c r="F132" s="459">
        <v>0</v>
      </c>
      <c r="G132" s="460">
        <v>0</v>
      </c>
      <c r="H132" s="462">
        <v>0</v>
      </c>
      <c r="I132" s="459">
        <v>0</v>
      </c>
      <c r="J132" s="460">
        <v>0</v>
      </c>
      <c r="K132" s="470" t="s">
        <v>266</v>
      </c>
    </row>
    <row r="133" spans="1:11" ht="14.4" customHeight="1" thickBot="1" x14ac:dyDescent="0.35">
      <c r="A133" s="477" t="s">
        <v>391</v>
      </c>
      <c r="B133" s="459">
        <v>83879.326475502603</v>
      </c>
      <c r="C133" s="459">
        <v>81857.170740000001</v>
      </c>
      <c r="D133" s="460">
        <v>-2022.15573550259</v>
      </c>
      <c r="E133" s="461">
        <v>0.97589208425399998</v>
      </c>
      <c r="F133" s="459">
        <v>82966.4299938146</v>
      </c>
      <c r="G133" s="460">
        <v>27655.476664604899</v>
      </c>
      <c r="H133" s="462">
        <v>2591.3357900000001</v>
      </c>
      <c r="I133" s="459">
        <v>17649.95261</v>
      </c>
      <c r="J133" s="460">
        <v>-10005.524054604901</v>
      </c>
      <c r="K133" s="463">
        <v>0.212736074232</v>
      </c>
    </row>
    <row r="134" spans="1:11" ht="14.4" customHeight="1" thickBot="1" x14ac:dyDescent="0.35">
      <c r="A134" s="478" t="s">
        <v>392</v>
      </c>
      <c r="B134" s="459">
        <v>83852.9597242249</v>
      </c>
      <c r="C134" s="459">
        <v>81803.006630000003</v>
      </c>
      <c r="D134" s="460">
        <v>-2049.9530942248998</v>
      </c>
      <c r="E134" s="461">
        <v>0.97555300252999999</v>
      </c>
      <c r="F134" s="459">
        <v>82931.927874898494</v>
      </c>
      <c r="G134" s="460">
        <v>27643.975958299499</v>
      </c>
      <c r="H134" s="462">
        <v>2591.3357900000001</v>
      </c>
      <c r="I134" s="459">
        <v>17641.688150000002</v>
      </c>
      <c r="J134" s="460">
        <v>-10002.287808299499</v>
      </c>
      <c r="K134" s="463">
        <v>0.21272492515300001</v>
      </c>
    </row>
    <row r="135" spans="1:11" ht="14.4" customHeight="1" thickBot="1" x14ac:dyDescent="0.35">
      <c r="A135" s="479" t="s">
        <v>393</v>
      </c>
      <c r="B135" s="459">
        <v>83852.9597242249</v>
      </c>
      <c r="C135" s="459">
        <v>81803.006630000003</v>
      </c>
      <c r="D135" s="460">
        <v>-2049.9530942248998</v>
      </c>
      <c r="E135" s="461">
        <v>0.97555300252999999</v>
      </c>
      <c r="F135" s="459">
        <v>82931.927874898494</v>
      </c>
      <c r="G135" s="460">
        <v>27643.975958299499</v>
      </c>
      <c r="H135" s="462">
        <v>2591.3357900000001</v>
      </c>
      <c r="I135" s="459">
        <v>17641.688150000002</v>
      </c>
      <c r="J135" s="460">
        <v>-10002.287808299499</v>
      </c>
      <c r="K135" s="463">
        <v>0.21272492515300001</v>
      </c>
    </row>
    <row r="136" spans="1:11" ht="14.4" customHeight="1" thickBot="1" x14ac:dyDescent="0.35">
      <c r="A136" s="480" t="s">
        <v>394</v>
      </c>
      <c r="B136" s="464">
        <v>40</v>
      </c>
      <c r="C136" s="464">
        <v>36.450719999999997</v>
      </c>
      <c r="D136" s="465">
        <v>-3.54928</v>
      </c>
      <c r="E136" s="471">
        <v>0.91126799999999997</v>
      </c>
      <c r="F136" s="464">
        <v>25.991262776671999</v>
      </c>
      <c r="G136" s="465">
        <v>8.6637542588900001</v>
      </c>
      <c r="H136" s="467">
        <v>0</v>
      </c>
      <c r="I136" s="464">
        <v>5.6529999999999996</v>
      </c>
      <c r="J136" s="465">
        <v>-3.01075425889</v>
      </c>
      <c r="K136" s="472">
        <v>0.217496165868</v>
      </c>
    </row>
    <row r="137" spans="1:11" ht="14.4" customHeight="1" thickBot="1" x14ac:dyDescent="0.35">
      <c r="A137" s="481" t="s">
        <v>395</v>
      </c>
      <c r="B137" s="459">
        <v>25</v>
      </c>
      <c r="C137" s="459">
        <v>0.26432</v>
      </c>
      <c r="D137" s="460">
        <v>-24.735679999999999</v>
      </c>
      <c r="E137" s="461">
        <v>1.05728E-2</v>
      </c>
      <c r="F137" s="459">
        <v>0.263101171473</v>
      </c>
      <c r="G137" s="460">
        <v>8.7700390490999994E-2</v>
      </c>
      <c r="H137" s="462">
        <v>0</v>
      </c>
      <c r="I137" s="459">
        <v>5.6529999999999996</v>
      </c>
      <c r="J137" s="460">
        <v>5.5652996095080001</v>
      </c>
      <c r="K137" s="463">
        <v>21.486031279679001</v>
      </c>
    </row>
    <row r="138" spans="1:11" ht="14.4" customHeight="1" thickBot="1" x14ac:dyDescent="0.35">
      <c r="A138" s="481" t="s">
        <v>396</v>
      </c>
      <c r="B138" s="459">
        <v>0</v>
      </c>
      <c r="C138" s="459">
        <v>14.2364</v>
      </c>
      <c r="D138" s="460">
        <v>14.2364</v>
      </c>
      <c r="E138" s="469" t="s">
        <v>291</v>
      </c>
      <c r="F138" s="459">
        <v>2.846120438876</v>
      </c>
      <c r="G138" s="460">
        <v>0.94870681295799997</v>
      </c>
      <c r="H138" s="462">
        <v>0</v>
      </c>
      <c r="I138" s="459">
        <v>0</v>
      </c>
      <c r="J138" s="460">
        <v>-0.94870681295799997</v>
      </c>
      <c r="K138" s="463">
        <v>0</v>
      </c>
    </row>
    <row r="139" spans="1:11" ht="14.4" customHeight="1" thickBot="1" x14ac:dyDescent="0.35">
      <c r="A139" s="481" t="s">
        <v>397</v>
      </c>
      <c r="B139" s="459">
        <v>15</v>
      </c>
      <c r="C139" s="459">
        <v>21.95</v>
      </c>
      <c r="D139" s="460">
        <v>6.95</v>
      </c>
      <c r="E139" s="461">
        <v>1.4633333333330001</v>
      </c>
      <c r="F139" s="459">
        <v>22.882041166322001</v>
      </c>
      <c r="G139" s="460">
        <v>7.6273470554399996</v>
      </c>
      <c r="H139" s="462">
        <v>0</v>
      </c>
      <c r="I139" s="459">
        <v>0</v>
      </c>
      <c r="J139" s="460">
        <v>-7.6273470554399996</v>
      </c>
      <c r="K139" s="463">
        <v>0</v>
      </c>
    </row>
    <row r="140" spans="1:11" ht="14.4" customHeight="1" thickBot="1" x14ac:dyDescent="0.35">
      <c r="A140" s="480" t="s">
        <v>398</v>
      </c>
      <c r="B140" s="464">
        <v>105.95972422491801</v>
      </c>
      <c r="C140" s="464">
        <v>53.945439999999998</v>
      </c>
      <c r="D140" s="465">
        <v>-52.014284224918001</v>
      </c>
      <c r="E140" s="471">
        <v>0.50911268781200003</v>
      </c>
      <c r="F140" s="464">
        <v>37.038982367144001</v>
      </c>
      <c r="G140" s="465">
        <v>12.346327455714</v>
      </c>
      <c r="H140" s="467">
        <v>0</v>
      </c>
      <c r="I140" s="464">
        <v>5.3426799999999997</v>
      </c>
      <c r="J140" s="465">
        <v>-7.0036474557139998</v>
      </c>
      <c r="K140" s="472">
        <v>0.14424478369900001</v>
      </c>
    </row>
    <row r="141" spans="1:11" ht="14.4" customHeight="1" thickBot="1" x14ac:dyDescent="0.35">
      <c r="A141" s="481" t="s">
        <v>399</v>
      </c>
      <c r="B141" s="459">
        <v>2.9597242249179998</v>
      </c>
      <c r="C141" s="459">
        <v>53.945439999999998</v>
      </c>
      <c r="D141" s="460">
        <v>50.985715775080998</v>
      </c>
      <c r="E141" s="461">
        <v>18.226508924657001</v>
      </c>
      <c r="F141" s="459">
        <v>37.038982367144001</v>
      </c>
      <c r="G141" s="460">
        <v>12.346327455714</v>
      </c>
      <c r="H141" s="462">
        <v>0</v>
      </c>
      <c r="I141" s="459">
        <v>5.3426799999999997</v>
      </c>
      <c r="J141" s="460">
        <v>-7.0036474557139998</v>
      </c>
      <c r="K141" s="463">
        <v>0.14424478369900001</v>
      </c>
    </row>
    <row r="142" spans="1:11" ht="14.4" customHeight="1" thickBot="1" x14ac:dyDescent="0.35">
      <c r="A142" s="481" t="s">
        <v>400</v>
      </c>
      <c r="B142" s="459">
        <v>103</v>
      </c>
      <c r="C142" s="459">
        <v>0</v>
      </c>
      <c r="D142" s="460">
        <v>-103</v>
      </c>
      <c r="E142" s="461">
        <v>0</v>
      </c>
      <c r="F142" s="459">
        <v>0</v>
      </c>
      <c r="G142" s="460">
        <v>0</v>
      </c>
      <c r="H142" s="462">
        <v>0</v>
      </c>
      <c r="I142" s="459">
        <v>0</v>
      </c>
      <c r="J142" s="460">
        <v>0</v>
      </c>
      <c r="K142" s="463">
        <v>4</v>
      </c>
    </row>
    <row r="143" spans="1:11" ht="14.4" customHeight="1" thickBot="1" x14ac:dyDescent="0.35">
      <c r="A143" s="480" t="s">
        <v>401</v>
      </c>
      <c r="B143" s="464">
        <v>0</v>
      </c>
      <c r="C143" s="464">
        <v>5.0609999999999999</v>
      </c>
      <c r="D143" s="465">
        <v>5.0609999999999999</v>
      </c>
      <c r="E143" s="466" t="s">
        <v>266</v>
      </c>
      <c r="F143" s="464">
        <v>4.7208109027459999</v>
      </c>
      <c r="G143" s="465">
        <v>1.573603634248</v>
      </c>
      <c r="H143" s="467">
        <v>25.898330000000001</v>
      </c>
      <c r="I143" s="464">
        <v>25.898330000000001</v>
      </c>
      <c r="J143" s="465">
        <v>24.324726365751001</v>
      </c>
      <c r="K143" s="472">
        <v>5.4859918207979996</v>
      </c>
    </row>
    <row r="144" spans="1:11" ht="14.4" customHeight="1" thickBot="1" x14ac:dyDescent="0.35">
      <c r="A144" s="481" t="s">
        <v>402</v>
      </c>
      <c r="B144" s="459">
        <v>0</v>
      </c>
      <c r="C144" s="459">
        <v>5.0609999999999999</v>
      </c>
      <c r="D144" s="460">
        <v>5.0609999999999999</v>
      </c>
      <c r="E144" s="469" t="s">
        <v>266</v>
      </c>
      <c r="F144" s="459">
        <v>4.7208109027459999</v>
      </c>
      <c r="G144" s="460">
        <v>1.573603634248</v>
      </c>
      <c r="H144" s="462">
        <v>25.854669999999999</v>
      </c>
      <c r="I144" s="459">
        <v>25.854669999999999</v>
      </c>
      <c r="J144" s="460">
        <v>24.281066365750998</v>
      </c>
      <c r="K144" s="463">
        <v>5.4767434096879999</v>
      </c>
    </row>
    <row r="145" spans="1:11" ht="14.4" customHeight="1" thickBot="1" x14ac:dyDescent="0.35">
      <c r="A145" s="481" t="s">
        <v>403</v>
      </c>
      <c r="B145" s="459">
        <v>0</v>
      </c>
      <c r="C145" s="459">
        <v>-6.6613381477509402E-16</v>
      </c>
      <c r="D145" s="460">
        <v>-6.6613381477509402E-16</v>
      </c>
      <c r="E145" s="469" t="s">
        <v>266</v>
      </c>
      <c r="F145" s="459">
        <v>0</v>
      </c>
      <c r="G145" s="460">
        <v>0</v>
      </c>
      <c r="H145" s="462">
        <v>4.3659999999999997E-2</v>
      </c>
      <c r="I145" s="459">
        <v>4.3659999999999997E-2</v>
      </c>
      <c r="J145" s="460">
        <v>4.3659999999999997E-2</v>
      </c>
      <c r="K145" s="470" t="s">
        <v>266</v>
      </c>
    </row>
    <row r="146" spans="1:11" ht="14.4" customHeight="1" thickBot="1" x14ac:dyDescent="0.35">
      <c r="A146" s="480" t="s">
        <v>404</v>
      </c>
      <c r="B146" s="464">
        <v>83707</v>
      </c>
      <c r="C146" s="464">
        <v>79311.177840000004</v>
      </c>
      <c r="D146" s="465">
        <v>-4395.8221599999797</v>
      </c>
      <c r="E146" s="471">
        <v>0.94748560860999997</v>
      </c>
      <c r="F146" s="464">
        <v>82864.176818851905</v>
      </c>
      <c r="G146" s="465">
        <v>27621.392272950601</v>
      </c>
      <c r="H146" s="467">
        <v>2565.4374600000001</v>
      </c>
      <c r="I146" s="464">
        <v>15739.525439999999</v>
      </c>
      <c r="J146" s="465">
        <v>-11881.8668329506</v>
      </c>
      <c r="K146" s="472">
        <v>0.189943664973</v>
      </c>
    </row>
    <row r="147" spans="1:11" ht="14.4" customHeight="1" thickBot="1" x14ac:dyDescent="0.35">
      <c r="A147" s="481" t="s">
        <v>405</v>
      </c>
      <c r="B147" s="459">
        <v>32237</v>
      </c>
      <c r="C147" s="459">
        <v>30860.470740000001</v>
      </c>
      <c r="D147" s="460">
        <v>-1376.52925999999</v>
      </c>
      <c r="E147" s="461">
        <v>0.95729970965</v>
      </c>
      <c r="F147" s="459">
        <v>33634.274548514797</v>
      </c>
      <c r="G147" s="460">
        <v>11211.4248495049</v>
      </c>
      <c r="H147" s="462">
        <v>1248.99486</v>
      </c>
      <c r="I147" s="459">
        <v>5486.4607699999997</v>
      </c>
      <c r="J147" s="460">
        <v>-5724.9640795049399</v>
      </c>
      <c r="K147" s="463">
        <v>0.163121126994</v>
      </c>
    </row>
    <row r="148" spans="1:11" ht="14.4" customHeight="1" thickBot="1" x14ac:dyDescent="0.35">
      <c r="A148" s="481" t="s">
        <v>406</v>
      </c>
      <c r="B148" s="459">
        <v>51470</v>
      </c>
      <c r="C148" s="459">
        <v>48450.7071</v>
      </c>
      <c r="D148" s="460">
        <v>-3019.2928999999999</v>
      </c>
      <c r="E148" s="461">
        <v>0.94133878181399999</v>
      </c>
      <c r="F148" s="459">
        <v>49229.902270337101</v>
      </c>
      <c r="G148" s="460">
        <v>16409.967423445702</v>
      </c>
      <c r="H148" s="462">
        <v>1316.4426000000001</v>
      </c>
      <c r="I148" s="459">
        <v>10253.06467</v>
      </c>
      <c r="J148" s="460">
        <v>-6156.9027534457</v>
      </c>
      <c r="K148" s="463">
        <v>0.20826904375499999</v>
      </c>
    </row>
    <row r="149" spans="1:11" ht="14.4" customHeight="1" thickBot="1" x14ac:dyDescent="0.35">
      <c r="A149" s="480" t="s">
        <v>407</v>
      </c>
      <c r="B149" s="464">
        <v>0</v>
      </c>
      <c r="C149" s="464">
        <v>2396.3716300000001</v>
      </c>
      <c r="D149" s="465">
        <v>2396.3716300000001</v>
      </c>
      <c r="E149" s="466" t="s">
        <v>266</v>
      </c>
      <c r="F149" s="464">
        <v>0</v>
      </c>
      <c r="G149" s="465">
        <v>0</v>
      </c>
      <c r="H149" s="467">
        <v>0</v>
      </c>
      <c r="I149" s="464">
        <v>1865.2687000000001</v>
      </c>
      <c r="J149" s="465">
        <v>1865.2687000000001</v>
      </c>
      <c r="K149" s="468" t="s">
        <v>266</v>
      </c>
    </row>
    <row r="150" spans="1:11" ht="14.4" customHeight="1" thickBot="1" x14ac:dyDescent="0.35">
      <c r="A150" s="481" t="s">
        <v>408</v>
      </c>
      <c r="B150" s="459">
        <v>0</v>
      </c>
      <c r="C150" s="459">
        <v>1562.8987400000001</v>
      </c>
      <c r="D150" s="460">
        <v>1562.8987400000001</v>
      </c>
      <c r="E150" s="469" t="s">
        <v>266</v>
      </c>
      <c r="F150" s="459">
        <v>0</v>
      </c>
      <c r="G150" s="460">
        <v>0</v>
      </c>
      <c r="H150" s="462">
        <v>0</v>
      </c>
      <c r="I150" s="459">
        <v>0</v>
      </c>
      <c r="J150" s="460">
        <v>0</v>
      </c>
      <c r="K150" s="470" t="s">
        <v>266</v>
      </c>
    </row>
    <row r="151" spans="1:11" ht="14.4" customHeight="1" thickBot="1" x14ac:dyDescent="0.35">
      <c r="A151" s="481" t="s">
        <v>409</v>
      </c>
      <c r="B151" s="459">
        <v>0</v>
      </c>
      <c r="C151" s="459">
        <v>833.47289000000001</v>
      </c>
      <c r="D151" s="460">
        <v>833.47289000000001</v>
      </c>
      <c r="E151" s="469" t="s">
        <v>266</v>
      </c>
      <c r="F151" s="459">
        <v>0</v>
      </c>
      <c r="G151" s="460">
        <v>0</v>
      </c>
      <c r="H151" s="462">
        <v>0</v>
      </c>
      <c r="I151" s="459">
        <v>1865.2687000000001</v>
      </c>
      <c r="J151" s="460">
        <v>1865.2687000000001</v>
      </c>
      <c r="K151" s="470" t="s">
        <v>266</v>
      </c>
    </row>
    <row r="152" spans="1:11" ht="14.4" customHeight="1" thickBot="1" x14ac:dyDescent="0.35">
      <c r="A152" s="478" t="s">
        <v>410</v>
      </c>
      <c r="B152" s="459">
        <v>26.366751277681001</v>
      </c>
      <c r="C152" s="459">
        <v>53.25376</v>
      </c>
      <c r="D152" s="460">
        <v>26.887008722318001</v>
      </c>
      <c r="E152" s="461">
        <v>2.0197315717489999</v>
      </c>
      <c r="F152" s="459">
        <v>34.502118916157997</v>
      </c>
      <c r="G152" s="460">
        <v>11.500706305386</v>
      </c>
      <c r="H152" s="462">
        <v>0</v>
      </c>
      <c r="I152" s="459">
        <v>8.2644599999999997</v>
      </c>
      <c r="J152" s="460">
        <v>-3.236246305386</v>
      </c>
      <c r="K152" s="463">
        <v>0.239534853499</v>
      </c>
    </row>
    <row r="153" spans="1:11" ht="14.4" customHeight="1" thickBot="1" x14ac:dyDescent="0.35">
      <c r="A153" s="479" t="s">
        <v>411</v>
      </c>
      <c r="B153" s="459">
        <v>0</v>
      </c>
      <c r="C153" s="459">
        <v>30.75</v>
      </c>
      <c r="D153" s="460">
        <v>30.75</v>
      </c>
      <c r="E153" s="469" t="s">
        <v>266</v>
      </c>
      <c r="F153" s="459">
        <v>0</v>
      </c>
      <c r="G153" s="460">
        <v>0</v>
      </c>
      <c r="H153" s="462">
        <v>0</v>
      </c>
      <c r="I153" s="459">
        <v>0</v>
      </c>
      <c r="J153" s="460">
        <v>0</v>
      </c>
      <c r="K153" s="470" t="s">
        <v>266</v>
      </c>
    </row>
    <row r="154" spans="1:11" ht="14.4" customHeight="1" thickBot="1" x14ac:dyDescent="0.35">
      <c r="A154" s="480" t="s">
        <v>412</v>
      </c>
      <c r="B154" s="464">
        <v>0</v>
      </c>
      <c r="C154" s="464">
        <v>30.75</v>
      </c>
      <c r="D154" s="465">
        <v>30.75</v>
      </c>
      <c r="E154" s="466" t="s">
        <v>291</v>
      </c>
      <c r="F154" s="464">
        <v>0</v>
      </c>
      <c r="G154" s="465">
        <v>0</v>
      </c>
      <c r="H154" s="467">
        <v>0</v>
      </c>
      <c r="I154" s="464">
        <v>0</v>
      </c>
      <c r="J154" s="465">
        <v>0</v>
      </c>
      <c r="K154" s="468" t="s">
        <v>266</v>
      </c>
    </row>
    <row r="155" spans="1:11" ht="14.4" customHeight="1" thickBot="1" x14ac:dyDescent="0.35">
      <c r="A155" s="481" t="s">
        <v>413</v>
      </c>
      <c r="B155" s="459">
        <v>0</v>
      </c>
      <c r="C155" s="459">
        <v>30.75</v>
      </c>
      <c r="D155" s="460">
        <v>30.75</v>
      </c>
      <c r="E155" s="469" t="s">
        <v>291</v>
      </c>
      <c r="F155" s="459">
        <v>0</v>
      </c>
      <c r="G155" s="460">
        <v>0</v>
      </c>
      <c r="H155" s="462">
        <v>0</v>
      </c>
      <c r="I155" s="459">
        <v>0</v>
      </c>
      <c r="J155" s="460">
        <v>0</v>
      </c>
      <c r="K155" s="470" t="s">
        <v>266</v>
      </c>
    </row>
    <row r="156" spans="1:11" ht="14.4" customHeight="1" thickBot="1" x14ac:dyDescent="0.35">
      <c r="A156" s="484" t="s">
        <v>414</v>
      </c>
      <c r="B156" s="464">
        <v>26.366751277681001</v>
      </c>
      <c r="C156" s="464">
        <v>22.50376</v>
      </c>
      <c r="D156" s="465">
        <v>-3.862991277681</v>
      </c>
      <c r="E156" s="471">
        <v>0.853490055069</v>
      </c>
      <c r="F156" s="464">
        <v>34.502118916157997</v>
      </c>
      <c r="G156" s="465">
        <v>11.500706305386</v>
      </c>
      <c r="H156" s="467">
        <v>0</v>
      </c>
      <c r="I156" s="464">
        <v>8.2644599999999997</v>
      </c>
      <c r="J156" s="465">
        <v>-3.236246305386</v>
      </c>
      <c r="K156" s="472">
        <v>0.239534853499</v>
      </c>
    </row>
    <row r="157" spans="1:11" ht="14.4" customHeight="1" thickBot="1" x14ac:dyDescent="0.35">
      <c r="A157" s="480" t="s">
        <v>415</v>
      </c>
      <c r="B157" s="464">
        <v>0</v>
      </c>
      <c r="C157" s="464">
        <v>-3.6000000000000002E-4</v>
      </c>
      <c r="D157" s="465">
        <v>-3.6000000000000002E-4</v>
      </c>
      <c r="E157" s="466" t="s">
        <v>266</v>
      </c>
      <c r="F157" s="464">
        <v>0</v>
      </c>
      <c r="G157" s="465">
        <v>0</v>
      </c>
      <c r="H157" s="467">
        <v>0</v>
      </c>
      <c r="I157" s="464">
        <v>0</v>
      </c>
      <c r="J157" s="465">
        <v>0</v>
      </c>
      <c r="K157" s="468" t="s">
        <v>266</v>
      </c>
    </row>
    <row r="158" spans="1:11" ht="14.4" customHeight="1" thickBot="1" x14ac:dyDescent="0.35">
      <c r="A158" s="481" t="s">
        <v>416</v>
      </c>
      <c r="B158" s="459">
        <v>0</v>
      </c>
      <c r="C158" s="459">
        <v>-3.6000000000000002E-4</v>
      </c>
      <c r="D158" s="460">
        <v>-3.6000000000000002E-4</v>
      </c>
      <c r="E158" s="469" t="s">
        <v>266</v>
      </c>
      <c r="F158" s="459">
        <v>0</v>
      </c>
      <c r="G158" s="460">
        <v>0</v>
      </c>
      <c r="H158" s="462">
        <v>0</v>
      </c>
      <c r="I158" s="459">
        <v>0</v>
      </c>
      <c r="J158" s="460">
        <v>0</v>
      </c>
      <c r="K158" s="470" t="s">
        <v>266</v>
      </c>
    </row>
    <row r="159" spans="1:11" ht="14.4" customHeight="1" thickBot="1" x14ac:dyDescent="0.35">
      <c r="A159" s="480" t="s">
        <v>417</v>
      </c>
      <c r="B159" s="464">
        <v>26.366751277681001</v>
      </c>
      <c r="C159" s="464">
        <v>22.50412</v>
      </c>
      <c r="D159" s="465">
        <v>-3.8626312776809999</v>
      </c>
      <c r="E159" s="471">
        <v>0.85350370862900005</v>
      </c>
      <c r="F159" s="464">
        <v>34.502118916157997</v>
      </c>
      <c r="G159" s="465">
        <v>11.500706305386</v>
      </c>
      <c r="H159" s="467">
        <v>0</v>
      </c>
      <c r="I159" s="464">
        <v>8.2644599999999997</v>
      </c>
      <c r="J159" s="465">
        <v>-3.236246305386</v>
      </c>
      <c r="K159" s="472">
        <v>0.239534853499</v>
      </c>
    </row>
    <row r="160" spans="1:11" ht="14.4" customHeight="1" thickBot="1" x14ac:dyDescent="0.35">
      <c r="A160" s="481" t="s">
        <v>418</v>
      </c>
      <c r="B160" s="459">
        <v>26.366751277681001</v>
      </c>
      <c r="C160" s="459">
        <v>22.50412</v>
      </c>
      <c r="D160" s="460">
        <v>-3.8626312776809999</v>
      </c>
      <c r="E160" s="461">
        <v>0.85350370862900005</v>
      </c>
      <c r="F160" s="459">
        <v>34.502118916157997</v>
      </c>
      <c r="G160" s="460">
        <v>11.500706305386</v>
      </c>
      <c r="H160" s="462">
        <v>0</v>
      </c>
      <c r="I160" s="459">
        <v>8.2644599999999997</v>
      </c>
      <c r="J160" s="460">
        <v>-3.236246305386</v>
      </c>
      <c r="K160" s="463">
        <v>0.239534853499</v>
      </c>
    </row>
    <row r="161" spans="1:11" ht="14.4" customHeight="1" thickBot="1" x14ac:dyDescent="0.35">
      <c r="A161" s="478" t="s">
        <v>419</v>
      </c>
      <c r="B161" s="459">
        <v>0</v>
      </c>
      <c r="C161" s="459">
        <v>0.91034999999999999</v>
      </c>
      <c r="D161" s="460">
        <v>0.91034999999999999</v>
      </c>
      <c r="E161" s="469" t="s">
        <v>266</v>
      </c>
      <c r="F161" s="459">
        <v>0</v>
      </c>
      <c r="G161" s="460">
        <v>0</v>
      </c>
      <c r="H161" s="462">
        <v>0</v>
      </c>
      <c r="I161" s="459">
        <v>0</v>
      </c>
      <c r="J161" s="460">
        <v>0</v>
      </c>
      <c r="K161" s="470" t="s">
        <v>266</v>
      </c>
    </row>
    <row r="162" spans="1:11" ht="14.4" customHeight="1" thickBot="1" x14ac:dyDescent="0.35">
      <c r="A162" s="484" t="s">
        <v>420</v>
      </c>
      <c r="B162" s="464">
        <v>0</v>
      </c>
      <c r="C162" s="464">
        <v>0.91034999999999999</v>
      </c>
      <c r="D162" s="465">
        <v>0.91034999999999999</v>
      </c>
      <c r="E162" s="466" t="s">
        <v>266</v>
      </c>
      <c r="F162" s="464">
        <v>0</v>
      </c>
      <c r="G162" s="465">
        <v>0</v>
      </c>
      <c r="H162" s="467">
        <v>0</v>
      </c>
      <c r="I162" s="464">
        <v>0</v>
      </c>
      <c r="J162" s="465">
        <v>0</v>
      </c>
      <c r="K162" s="468" t="s">
        <v>266</v>
      </c>
    </row>
    <row r="163" spans="1:11" ht="14.4" customHeight="1" thickBot="1" x14ac:dyDescent="0.35">
      <c r="A163" s="480" t="s">
        <v>421</v>
      </c>
      <c r="B163" s="464">
        <v>0</v>
      </c>
      <c r="C163" s="464">
        <v>0.91034999999999999</v>
      </c>
      <c r="D163" s="465">
        <v>0.91034999999999999</v>
      </c>
      <c r="E163" s="466" t="s">
        <v>266</v>
      </c>
      <c r="F163" s="464">
        <v>0</v>
      </c>
      <c r="G163" s="465">
        <v>0</v>
      </c>
      <c r="H163" s="467">
        <v>0</v>
      </c>
      <c r="I163" s="464">
        <v>0</v>
      </c>
      <c r="J163" s="465">
        <v>0</v>
      </c>
      <c r="K163" s="468" t="s">
        <v>266</v>
      </c>
    </row>
    <row r="164" spans="1:11" ht="14.4" customHeight="1" thickBot="1" x14ac:dyDescent="0.35">
      <c r="A164" s="481" t="s">
        <v>422</v>
      </c>
      <c r="B164" s="459">
        <v>0</v>
      </c>
      <c r="C164" s="459">
        <v>0.91034999999999999</v>
      </c>
      <c r="D164" s="460">
        <v>0.91034999999999999</v>
      </c>
      <c r="E164" s="469" t="s">
        <v>266</v>
      </c>
      <c r="F164" s="459">
        <v>0</v>
      </c>
      <c r="G164" s="460">
        <v>0</v>
      </c>
      <c r="H164" s="462">
        <v>0</v>
      </c>
      <c r="I164" s="459">
        <v>0</v>
      </c>
      <c r="J164" s="460">
        <v>0</v>
      </c>
      <c r="K164" s="470" t="s">
        <v>266</v>
      </c>
    </row>
    <row r="165" spans="1:11" ht="14.4" customHeight="1" thickBot="1" x14ac:dyDescent="0.35">
      <c r="A165" s="477" t="s">
        <v>423</v>
      </c>
      <c r="B165" s="459">
        <v>2687.0938758759899</v>
      </c>
      <c r="C165" s="459">
        <v>3086.02709</v>
      </c>
      <c r="D165" s="460">
        <v>398.93321412401298</v>
      </c>
      <c r="E165" s="461">
        <v>1.1484627008029999</v>
      </c>
      <c r="F165" s="459">
        <v>3186.8240487186699</v>
      </c>
      <c r="G165" s="460">
        <v>1062.2746829062201</v>
      </c>
      <c r="H165" s="462">
        <v>250.78326000000001</v>
      </c>
      <c r="I165" s="459">
        <v>986.45757000000003</v>
      </c>
      <c r="J165" s="460">
        <v>-75.817112906223997</v>
      </c>
      <c r="K165" s="463">
        <v>0.30954252726800002</v>
      </c>
    </row>
    <row r="166" spans="1:11" ht="14.4" customHeight="1" thickBot="1" x14ac:dyDescent="0.35">
      <c r="A166" s="482" t="s">
        <v>424</v>
      </c>
      <c r="B166" s="464">
        <v>2687.0938758759899</v>
      </c>
      <c r="C166" s="464">
        <v>3086.02709</v>
      </c>
      <c r="D166" s="465">
        <v>398.93321412401298</v>
      </c>
      <c r="E166" s="471">
        <v>1.1484627008029999</v>
      </c>
      <c r="F166" s="464">
        <v>3186.8240487186699</v>
      </c>
      <c r="G166" s="465">
        <v>1062.2746829062201</v>
      </c>
      <c r="H166" s="467">
        <v>250.78326000000001</v>
      </c>
      <c r="I166" s="464">
        <v>986.45757000000003</v>
      </c>
      <c r="J166" s="465">
        <v>-75.817112906223997</v>
      </c>
      <c r="K166" s="472">
        <v>0.30954252726800002</v>
      </c>
    </row>
    <row r="167" spans="1:11" ht="14.4" customHeight="1" thickBot="1" x14ac:dyDescent="0.35">
      <c r="A167" s="484" t="s">
        <v>54</v>
      </c>
      <c r="B167" s="464">
        <v>2687.0938758759899</v>
      </c>
      <c r="C167" s="464">
        <v>3086.02709</v>
      </c>
      <c r="D167" s="465">
        <v>398.93321412401298</v>
      </c>
      <c r="E167" s="471">
        <v>1.1484627008029999</v>
      </c>
      <c r="F167" s="464">
        <v>3186.8240487186699</v>
      </c>
      <c r="G167" s="465">
        <v>1062.2746829062201</v>
      </c>
      <c r="H167" s="467">
        <v>250.78326000000001</v>
      </c>
      <c r="I167" s="464">
        <v>986.45757000000003</v>
      </c>
      <c r="J167" s="465">
        <v>-75.817112906223997</v>
      </c>
      <c r="K167" s="472">
        <v>0.30954252726800002</v>
      </c>
    </row>
    <row r="168" spans="1:11" ht="14.4" customHeight="1" thickBot="1" x14ac:dyDescent="0.35">
      <c r="A168" s="483" t="s">
        <v>425</v>
      </c>
      <c r="B168" s="459">
        <v>0</v>
      </c>
      <c r="C168" s="459">
        <v>0.26645999999999997</v>
      </c>
      <c r="D168" s="460">
        <v>0.26645999999999997</v>
      </c>
      <c r="E168" s="469" t="s">
        <v>291</v>
      </c>
      <c r="F168" s="459">
        <v>0</v>
      </c>
      <c r="G168" s="460">
        <v>0</v>
      </c>
      <c r="H168" s="462">
        <v>0</v>
      </c>
      <c r="I168" s="459">
        <v>1.9910000000000001E-2</v>
      </c>
      <c r="J168" s="460">
        <v>1.9910000000000001E-2</v>
      </c>
      <c r="K168" s="470" t="s">
        <v>291</v>
      </c>
    </row>
    <row r="169" spans="1:11" ht="14.4" customHeight="1" thickBot="1" x14ac:dyDescent="0.35">
      <c r="A169" s="481" t="s">
        <v>426</v>
      </c>
      <c r="B169" s="459">
        <v>0</v>
      </c>
      <c r="C169" s="459">
        <v>0.26645999999999997</v>
      </c>
      <c r="D169" s="460">
        <v>0.26645999999999997</v>
      </c>
      <c r="E169" s="469" t="s">
        <v>291</v>
      </c>
      <c r="F169" s="459">
        <v>0</v>
      </c>
      <c r="G169" s="460">
        <v>0</v>
      </c>
      <c r="H169" s="462">
        <v>0</v>
      </c>
      <c r="I169" s="459">
        <v>1.9910000000000001E-2</v>
      </c>
      <c r="J169" s="460">
        <v>1.9910000000000001E-2</v>
      </c>
      <c r="K169" s="470" t="s">
        <v>291</v>
      </c>
    </row>
    <row r="170" spans="1:11" ht="14.4" customHeight="1" thickBot="1" x14ac:dyDescent="0.35">
      <c r="A170" s="480" t="s">
        <v>427</v>
      </c>
      <c r="B170" s="464">
        <v>43.736732114764003</v>
      </c>
      <c r="C170" s="464">
        <v>39.311999999999998</v>
      </c>
      <c r="D170" s="465">
        <v>-4.4247321147639997</v>
      </c>
      <c r="E170" s="471">
        <v>0.89883258531599997</v>
      </c>
      <c r="F170" s="464">
        <v>30.842748270925998</v>
      </c>
      <c r="G170" s="465">
        <v>10.280916090308001</v>
      </c>
      <c r="H170" s="467">
        <v>2.1</v>
      </c>
      <c r="I170" s="464">
        <v>7.0990000000000002</v>
      </c>
      <c r="J170" s="465">
        <v>-3.1819160903079999</v>
      </c>
      <c r="K170" s="472">
        <v>0.23016755632899999</v>
      </c>
    </row>
    <row r="171" spans="1:11" ht="14.4" customHeight="1" thickBot="1" x14ac:dyDescent="0.35">
      <c r="A171" s="481" t="s">
        <v>428</v>
      </c>
      <c r="B171" s="459">
        <v>43.736732114764003</v>
      </c>
      <c r="C171" s="459">
        <v>39.311999999999998</v>
      </c>
      <c r="D171" s="460">
        <v>-4.4247321147639997</v>
      </c>
      <c r="E171" s="461">
        <v>0.89883258531599997</v>
      </c>
      <c r="F171" s="459">
        <v>30.842748270925998</v>
      </c>
      <c r="G171" s="460">
        <v>10.280916090308001</v>
      </c>
      <c r="H171" s="462">
        <v>2.1</v>
      </c>
      <c r="I171" s="459">
        <v>7.0990000000000002</v>
      </c>
      <c r="J171" s="460">
        <v>-3.1819160903079999</v>
      </c>
      <c r="K171" s="463">
        <v>0.23016755632899999</v>
      </c>
    </row>
    <row r="172" spans="1:11" ht="14.4" customHeight="1" thickBot="1" x14ac:dyDescent="0.35">
      <c r="A172" s="480" t="s">
        <v>429</v>
      </c>
      <c r="B172" s="464">
        <v>5.6046283929170002</v>
      </c>
      <c r="C172" s="464">
        <v>38.749639999999999</v>
      </c>
      <c r="D172" s="465">
        <v>33.145011607081997</v>
      </c>
      <c r="E172" s="471">
        <v>6.9138642713519998</v>
      </c>
      <c r="F172" s="464">
        <v>2.9555333374739998</v>
      </c>
      <c r="G172" s="465">
        <v>0.98517777915799998</v>
      </c>
      <c r="H172" s="467">
        <v>0.29399999999999998</v>
      </c>
      <c r="I172" s="464">
        <v>0.92903999999999998</v>
      </c>
      <c r="J172" s="465">
        <v>-5.6137779158000001E-2</v>
      </c>
      <c r="K172" s="472">
        <v>0.31433920511699998</v>
      </c>
    </row>
    <row r="173" spans="1:11" ht="14.4" customHeight="1" thickBot="1" x14ac:dyDescent="0.35">
      <c r="A173" s="481" t="s">
        <v>430</v>
      </c>
      <c r="B173" s="459">
        <v>0.86427441196999999</v>
      </c>
      <c r="C173" s="459">
        <v>0.37</v>
      </c>
      <c r="D173" s="460">
        <v>-0.49427441196999999</v>
      </c>
      <c r="E173" s="461">
        <v>0.42810477190500001</v>
      </c>
      <c r="F173" s="459">
        <v>0</v>
      </c>
      <c r="G173" s="460">
        <v>0</v>
      </c>
      <c r="H173" s="462">
        <v>0</v>
      </c>
      <c r="I173" s="459">
        <v>0</v>
      </c>
      <c r="J173" s="460">
        <v>0</v>
      </c>
      <c r="K173" s="463">
        <v>4</v>
      </c>
    </row>
    <row r="174" spans="1:11" ht="14.4" customHeight="1" thickBot="1" x14ac:dyDescent="0.35">
      <c r="A174" s="481" t="s">
        <v>431</v>
      </c>
      <c r="B174" s="459">
        <v>0</v>
      </c>
      <c r="C174" s="459">
        <v>33.613900000000001</v>
      </c>
      <c r="D174" s="460">
        <v>33.613900000000001</v>
      </c>
      <c r="E174" s="469" t="s">
        <v>291</v>
      </c>
      <c r="F174" s="459">
        <v>0</v>
      </c>
      <c r="G174" s="460">
        <v>0</v>
      </c>
      <c r="H174" s="462">
        <v>0</v>
      </c>
      <c r="I174" s="459">
        <v>0</v>
      </c>
      <c r="J174" s="460">
        <v>0</v>
      </c>
      <c r="K174" s="463">
        <v>4</v>
      </c>
    </row>
    <row r="175" spans="1:11" ht="14.4" customHeight="1" thickBot="1" x14ac:dyDescent="0.35">
      <c r="A175" s="481" t="s">
        <v>432</v>
      </c>
      <c r="B175" s="459">
        <v>4.7403539809469999</v>
      </c>
      <c r="C175" s="459">
        <v>4.7657400000000001</v>
      </c>
      <c r="D175" s="460">
        <v>2.5386019052000001E-2</v>
      </c>
      <c r="E175" s="461">
        <v>1.00535530029</v>
      </c>
      <c r="F175" s="459">
        <v>2.9555333374739998</v>
      </c>
      <c r="G175" s="460">
        <v>0.98517777915799998</v>
      </c>
      <c r="H175" s="462">
        <v>0.29399999999999998</v>
      </c>
      <c r="I175" s="459">
        <v>0.92903999999999998</v>
      </c>
      <c r="J175" s="460">
        <v>-5.6137779158000001E-2</v>
      </c>
      <c r="K175" s="463">
        <v>0.31433920511699998</v>
      </c>
    </row>
    <row r="176" spans="1:11" ht="14.4" customHeight="1" thickBot="1" x14ac:dyDescent="0.35">
      <c r="A176" s="480" t="s">
        <v>433</v>
      </c>
      <c r="B176" s="464">
        <v>28.456696253408001</v>
      </c>
      <c r="C176" s="464">
        <v>28.821000000000002</v>
      </c>
      <c r="D176" s="465">
        <v>0.36430374659100001</v>
      </c>
      <c r="E176" s="471">
        <v>1.012802039398</v>
      </c>
      <c r="F176" s="464">
        <v>25.692542087014999</v>
      </c>
      <c r="G176" s="465">
        <v>8.5641806956710003</v>
      </c>
      <c r="H176" s="467">
        <v>2.2835999999999999</v>
      </c>
      <c r="I176" s="464">
        <v>9.4811999999999994</v>
      </c>
      <c r="J176" s="465">
        <v>0.91701930432800005</v>
      </c>
      <c r="K176" s="472">
        <v>0.36902537584200001</v>
      </c>
    </row>
    <row r="177" spans="1:11" ht="14.4" customHeight="1" thickBot="1" x14ac:dyDescent="0.35">
      <c r="A177" s="481" t="s">
        <v>434</v>
      </c>
      <c r="B177" s="459">
        <v>28.456696253408001</v>
      </c>
      <c r="C177" s="459">
        <v>28.821000000000002</v>
      </c>
      <c r="D177" s="460">
        <v>0.36430374659100001</v>
      </c>
      <c r="E177" s="461">
        <v>1.012802039398</v>
      </c>
      <c r="F177" s="459">
        <v>25.692542087014999</v>
      </c>
      <c r="G177" s="460">
        <v>8.5641806956710003</v>
      </c>
      <c r="H177" s="462">
        <v>2.2835999999999999</v>
      </c>
      <c r="I177" s="459">
        <v>9.4811999999999994</v>
      </c>
      <c r="J177" s="460">
        <v>0.91701930432800005</v>
      </c>
      <c r="K177" s="463">
        <v>0.36902537584200001</v>
      </c>
    </row>
    <row r="178" spans="1:11" ht="14.4" customHeight="1" thickBot="1" x14ac:dyDescent="0.35">
      <c r="A178" s="480" t="s">
        <v>435</v>
      </c>
      <c r="B178" s="464">
        <v>976.66972448137301</v>
      </c>
      <c r="C178" s="464">
        <v>1001.59162</v>
      </c>
      <c r="D178" s="465">
        <v>24.921895518627</v>
      </c>
      <c r="E178" s="471">
        <v>1.0255172192740001</v>
      </c>
      <c r="F178" s="464">
        <v>1246.84697830854</v>
      </c>
      <c r="G178" s="465">
        <v>415.61565943618098</v>
      </c>
      <c r="H178" s="467">
        <v>62.759869999999999</v>
      </c>
      <c r="I178" s="464">
        <v>304.30016000000001</v>
      </c>
      <c r="J178" s="465">
        <v>-111.315499436181</v>
      </c>
      <c r="K178" s="472">
        <v>0.244055738429</v>
      </c>
    </row>
    <row r="179" spans="1:11" ht="14.4" customHeight="1" thickBot="1" x14ac:dyDescent="0.35">
      <c r="A179" s="481" t="s">
        <v>436</v>
      </c>
      <c r="B179" s="459">
        <v>976.66972448137301</v>
      </c>
      <c r="C179" s="459">
        <v>1001.59162</v>
      </c>
      <c r="D179" s="460">
        <v>24.921895518627</v>
      </c>
      <c r="E179" s="461">
        <v>1.0255172192740001</v>
      </c>
      <c r="F179" s="459">
        <v>1246.84697830854</v>
      </c>
      <c r="G179" s="460">
        <v>415.61565943618098</v>
      </c>
      <c r="H179" s="462">
        <v>62.759869999999999</v>
      </c>
      <c r="I179" s="459">
        <v>304.30016000000001</v>
      </c>
      <c r="J179" s="460">
        <v>-111.315499436181</v>
      </c>
      <c r="K179" s="463">
        <v>0.244055738429</v>
      </c>
    </row>
    <row r="180" spans="1:11" ht="14.4" customHeight="1" thickBot="1" x14ac:dyDescent="0.35">
      <c r="A180" s="480" t="s">
        <v>437</v>
      </c>
      <c r="B180" s="464">
        <v>0</v>
      </c>
      <c r="C180" s="464">
        <v>0.56952000000000003</v>
      </c>
      <c r="D180" s="465">
        <v>0.56952000000000003</v>
      </c>
      <c r="E180" s="466" t="s">
        <v>291</v>
      </c>
      <c r="F180" s="464">
        <v>0</v>
      </c>
      <c r="G180" s="465">
        <v>0</v>
      </c>
      <c r="H180" s="467">
        <v>0</v>
      </c>
      <c r="I180" s="464">
        <v>0</v>
      </c>
      <c r="J180" s="465">
        <v>0</v>
      </c>
      <c r="K180" s="472">
        <v>4</v>
      </c>
    </row>
    <row r="181" spans="1:11" ht="14.4" customHeight="1" thickBot="1" x14ac:dyDescent="0.35">
      <c r="A181" s="481" t="s">
        <v>438</v>
      </c>
      <c r="B181" s="459">
        <v>0</v>
      </c>
      <c r="C181" s="459">
        <v>0.56952000000000003</v>
      </c>
      <c r="D181" s="460">
        <v>0.56952000000000003</v>
      </c>
      <c r="E181" s="469" t="s">
        <v>291</v>
      </c>
      <c r="F181" s="459">
        <v>0</v>
      </c>
      <c r="G181" s="460">
        <v>0</v>
      </c>
      <c r="H181" s="462">
        <v>0</v>
      </c>
      <c r="I181" s="459">
        <v>0</v>
      </c>
      <c r="J181" s="460">
        <v>0</v>
      </c>
      <c r="K181" s="463">
        <v>4</v>
      </c>
    </row>
    <row r="182" spans="1:11" ht="14.4" customHeight="1" thickBot="1" x14ac:dyDescent="0.35">
      <c r="A182" s="480" t="s">
        <v>439</v>
      </c>
      <c r="B182" s="464">
        <v>1632.6260946335201</v>
      </c>
      <c r="C182" s="464">
        <v>1976.71685</v>
      </c>
      <c r="D182" s="465">
        <v>344.09075536647703</v>
      </c>
      <c r="E182" s="471">
        <v>1.210759068777</v>
      </c>
      <c r="F182" s="464">
        <v>1880.48624671471</v>
      </c>
      <c r="G182" s="465">
        <v>626.82874890490496</v>
      </c>
      <c r="H182" s="467">
        <v>183.34578999999999</v>
      </c>
      <c r="I182" s="464">
        <v>664.62825999999995</v>
      </c>
      <c r="J182" s="465">
        <v>37.799511095094999</v>
      </c>
      <c r="K182" s="472">
        <v>0.353434257315</v>
      </c>
    </row>
    <row r="183" spans="1:11" ht="14.4" customHeight="1" thickBot="1" x14ac:dyDescent="0.35">
      <c r="A183" s="481" t="s">
        <v>440</v>
      </c>
      <c r="B183" s="459">
        <v>1632.6260946335201</v>
      </c>
      <c r="C183" s="459">
        <v>1976.71685</v>
      </c>
      <c r="D183" s="460">
        <v>344.09075536647703</v>
      </c>
      <c r="E183" s="461">
        <v>1.210759068777</v>
      </c>
      <c r="F183" s="459">
        <v>1880.48624671471</v>
      </c>
      <c r="G183" s="460">
        <v>626.82874890490496</v>
      </c>
      <c r="H183" s="462">
        <v>183.34578999999999</v>
      </c>
      <c r="I183" s="459">
        <v>664.62825999999995</v>
      </c>
      <c r="J183" s="460">
        <v>37.799511095094999</v>
      </c>
      <c r="K183" s="463">
        <v>0.353434257315</v>
      </c>
    </row>
    <row r="184" spans="1:11" ht="14.4" customHeight="1" thickBot="1" x14ac:dyDescent="0.35">
      <c r="A184" s="485"/>
      <c r="B184" s="459">
        <v>56224.141762065898</v>
      </c>
      <c r="C184" s="459">
        <v>51629.539839999998</v>
      </c>
      <c r="D184" s="460">
        <v>-4594.60192206586</v>
      </c>
      <c r="E184" s="461">
        <v>0.91828062148900003</v>
      </c>
      <c r="F184" s="459">
        <v>52909.815094625003</v>
      </c>
      <c r="G184" s="460">
        <v>17636.605031541701</v>
      </c>
      <c r="H184" s="462">
        <v>-24.811920000011</v>
      </c>
      <c r="I184" s="459">
        <v>8295.2445699999898</v>
      </c>
      <c r="J184" s="460">
        <v>-9341.3604615416607</v>
      </c>
      <c r="K184" s="463">
        <v>0.156780827057</v>
      </c>
    </row>
    <row r="185" spans="1:11" ht="14.4" customHeight="1" thickBot="1" x14ac:dyDescent="0.35">
      <c r="A185" s="486" t="s">
        <v>66</v>
      </c>
      <c r="B185" s="473">
        <v>56224.141762065898</v>
      </c>
      <c r="C185" s="473">
        <v>51629.539839999998</v>
      </c>
      <c r="D185" s="474">
        <v>-4594.60192206585</v>
      </c>
      <c r="E185" s="475">
        <v>-1.259622245229</v>
      </c>
      <c r="F185" s="473">
        <v>52909.815094625003</v>
      </c>
      <c r="G185" s="474">
        <v>17636.605031541701</v>
      </c>
      <c r="H185" s="473">
        <v>-24.811920000011</v>
      </c>
      <c r="I185" s="473">
        <v>8295.2445699999898</v>
      </c>
      <c r="J185" s="474">
        <v>-9341.3604615416607</v>
      </c>
      <c r="K185" s="476">
        <v>0.156780827057</v>
      </c>
    </row>
  </sheetData>
  <autoFilter ref="A5"/>
  <mergeCells count="8">
    <mergeCell ref="A1:K1"/>
    <mergeCell ref="B3:E4"/>
    <mergeCell ref="F3:K3"/>
    <mergeCell ref="F4:F5"/>
    <mergeCell ref="G4:G5"/>
    <mergeCell ref="I4:I5"/>
    <mergeCell ref="J4:J5"/>
    <mergeCell ref="K4:K5"/>
  </mergeCells>
  <hyperlinks>
    <hyperlink ref="A2" location="Obsah!A1" display="Zpět na Obsah  KL 01  1.-4.měsíc"/>
  </hyperlinks>
  <pageMargins left="0.25" right="0.25" top="0.75" bottom="0.75" header="0.3" footer="0.3"/>
  <pageSetup paperSize="9" scale="79" fitToHeight="0" orientation="landscape"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List9">
    <tabColor theme="3" tint="0.39997558519241921"/>
    <pageSetUpPr fitToPage="1"/>
  </sheetPr>
  <dimension ref="A1:J22"/>
  <sheetViews>
    <sheetView showGridLines="0" showRowColHeaders="0" workbookViewId="0">
      <pane ySplit="4" topLeftCell="A5" activePane="bottomLeft" state="frozen"/>
      <selection activeCell="A2" sqref="A2:I2"/>
      <selection pane="bottomLeft" sqref="A1:I1"/>
    </sheetView>
  </sheetViews>
  <sheetFormatPr defaultRowHeight="14.4" customHeight="1" outlineLevelCol="1" x14ac:dyDescent="0.3"/>
  <cols>
    <col min="1" max="1" width="5.5546875" style="208" customWidth="1"/>
    <col min="2" max="2" width="61.109375" style="208" customWidth="1"/>
    <col min="3" max="3" width="9.5546875" style="129" hidden="1" customWidth="1" outlineLevel="1"/>
    <col min="4" max="4" width="9.5546875" style="209" customWidth="1" collapsed="1"/>
    <col min="5" max="5" width="2.21875" style="209" customWidth="1"/>
    <col min="6" max="6" width="9.5546875" style="210" customWidth="1"/>
    <col min="7" max="7" width="9.5546875" style="207" customWidth="1"/>
    <col min="8" max="9" width="9.5546875" style="129" customWidth="1"/>
    <col min="10" max="10" width="0" style="129" hidden="1" customWidth="1"/>
    <col min="11" max="16384" width="8.88671875" style="129"/>
  </cols>
  <sheetData>
    <row r="1" spans="1:10" ht="18.600000000000001" customHeight="1" thickBot="1" x14ac:dyDescent="0.4">
      <c r="A1" s="359" t="s">
        <v>136</v>
      </c>
      <c r="B1" s="360"/>
      <c r="C1" s="360"/>
      <c r="D1" s="360"/>
      <c r="E1" s="360"/>
      <c r="F1" s="360"/>
      <c r="G1" s="330"/>
      <c r="H1" s="361"/>
      <c r="I1" s="361"/>
    </row>
    <row r="2" spans="1:10" ht="14.4" customHeight="1" thickBot="1" x14ac:dyDescent="0.35">
      <c r="A2" s="232" t="s">
        <v>265</v>
      </c>
      <c r="B2" s="206"/>
      <c r="C2" s="206"/>
      <c r="D2" s="206"/>
      <c r="E2" s="206"/>
      <c r="F2" s="206"/>
    </row>
    <row r="3" spans="1:10" ht="14.4" customHeight="1" thickBot="1" x14ac:dyDescent="0.35">
      <c r="A3" s="232"/>
      <c r="B3" s="271"/>
      <c r="C3" s="270">
        <v>2015</v>
      </c>
      <c r="D3" s="239">
        <v>2017</v>
      </c>
      <c r="E3" s="7"/>
      <c r="F3" s="338">
        <v>2018</v>
      </c>
      <c r="G3" s="356"/>
      <c r="H3" s="356"/>
      <c r="I3" s="339"/>
    </row>
    <row r="4" spans="1:10" ht="14.4" customHeight="1" thickBot="1" x14ac:dyDescent="0.35">
      <c r="A4" s="243" t="s">
        <v>0</v>
      </c>
      <c r="B4" s="244" t="s">
        <v>190</v>
      </c>
      <c r="C4" s="357" t="s">
        <v>72</v>
      </c>
      <c r="D4" s="358"/>
      <c r="E4" s="245"/>
      <c r="F4" s="240" t="s">
        <v>72</v>
      </c>
      <c r="G4" s="241" t="s">
        <v>73</v>
      </c>
      <c r="H4" s="241" t="s">
        <v>67</v>
      </c>
      <c r="I4" s="242" t="s">
        <v>74</v>
      </c>
    </row>
    <row r="5" spans="1:10" ht="14.4" customHeight="1" x14ac:dyDescent="0.3">
      <c r="A5" s="487" t="s">
        <v>441</v>
      </c>
      <c r="B5" s="488" t="s">
        <v>442</v>
      </c>
      <c r="C5" s="489" t="s">
        <v>443</v>
      </c>
      <c r="D5" s="489" t="s">
        <v>443</v>
      </c>
      <c r="E5" s="489"/>
      <c r="F5" s="489" t="s">
        <v>443</v>
      </c>
      <c r="G5" s="489" t="s">
        <v>443</v>
      </c>
      <c r="H5" s="489" t="s">
        <v>443</v>
      </c>
      <c r="I5" s="490" t="s">
        <v>443</v>
      </c>
      <c r="J5" s="491" t="s">
        <v>68</v>
      </c>
    </row>
    <row r="6" spans="1:10" ht="14.4" customHeight="1" x14ac:dyDescent="0.3">
      <c r="A6" s="487" t="s">
        <v>441</v>
      </c>
      <c r="B6" s="488" t="s">
        <v>444</v>
      </c>
      <c r="C6" s="489">
        <v>8.0502899999999986</v>
      </c>
      <c r="D6" s="489">
        <v>9.9052500000000006</v>
      </c>
      <c r="E6" s="489"/>
      <c r="F6" s="489">
        <v>11.447280000000001</v>
      </c>
      <c r="G6" s="489">
        <v>13.333333801269532</v>
      </c>
      <c r="H6" s="489">
        <v>-1.8860538012695311</v>
      </c>
      <c r="I6" s="490">
        <v>0.85854596986914478</v>
      </c>
      <c r="J6" s="491" t="s">
        <v>1</v>
      </c>
    </row>
    <row r="7" spans="1:10" ht="14.4" customHeight="1" x14ac:dyDescent="0.3">
      <c r="A7" s="487" t="s">
        <v>441</v>
      </c>
      <c r="B7" s="488" t="s">
        <v>445</v>
      </c>
      <c r="C7" s="489">
        <v>0.19052000000000002</v>
      </c>
      <c r="D7" s="489">
        <v>0</v>
      </c>
      <c r="E7" s="489"/>
      <c r="F7" s="489">
        <v>0</v>
      </c>
      <c r="G7" s="489">
        <v>0</v>
      </c>
      <c r="H7" s="489">
        <v>0</v>
      </c>
      <c r="I7" s="490" t="s">
        <v>443</v>
      </c>
      <c r="J7" s="491" t="s">
        <v>1</v>
      </c>
    </row>
    <row r="8" spans="1:10" ht="14.4" customHeight="1" x14ac:dyDescent="0.3">
      <c r="A8" s="487" t="s">
        <v>441</v>
      </c>
      <c r="B8" s="488" t="s">
        <v>446</v>
      </c>
      <c r="C8" s="489">
        <v>0</v>
      </c>
      <c r="D8" s="489">
        <v>0</v>
      </c>
      <c r="E8" s="489"/>
      <c r="F8" s="489">
        <v>0</v>
      </c>
      <c r="G8" s="489">
        <v>0</v>
      </c>
      <c r="H8" s="489">
        <v>0</v>
      </c>
      <c r="I8" s="490" t="s">
        <v>443</v>
      </c>
      <c r="J8" s="491" t="s">
        <v>1</v>
      </c>
    </row>
    <row r="9" spans="1:10" ht="14.4" customHeight="1" x14ac:dyDescent="0.3">
      <c r="A9" s="487" t="s">
        <v>441</v>
      </c>
      <c r="B9" s="488" t="s">
        <v>447</v>
      </c>
      <c r="C9" s="489">
        <v>8.240809999999998</v>
      </c>
      <c r="D9" s="489">
        <v>9.9052500000000006</v>
      </c>
      <c r="E9" s="489"/>
      <c r="F9" s="489">
        <v>11.447280000000001</v>
      </c>
      <c r="G9" s="489">
        <v>13.333333801269532</v>
      </c>
      <c r="H9" s="489">
        <v>-1.8860538012695311</v>
      </c>
      <c r="I9" s="490">
        <v>0.85854596986914478</v>
      </c>
      <c r="J9" s="491" t="s">
        <v>448</v>
      </c>
    </row>
    <row r="11" spans="1:10" ht="14.4" customHeight="1" x14ac:dyDescent="0.3">
      <c r="A11" s="487" t="s">
        <v>441</v>
      </c>
      <c r="B11" s="488" t="s">
        <v>442</v>
      </c>
      <c r="C11" s="489" t="s">
        <v>443</v>
      </c>
      <c r="D11" s="489" t="s">
        <v>443</v>
      </c>
      <c r="E11" s="489"/>
      <c r="F11" s="489" t="s">
        <v>443</v>
      </c>
      <c r="G11" s="489" t="s">
        <v>443</v>
      </c>
      <c r="H11" s="489" t="s">
        <v>443</v>
      </c>
      <c r="I11" s="490" t="s">
        <v>443</v>
      </c>
      <c r="J11" s="491" t="s">
        <v>68</v>
      </c>
    </row>
    <row r="12" spans="1:10" ht="14.4" customHeight="1" x14ac:dyDescent="0.3">
      <c r="A12" s="487" t="s">
        <v>449</v>
      </c>
      <c r="B12" s="488" t="s">
        <v>450</v>
      </c>
      <c r="C12" s="489" t="s">
        <v>443</v>
      </c>
      <c r="D12" s="489" t="s">
        <v>443</v>
      </c>
      <c r="E12" s="489"/>
      <c r="F12" s="489" t="s">
        <v>443</v>
      </c>
      <c r="G12" s="489" t="s">
        <v>443</v>
      </c>
      <c r="H12" s="489" t="s">
        <v>443</v>
      </c>
      <c r="I12" s="490" t="s">
        <v>443</v>
      </c>
      <c r="J12" s="491" t="s">
        <v>0</v>
      </c>
    </row>
    <row r="13" spans="1:10" ht="14.4" customHeight="1" x14ac:dyDescent="0.3">
      <c r="A13" s="487" t="s">
        <v>449</v>
      </c>
      <c r="B13" s="488" t="s">
        <v>444</v>
      </c>
      <c r="C13" s="489">
        <v>0.18949000000000002</v>
      </c>
      <c r="D13" s="489">
        <v>0.19363999999999998</v>
      </c>
      <c r="E13" s="489"/>
      <c r="F13" s="489">
        <v>0</v>
      </c>
      <c r="G13" s="489">
        <v>1</v>
      </c>
      <c r="H13" s="489">
        <v>-1</v>
      </c>
      <c r="I13" s="490">
        <v>0</v>
      </c>
      <c r="J13" s="491" t="s">
        <v>1</v>
      </c>
    </row>
    <row r="14" spans="1:10" ht="14.4" customHeight="1" x14ac:dyDescent="0.3">
      <c r="A14" s="487" t="s">
        <v>449</v>
      </c>
      <c r="B14" s="488" t="s">
        <v>451</v>
      </c>
      <c r="C14" s="489">
        <v>0.18949000000000002</v>
      </c>
      <c r="D14" s="489">
        <v>0.19363999999999998</v>
      </c>
      <c r="E14" s="489"/>
      <c r="F14" s="489">
        <v>0</v>
      </c>
      <c r="G14" s="489">
        <v>1</v>
      </c>
      <c r="H14" s="489">
        <v>-1</v>
      </c>
      <c r="I14" s="490">
        <v>0</v>
      </c>
      <c r="J14" s="491" t="s">
        <v>452</v>
      </c>
    </row>
    <row r="15" spans="1:10" ht="14.4" customHeight="1" x14ac:dyDescent="0.3">
      <c r="A15" s="487" t="s">
        <v>443</v>
      </c>
      <c r="B15" s="488" t="s">
        <v>443</v>
      </c>
      <c r="C15" s="489" t="s">
        <v>443</v>
      </c>
      <c r="D15" s="489" t="s">
        <v>443</v>
      </c>
      <c r="E15" s="489"/>
      <c r="F15" s="489" t="s">
        <v>443</v>
      </c>
      <c r="G15" s="489" t="s">
        <v>443</v>
      </c>
      <c r="H15" s="489" t="s">
        <v>443</v>
      </c>
      <c r="I15" s="490" t="s">
        <v>443</v>
      </c>
      <c r="J15" s="491" t="s">
        <v>453</v>
      </c>
    </row>
    <row r="16" spans="1:10" ht="14.4" customHeight="1" x14ac:dyDescent="0.3">
      <c r="A16" s="487" t="s">
        <v>454</v>
      </c>
      <c r="B16" s="488" t="s">
        <v>455</v>
      </c>
      <c r="C16" s="489" t="s">
        <v>443</v>
      </c>
      <c r="D16" s="489" t="s">
        <v>443</v>
      </c>
      <c r="E16" s="489"/>
      <c r="F16" s="489" t="s">
        <v>443</v>
      </c>
      <c r="G16" s="489" t="s">
        <v>443</v>
      </c>
      <c r="H16" s="489" t="s">
        <v>443</v>
      </c>
      <c r="I16" s="490" t="s">
        <v>443</v>
      </c>
      <c r="J16" s="491" t="s">
        <v>0</v>
      </c>
    </row>
    <row r="17" spans="1:10" ht="14.4" customHeight="1" x14ac:dyDescent="0.3">
      <c r="A17" s="487" t="s">
        <v>454</v>
      </c>
      <c r="B17" s="488" t="s">
        <v>444</v>
      </c>
      <c r="C17" s="489">
        <v>7.8607999999999993</v>
      </c>
      <c r="D17" s="489">
        <v>9.7116100000000003</v>
      </c>
      <c r="E17" s="489"/>
      <c r="F17" s="489">
        <v>11.447280000000001</v>
      </c>
      <c r="G17" s="489">
        <v>12</v>
      </c>
      <c r="H17" s="489">
        <v>-0.55271999999999899</v>
      </c>
      <c r="I17" s="490">
        <v>0.95394000000000012</v>
      </c>
      <c r="J17" s="491" t="s">
        <v>1</v>
      </c>
    </row>
    <row r="18" spans="1:10" ht="14.4" customHeight="1" x14ac:dyDescent="0.3">
      <c r="A18" s="487" t="s">
        <v>454</v>
      </c>
      <c r="B18" s="488" t="s">
        <v>445</v>
      </c>
      <c r="C18" s="489">
        <v>0.19052000000000002</v>
      </c>
      <c r="D18" s="489">
        <v>0</v>
      </c>
      <c r="E18" s="489"/>
      <c r="F18" s="489">
        <v>0</v>
      </c>
      <c r="G18" s="489">
        <v>0</v>
      </c>
      <c r="H18" s="489">
        <v>0</v>
      </c>
      <c r="I18" s="490" t="s">
        <v>443</v>
      </c>
      <c r="J18" s="491" t="s">
        <v>1</v>
      </c>
    </row>
    <row r="19" spans="1:10" ht="14.4" customHeight="1" x14ac:dyDescent="0.3">
      <c r="A19" s="487" t="s">
        <v>454</v>
      </c>
      <c r="B19" s="488" t="s">
        <v>446</v>
      </c>
      <c r="C19" s="489">
        <v>0</v>
      </c>
      <c r="D19" s="489">
        <v>0</v>
      </c>
      <c r="E19" s="489"/>
      <c r="F19" s="489">
        <v>0</v>
      </c>
      <c r="G19" s="489">
        <v>0</v>
      </c>
      <c r="H19" s="489">
        <v>0</v>
      </c>
      <c r="I19" s="490" t="s">
        <v>443</v>
      </c>
      <c r="J19" s="491" t="s">
        <v>1</v>
      </c>
    </row>
    <row r="20" spans="1:10" ht="14.4" customHeight="1" x14ac:dyDescent="0.3">
      <c r="A20" s="487" t="s">
        <v>454</v>
      </c>
      <c r="B20" s="488" t="s">
        <v>456</v>
      </c>
      <c r="C20" s="489">
        <v>8.0513199999999987</v>
      </c>
      <c r="D20" s="489">
        <v>9.7116100000000003</v>
      </c>
      <c r="E20" s="489"/>
      <c r="F20" s="489">
        <v>11.447280000000001</v>
      </c>
      <c r="G20" s="489">
        <v>12</v>
      </c>
      <c r="H20" s="489">
        <v>-0.55271999999999899</v>
      </c>
      <c r="I20" s="490">
        <v>0.95394000000000012</v>
      </c>
      <c r="J20" s="491" t="s">
        <v>452</v>
      </c>
    </row>
    <row r="21" spans="1:10" ht="14.4" customHeight="1" x14ac:dyDescent="0.3">
      <c r="A21" s="487" t="s">
        <v>443</v>
      </c>
      <c r="B21" s="488" t="s">
        <v>443</v>
      </c>
      <c r="C21" s="489" t="s">
        <v>443</v>
      </c>
      <c r="D21" s="489" t="s">
        <v>443</v>
      </c>
      <c r="E21" s="489"/>
      <c r="F21" s="489" t="s">
        <v>443</v>
      </c>
      <c r="G21" s="489" t="s">
        <v>443</v>
      </c>
      <c r="H21" s="489" t="s">
        <v>443</v>
      </c>
      <c r="I21" s="490" t="s">
        <v>443</v>
      </c>
      <c r="J21" s="491" t="s">
        <v>453</v>
      </c>
    </row>
    <row r="22" spans="1:10" ht="14.4" customHeight="1" x14ac:dyDescent="0.3">
      <c r="A22" s="487" t="s">
        <v>441</v>
      </c>
      <c r="B22" s="488" t="s">
        <v>447</v>
      </c>
      <c r="C22" s="489">
        <v>8.240809999999998</v>
      </c>
      <c r="D22" s="489">
        <v>9.9052500000000006</v>
      </c>
      <c r="E22" s="489"/>
      <c r="F22" s="489">
        <v>11.447280000000001</v>
      </c>
      <c r="G22" s="489">
        <v>13</v>
      </c>
      <c r="H22" s="489">
        <v>-1.552719999999999</v>
      </c>
      <c r="I22" s="490">
        <v>0.88056000000000012</v>
      </c>
      <c r="J22" s="491" t="s">
        <v>448</v>
      </c>
    </row>
  </sheetData>
  <mergeCells count="3">
    <mergeCell ref="F3:I3"/>
    <mergeCell ref="C4:D4"/>
    <mergeCell ref="A1:I1"/>
  </mergeCells>
  <conditionalFormatting sqref="F10 F23:F65537">
    <cfRule type="cellIs" dxfId="52" priority="18" stopIfTrue="1" operator="greaterThan">
      <formula>1</formula>
    </cfRule>
  </conditionalFormatting>
  <conditionalFormatting sqref="H5:H9">
    <cfRule type="expression" dxfId="51" priority="14">
      <formula>$H5&gt;0</formula>
    </cfRule>
  </conditionalFormatting>
  <conditionalFormatting sqref="I5:I9">
    <cfRule type="expression" dxfId="50" priority="15">
      <formula>$I5&gt;1</formula>
    </cfRule>
  </conditionalFormatting>
  <conditionalFormatting sqref="B5:B9">
    <cfRule type="expression" dxfId="49" priority="11">
      <formula>OR($J5="NS",$J5="SumaNS",$J5="Účet")</formula>
    </cfRule>
  </conditionalFormatting>
  <conditionalFormatting sqref="B5:D9 F5:I9">
    <cfRule type="expression" dxfId="48" priority="17">
      <formula>AND($J5&lt;&gt;"",$J5&lt;&gt;"mezeraKL")</formula>
    </cfRule>
  </conditionalFormatting>
  <conditionalFormatting sqref="B5:D9 F5:I9">
    <cfRule type="expression" dxfId="47" priority="12">
      <formula>OR($J5="KL",$J5="SumaKL")</formula>
    </cfRule>
    <cfRule type="expression" priority="16" stopIfTrue="1">
      <formula>OR($J5="mezeraNS",$J5="mezeraKL")</formula>
    </cfRule>
  </conditionalFormatting>
  <conditionalFormatting sqref="F5:I9 B5:D9">
    <cfRule type="expression" dxfId="46" priority="13">
      <formula>OR($J5="SumaNS",$J5="NS")</formula>
    </cfRule>
  </conditionalFormatting>
  <conditionalFormatting sqref="A5:A9">
    <cfRule type="expression" dxfId="45" priority="9">
      <formula>AND($J5&lt;&gt;"mezeraKL",$J5&lt;&gt;"")</formula>
    </cfRule>
  </conditionalFormatting>
  <conditionalFormatting sqref="A5:A9">
    <cfRule type="expression" dxfId="44" priority="10">
      <formula>AND($J5&lt;&gt;"",$J5&lt;&gt;"mezeraKL")</formula>
    </cfRule>
  </conditionalFormatting>
  <conditionalFormatting sqref="H11:H22">
    <cfRule type="expression" dxfId="43" priority="5">
      <formula>$H11&gt;0</formula>
    </cfRule>
  </conditionalFormatting>
  <conditionalFormatting sqref="A11:A22">
    <cfRule type="expression" dxfId="42" priority="2">
      <formula>AND($J11&lt;&gt;"mezeraKL",$J11&lt;&gt;"")</formula>
    </cfRule>
  </conditionalFormatting>
  <conditionalFormatting sqref="I11:I22">
    <cfRule type="expression" dxfId="41" priority="6">
      <formula>$I11&gt;1</formula>
    </cfRule>
  </conditionalFormatting>
  <conditionalFormatting sqref="B11:B22">
    <cfRule type="expression" dxfId="40" priority="1">
      <formula>OR($J11="NS",$J11="SumaNS",$J11="Účet")</formula>
    </cfRule>
  </conditionalFormatting>
  <conditionalFormatting sqref="A11:D22 F11:I22">
    <cfRule type="expression" dxfId="39" priority="8">
      <formula>AND($J11&lt;&gt;"",$J11&lt;&gt;"mezeraKL")</formula>
    </cfRule>
  </conditionalFormatting>
  <conditionalFormatting sqref="B11:D22 F11:I22">
    <cfRule type="expression" dxfId="38" priority="3">
      <formula>OR($J11="KL",$J11="SumaKL")</formula>
    </cfRule>
    <cfRule type="expression" priority="7" stopIfTrue="1">
      <formula>OR($J11="mezeraNS",$J11="mezeraKL")</formula>
    </cfRule>
  </conditionalFormatting>
  <conditionalFormatting sqref="B11:D22 F11:I22">
    <cfRule type="expression" dxfId="37" priority="4">
      <formula>OR($J11="SumaNS",$J11="NS")</formula>
    </cfRule>
  </conditionalFormatting>
  <hyperlinks>
    <hyperlink ref="A2" location="Obsah!A1" display="Zpět na Obsah  KL 01  1.-4.měsíc"/>
  </hyperlinks>
  <pageMargins left="0.25" right="0.25" top="0.75" bottom="0.75" header="0.3" footer="0.3"/>
  <pageSetup paperSize="9" fitToHeight="0" orientation="portrait" r:id="rId1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List10">
    <tabColor theme="0" tint="-0.249977111117893"/>
    <pageSetUpPr fitToPage="1"/>
  </sheetPr>
  <dimension ref="A1:N9"/>
  <sheetViews>
    <sheetView showGridLines="0" showRowColHeaders="0" workbookViewId="0">
      <pane ySplit="4" topLeftCell="A5" activePane="bottomLeft" state="frozen"/>
      <selection activeCell="A2" sqref="A2:I2"/>
      <selection pane="bottomLeft" sqref="A1:N1"/>
    </sheetView>
  </sheetViews>
  <sheetFormatPr defaultRowHeight="14.4" customHeight="1" outlineLevelCol="1" x14ac:dyDescent="0.3"/>
  <cols>
    <col min="1" max="1" width="6.6640625" style="129" hidden="1" customWidth="1" outlineLevel="1"/>
    <col min="2" max="2" width="28.33203125" style="129" hidden="1" customWidth="1" outlineLevel="1"/>
    <col min="3" max="3" width="5.33203125" style="209" bestFit="1" customWidth="1" collapsed="1"/>
    <col min="4" max="4" width="18.77734375" style="213" customWidth="1"/>
    <col min="5" max="5" width="9" style="275" bestFit="1" customWidth="1"/>
    <col min="6" max="6" width="18.77734375" style="213" customWidth="1"/>
    <col min="7" max="7" width="5" style="209" customWidth="1"/>
    <col min="8" max="8" width="12.44140625" style="209" hidden="1" customWidth="1" outlineLevel="1"/>
    <col min="9" max="9" width="8.5546875" style="209" hidden="1" customWidth="1" outlineLevel="1"/>
    <col min="10" max="10" width="25.77734375" style="209" customWidth="1" collapsed="1"/>
    <col min="11" max="11" width="8.77734375" style="209" customWidth="1"/>
    <col min="12" max="13" width="7.77734375" style="207" customWidth="1"/>
    <col min="14" max="14" width="12.6640625" style="207" customWidth="1"/>
    <col min="15" max="16384" width="8.88671875" style="129"/>
  </cols>
  <sheetData>
    <row r="1" spans="1:14" ht="18.600000000000001" customHeight="1" thickBot="1" x14ac:dyDescent="0.4">
      <c r="A1" s="366" t="s">
        <v>159</v>
      </c>
      <c r="B1" s="330"/>
      <c r="C1" s="330"/>
      <c r="D1" s="330"/>
      <c r="E1" s="330"/>
      <c r="F1" s="330"/>
      <c r="G1" s="330"/>
      <c r="H1" s="330"/>
      <c r="I1" s="330"/>
      <c r="J1" s="330"/>
      <c r="K1" s="330"/>
      <c r="L1" s="330"/>
      <c r="M1" s="330"/>
      <c r="N1" s="330"/>
    </row>
    <row r="2" spans="1:14" ht="14.4" customHeight="1" thickBot="1" x14ac:dyDescent="0.35">
      <c r="A2" s="232" t="s">
        <v>265</v>
      </c>
      <c r="B2" s="62"/>
      <c r="C2" s="211"/>
      <c r="D2" s="211"/>
      <c r="E2" s="274"/>
      <c r="F2" s="211"/>
      <c r="G2" s="211"/>
      <c r="H2" s="211"/>
      <c r="I2" s="211"/>
      <c r="J2" s="211"/>
      <c r="K2" s="211"/>
      <c r="L2" s="212"/>
      <c r="M2" s="212"/>
      <c r="N2" s="212"/>
    </row>
    <row r="3" spans="1:14" ht="14.4" customHeight="1" thickBot="1" x14ac:dyDescent="0.35">
      <c r="A3" s="62"/>
      <c r="B3" s="62"/>
      <c r="C3" s="362"/>
      <c r="D3" s="363"/>
      <c r="E3" s="363"/>
      <c r="F3" s="363"/>
      <c r="G3" s="363"/>
      <c r="H3" s="363"/>
      <c r="I3" s="363"/>
      <c r="J3" s="364" t="s">
        <v>127</v>
      </c>
      <c r="K3" s="365"/>
      <c r="L3" s="98">
        <f>IF(M3&lt;&gt;0,N3/M3,0)</f>
        <v>191.24417831788969</v>
      </c>
      <c r="M3" s="98">
        <f>SUBTOTAL(9,M5:M1048576)</f>
        <v>20</v>
      </c>
      <c r="N3" s="99">
        <f>SUBTOTAL(9,N5:N1048576)</f>
        <v>3824.8835663577938</v>
      </c>
    </row>
    <row r="4" spans="1:14" s="208" customFormat="1" ht="14.4" customHeight="1" thickBot="1" x14ac:dyDescent="0.35">
      <c r="A4" s="492" t="s">
        <v>4</v>
      </c>
      <c r="B4" s="493" t="s">
        <v>5</v>
      </c>
      <c r="C4" s="493" t="s">
        <v>0</v>
      </c>
      <c r="D4" s="493" t="s">
        <v>6</v>
      </c>
      <c r="E4" s="494" t="s">
        <v>7</v>
      </c>
      <c r="F4" s="493" t="s">
        <v>1</v>
      </c>
      <c r="G4" s="493" t="s">
        <v>8</v>
      </c>
      <c r="H4" s="493" t="s">
        <v>9</v>
      </c>
      <c r="I4" s="493" t="s">
        <v>10</v>
      </c>
      <c r="J4" s="495" t="s">
        <v>11</v>
      </c>
      <c r="K4" s="495" t="s">
        <v>12</v>
      </c>
      <c r="L4" s="496" t="s">
        <v>141</v>
      </c>
      <c r="M4" s="496" t="s">
        <v>13</v>
      </c>
      <c r="N4" s="497" t="s">
        <v>155</v>
      </c>
    </row>
    <row r="5" spans="1:14" ht="14.4" customHeight="1" x14ac:dyDescent="0.3">
      <c r="A5" s="498" t="s">
        <v>441</v>
      </c>
      <c r="B5" s="499" t="s">
        <v>442</v>
      </c>
      <c r="C5" s="500" t="s">
        <v>454</v>
      </c>
      <c r="D5" s="501" t="s">
        <v>455</v>
      </c>
      <c r="E5" s="502">
        <v>50113001</v>
      </c>
      <c r="F5" s="501" t="s">
        <v>457</v>
      </c>
      <c r="G5" s="500" t="s">
        <v>458</v>
      </c>
      <c r="H5" s="500">
        <v>193746</v>
      </c>
      <c r="I5" s="500">
        <v>93746</v>
      </c>
      <c r="J5" s="500" t="s">
        <v>459</v>
      </c>
      <c r="K5" s="500" t="s">
        <v>460</v>
      </c>
      <c r="L5" s="503">
        <v>366.22</v>
      </c>
      <c r="M5" s="503">
        <v>2</v>
      </c>
      <c r="N5" s="504">
        <v>732.44</v>
      </c>
    </row>
    <row r="6" spans="1:14" ht="14.4" customHeight="1" x14ac:dyDescent="0.3">
      <c r="A6" s="505" t="s">
        <v>441</v>
      </c>
      <c r="B6" s="506" t="s">
        <v>442</v>
      </c>
      <c r="C6" s="507" t="s">
        <v>454</v>
      </c>
      <c r="D6" s="508" t="s">
        <v>455</v>
      </c>
      <c r="E6" s="509">
        <v>50113001</v>
      </c>
      <c r="F6" s="508" t="s">
        <v>457</v>
      </c>
      <c r="G6" s="507" t="s">
        <v>458</v>
      </c>
      <c r="H6" s="507">
        <v>51366</v>
      </c>
      <c r="I6" s="507">
        <v>51366</v>
      </c>
      <c r="J6" s="507" t="s">
        <v>461</v>
      </c>
      <c r="K6" s="507" t="s">
        <v>462</v>
      </c>
      <c r="L6" s="510">
        <v>171.60000000000002</v>
      </c>
      <c r="M6" s="510">
        <v>1</v>
      </c>
      <c r="N6" s="511">
        <v>171.60000000000002</v>
      </c>
    </row>
    <row r="7" spans="1:14" ht="14.4" customHeight="1" x14ac:dyDescent="0.3">
      <c r="A7" s="505" t="s">
        <v>441</v>
      </c>
      <c r="B7" s="506" t="s">
        <v>442</v>
      </c>
      <c r="C7" s="507" t="s">
        <v>454</v>
      </c>
      <c r="D7" s="508" t="s">
        <v>455</v>
      </c>
      <c r="E7" s="509">
        <v>50113001</v>
      </c>
      <c r="F7" s="508" t="s">
        <v>457</v>
      </c>
      <c r="G7" s="507" t="s">
        <v>458</v>
      </c>
      <c r="H7" s="507">
        <v>930589</v>
      </c>
      <c r="I7" s="507">
        <v>0</v>
      </c>
      <c r="J7" s="507" t="s">
        <v>463</v>
      </c>
      <c r="K7" s="507" t="s">
        <v>443</v>
      </c>
      <c r="L7" s="510">
        <v>74.978378900627376</v>
      </c>
      <c r="M7" s="510">
        <v>2</v>
      </c>
      <c r="N7" s="511">
        <v>149.95675780125475</v>
      </c>
    </row>
    <row r="8" spans="1:14" ht="14.4" customHeight="1" x14ac:dyDescent="0.3">
      <c r="A8" s="505" t="s">
        <v>441</v>
      </c>
      <c r="B8" s="506" t="s">
        <v>442</v>
      </c>
      <c r="C8" s="507" t="s">
        <v>454</v>
      </c>
      <c r="D8" s="508" t="s">
        <v>455</v>
      </c>
      <c r="E8" s="509">
        <v>50113001</v>
      </c>
      <c r="F8" s="508" t="s">
        <v>457</v>
      </c>
      <c r="G8" s="507" t="s">
        <v>458</v>
      </c>
      <c r="H8" s="507">
        <v>900321</v>
      </c>
      <c r="I8" s="507">
        <v>0</v>
      </c>
      <c r="J8" s="507" t="s">
        <v>464</v>
      </c>
      <c r="K8" s="507" t="s">
        <v>443</v>
      </c>
      <c r="L8" s="510">
        <v>181.44</v>
      </c>
      <c r="M8" s="510">
        <v>5</v>
      </c>
      <c r="N8" s="511">
        <v>907.2</v>
      </c>
    </row>
    <row r="9" spans="1:14" ht="14.4" customHeight="1" thickBot="1" x14ac:dyDescent="0.35">
      <c r="A9" s="512" t="s">
        <v>441</v>
      </c>
      <c r="B9" s="513" t="s">
        <v>442</v>
      </c>
      <c r="C9" s="514" t="s">
        <v>454</v>
      </c>
      <c r="D9" s="515" t="s">
        <v>455</v>
      </c>
      <c r="E9" s="516">
        <v>50113001</v>
      </c>
      <c r="F9" s="515" t="s">
        <v>457</v>
      </c>
      <c r="G9" s="514" t="s">
        <v>458</v>
      </c>
      <c r="H9" s="514">
        <v>921227</v>
      </c>
      <c r="I9" s="514">
        <v>0</v>
      </c>
      <c r="J9" s="514" t="s">
        <v>465</v>
      </c>
      <c r="K9" s="514" t="s">
        <v>443</v>
      </c>
      <c r="L9" s="517">
        <v>186.36868085565393</v>
      </c>
      <c r="M9" s="517">
        <v>10</v>
      </c>
      <c r="N9" s="518">
        <v>1863.6868085565393</v>
      </c>
    </row>
  </sheetData>
  <autoFilter ref="A4:N4"/>
  <mergeCells count="3">
    <mergeCell ref="C3:I3"/>
    <mergeCell ref="J3:K3"/>
    <mergeCell ref="A1:N1"/>
  </mergeCells>
  <hyperlinks>
    <hyperlink ref="A2" location="Obsah!A1" display="Zpět na Obsah  KL 01  1.-4.měsíc"/>
  </hyperlinks>
  <pageMargins left="0.25" right="0.25" top="0.75" bottom="0.75" header="0.3" footer="0.3"/>
  <pageSetup paperSize="9" fitToHeight="0" orientation="landscape" r:id="rId1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List55">
    <tabColor theme="0" tint="-0.249977111117893"/>
    <pageSetUpPr fitToPage="1"/>
  </sheetPr>
  <dimension ref="A1:Q8"/>
  <sheetViews>
    <sheetView showGridLines="0" showRowColHeaders="0" workbookViewId="0">
      <pane ySplit="5" topLeftCell="A6" activePane="bottomLeft" state="frozen"/>
      <selection activeCell="N30" sqref="N30"/>
      <selection pane="bottomLeft" sqref="A1:Q1"/>
    </sheetView>
  </sheetViews>
  <sheetFormatPr defaultRowHeight="14.4" customHeight="1" x14ac:dyDescent="0.3"/>
  <cols>
    <col min="1" max="1" width="50" style="258" customWidth="1"/>
    <col min="2" max="2" width="5.44140625" style="207" bestFit="1" customWidth="1"/>
    <col min="3" max="3" width="6.109375" style="207" bestFit="1" customWidth="1"/>
    <col min="4" max="4" width="7.44140625" style="207" bestFit="1" customWidth="1"/>
    <col min="5" max="5" width="6.21875" style="207" bestFit="1" customWidth="1"/>
    <col min="6" max="6" width="6.33203125" style="210" bestFit="1" customWidth="1"/>
    <col min="7" max="7" width="6.109375" style="210" bestFit="1" customWidth="1"/>
    <col min="8" max="8" width="7.44140625" style="210" bestFit="1" customWidth="1"/>
    <col min="9" max="9" width="6.21875" style="210" bestFit="1" customWidth="1"/>
    <col min="10" max="10" width="5.44140625" style="207" bestFit="1" customWidth="1"/>
    <col min="11" max="11" width="6.109375" style="207" bestFit="1" customWidth="1"/>
    <col min="12" max="12" width="7.44140625" style="207" bestFit="1" customWidth="1"/>
    <col min="13" max="13" width="6.21875" style="207" bestFit="1" customWidth="1"/>
    <col min="14" max="14" width="5.33203125" style="210" bestFit="1" customWidth="1"/>
    <col min="15" max="15" width="6.109375" style="210" bestFit="1" customWidth="1"/>
    <col min="16" max="16" width="7.44140625" style="210" bestFit="1" customWidth="1"/>
    <col min="17" max="17" width="6.21875" style="210" bestFit="1" customWidth="1"/>
    <col min="18" max="16384" width="8.88671875" style="129"/>
  </cols>
  <sheetData>
    <row r="1" spans="1:17" ht="18.600000000000001" customHeight="1" thickBot="1" x14ac:dyDescent="0.4">
      <c r="A1" s="368" t="s">
        <v>191</v>
      </c>
      <c r="B1" s="368"/>
      <c r="C1" s="368"/>
      <c r="D1" s="368"/>
      <c r="E1" s="368"/>
      <c r="F1" s="330"/>
      <c r="G1" s="330"/>
      <c r="H1" s="330"/>
      <c r="I1" s="330"/>
      <c r="J1" s="361"/>
      <c r="K1" s="361"/>
      <c r="L1" s="361"/>
      <c r="M1" s="361"/>
      <c r="N1" s="361"/>
      <c r="O1" s="361"/>
      <c r="P1" s="361"/>
      <c r="Q1" s="361"/>
    </row>
    <row r="2" spans="1:17" ht="14.4" customHeight="1" thickBot="1" x14ac:dyDescent="0.35">
      <c r="A2" s="232" t="s">
        <v>265</v>
      </c>
      <c r="B2" s="214"/>
      <c r="C2" s="214"/>
      <c r="D2" s="214"/>
      <c r="E2" s="214"/>
    </row>
    <row r="3" spans="1:17" ht="14.4" customHeight="1" thickBot="1" x14ac:dyDescent="0.35">
      <c r="A3" s="247" t="s">
        <v>3</v>
      </c>
      <c r="B3" s="251">
        <f>SUM(B6:B1048576)</f>
        <v>26</v>
      </c>
      <c r="C3" s="252">
        <f>SUM(C6:C1048576)</f>
        <v>0</v>
      </c>
      <c r="D3" s="252">
        <f>SUM(D6:D1048576)</f>
        <v>0</v>
      </c>
      <c r="E3" s="253">
        <f>SUM(E6:E1048576)</f>
        <v>0</v>
      </c>
      <c r="F3" s="250">
        <f>IF(SUM($B3:$E3)=0,"",B3/SUM($B3:$E3))</f>
        <v>1</v>
      </c>
      <c r="G3" s="248">
        <f t="shared" ref="G3:I3" si="0">IF(SUM($B3:$E3)=0,"",C3/SUM($B3:$E3))</f>
        <v>0</v>
      </c>
      <c r="H3" s="248">
        <f t="shared" si="0"/>
        <v>0</v>
      </c>
      <c r="I3" s="249">
        <f t="shared" si="0"/>
        <v>0</v>
      </c>
      <c r="J3" s="252">
        <f>SUM(J6:J1048576)</f>
        <v>18</v>
      </c>
      <c r="K3" s="252">
        <f>SUM(K6:K1048576)</f>
        <v>0</v>
      </c>
      <c r="L3" s="252">
        <f>SUM(L6:L1048576)</f>
        <v>0</v>
      </c>
      <c r="M3" s="253">
        <f>SUM(M6:M1048576)</f>
        <v>0</v>
      </c>
      <c r="N3" s="250">
        <f>IF(SUM($J3:$M3)=0,"",J3/SUM($J3:$M3))</f>
        <v>1</v>
      </c>
      <c r="O3" s="248">
        <f t="shared" ref="O3:Q3" si="1">IF(SUM($J3:$M3)=0,"",K3/SUM($J3:$M3))</f>
        <v>0</v>
      </c>
      <c r="P3" s="248">
        <f t="shared" si="1"/>
        <v>0</v>
      </c>
      <c r="Q3" s="249">
        <f t="shared" si="1"/>
        <v>0</v>
      </c>
    </row>
    <row r="4" spans="1:17" ht="14.4" customHeight="1" thickBot="1" x14ac:dyDescent="0.35">
      <c r="A4" s="246"/>
      <c r="B4" s="381" t="s">
        <v>193</v>
      </c>
      <c r="C4" s="382"/>
      <c r="D4" s="382"/>
      <c r="E4" s="383"/>
      <c r="F4" s="378" t="s">
        <v>198</v>
      </c>
      <c r="G4" s="379"/>
      <c r="H4" s="379"/>
      <c r="I4" s="380"/>
      <c r="J4" s="381" t="s">
        <v>199</v>
      </c>
      <c r="K4" s="382"/>
      <c r="L4" s="382"/>
      <c r="M4" s="383"/>
      <c r="N4" s="378" t="s">
        <v>200</v>
      </c>
      <c r="O4" s="379"/>
      <c r="P4" s="379"/>
      <c r="Q4" s="380"/>
    </row>
    <row r="5" spans="1:17" ht="14.4" customHeight="1" thickBot="1" x14ac:dyDescent="0.35">
      <c r="A5" s="519" t="s">
        <v>192</v>
      </c>
      <c r="B5" s="520" t="s">
        <v>194</v>
      </c>
      <c r="C5" s="520" t="s">
        <v>195</v>
      </c>
      <c r="D5" s="520" t="s">
        <v>196</v>
      </c>
      <c r="E5" s="521" t="s">
        <v>197</v>
      </c>
      <c r="F5" s="522" t="s">
        <v>194</v>
      </c>
      <c r="G5" s="523" t="s">
        <v>195</v>
      </c>
      <c r="H5" s="523" t="s">
        <v>196</v>
      </c>
      <c r="I5" s="524" t="s">
        <v>197</v>
      </c>
      <c r="J5" s="520" t="s">
        <v>194</v>
      </c>
      <c r="K5" s="520" t="s">
        <v>195</v>
      </c>
      <c r="L5" s="520" t="s">
        <v>196</v>
      </c>
      <c r="M5" s="521" t="s">
        <v>197</v>
      </c>
      <c r="N5" s="522" t="s">
        <v>194</v>
      </c>
      <c r="O5" s="523" t="s">
        <v>195</v>
      </c>
      <c r="P5" s="523" t="s">
        <v>196</v>
      </c>
      <c r="Q5" s="524" t="s">
        <v>197</v>
      </c>
    </row>
    <row r="6" spans="1:17" ht="14.4" customHeight="1" x14ac:dyDescent="0.3">
      <c r="A6" s="531" t="s">
        <v>466</v>
      </c>
      <c r="B6" s="537"/>
      <c r="C6" s="503"/>
      <c r="D6" s="503"/>
      <c r="E6" s="504"/>
      <c r="F6" s="534"/>
      <c r="G6" s="525"/>
      <c r="H6" s="525"/>
      <c r="I6" s="540"/>
      <c r="J6" s="537"/>
      <c r="K6" s="503"/>
      <c r="L6" s="503"/>
      <c r="M6" s="504"/>
      <c r="N6" s="534"/>
      <c r="O6" s="525"/>
      <c r="P6" s="525"/>
      <c r="Q6" s="526"/>
    </row>
    <row r="7" spans="1:17" ht="14.4" customHeight="1" x14ac:dyDescent="0.3">
      <c r="A7" s="532" t="s">
        <v>467</v>
      </c>
      <c r="B7" s="538">
        <v>9</v>
      </c>
      <c r="C7" s="510"/>
      <c r="D7" s="510"/>
      <c r="E7" s="511"/>
      <c r="F7" s="535">
        <v>1</v>
      </c>
      <c r="G7" s="527">
        <v>0</v>
      </c>
      <c r="H7" s="527">
        <v>0</v>
      </c>
      <c r="I7" s="541">
        <v>0</v>
      </c>
      <c r="J7" s="538">
        <v>4</v>
      </c>
      <c r="K7" s="510"/>
      <c r="L7" s="510"/>
      <c r="M7" s="511"/>
      <c r="N7" s="535">
        <v>1</v>
      </c>
      <c r="O7" s="527">
        <v>0</v>
      </c>
      <c r="P7" s="527">
        <v>0</v>
      </c>
      <c r="Q7" s="528">
        <v>0</v>
      </c>
    </row>
    <row r="8" spans="1:17" ht="14.4" customHeight="1" thickBot="1" x14ac:dyDescent="0.35">
      <c r="A8" s="533" t="s">
        <v>468</v>
      </c>
      <c r="B8" s="539">
        <v>17</v>
      </c>
      <c r="C8" s="517"/>
      <c r="D8" s="517"/>
      <c r="E8" s="518"/>
      <c r="F8" s="536">
        <v>1</v>
      </c>
      <c r="G8" s="529">
        <v>0</v>
      </c>
      <c r="H8" s="529">
        <v>0</v>
      </c>
      <c r="I8" s="542">
        <v>0</v>
      </c>
      <c r="J8" s="539">
        <v>14</v>
      </c>
      <c r="K8" s="517"/>
      <c r="L8" s="517"/>
      <c r="M8" s="518"/>
      <c r="N8" s="536">
        <v>1</v>
      </c>
      <c r="O8" s="529">
        <v>0</v>
      </c>
      <c r="P8" s="529">
        <v>0</v>
      </c>
      <c r="Q8" s="530">
        <v>0</v>
      </c>
    </row>
  </sheetData>
  <mergeCells count="5">
    <mergeCell ref="N4:Q4"/>
    <mergeCell ref="A1:Q1"/>
    <mergeCell ref="F4:I4"/>
    <mergeCell ref="B4:E4"/>
    <mergeCell ref="J4:M4"/>
  </mergeCells>
  <conditionalFormatting sqref="G3 O3 G6:G1048576 O6:O1048576">
    <cfRule type="cellIs" dxfId="36" priority="1" operator="greaterThan">
      <formula>0.3</formula>
    </cfRule>
  </conditionalFormatting>
  <hyperlinks>
    <hyperlink ref="A2" location="Obsah!A1" display="Zpět na Obsah  KL 01  1.-4.měsíc"/>
  </hyperlinks>
  <pageMargins left="0.25" right="0.25" top="0.75" bottom="0.75" header="0.3" footer="0.3"/>
  <pageSetup paperSize="9" fitToHeight="0" orientation="landscape" r:id="rId1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List11">
    <tabColor theme="0" tint="-0.249977111117893"/>
    <pageSetUpPr fitToPage="1"/>
  </sheetPr>
  <dimension ref="A1:N16"/>
  <sheetViews>
    <sheetView showGridLines="0" showRowColHeaders="0" workbookViewId="0">
      <pane ySplit="4" topLeftCell="A5" activePane="bottomLeft" state="frozen"/>
      <selection activeCell="N30" sqref="N30"/>
      <selection pane="bottomLeft" sqref="A1:L1"/>
    </sheetView>
  </sheetViews>
  <sheetFormatPr defaultRowHeight="14.4" customHeight="1" x14ac:dyDescent="0.3"/>
  <cols>
    <col min="1" max="1" width="9.33203125" style="129" customWidth="1"/>
    <col min="2" max="2" width="34.21875" style="129" customWidth="1"/>
    <col min="3" max="3" width="11.109375" style="129" bestFit="1" customWidth="1"/>
    <col min="4" max="4" width="7.33203125" style="129" bestFit="1" customWidth="1"/>
    <col min="5" max="5" width="11.109375" style="129" bestFit="1" customWidth="1"/>
    <col min="6" max="6" width="5.33203125" style="129" customWidth="1"/>
    <col min="7" max="7" width="7.33203125" style="129" bestFit="1" customWidth="1"/>
    <col min="8" max="8" width="5.33203125" style="129" customWidth="1"/>
    <col min="9" max="9" width="11.109375" style="129" customWidth="1"/>
    <col min="10" max="10" width="5.33203125" style="129" customWidth="1"/>
    <col min="11" max="11" width="7.33203125" style="129" customWidth="1"/>
    <col min="12" max="12" width="5.33203125" style="129" customWidth="1"/>
    <col min="13" max="13" width="0" style="129" hidden="1" customWidth="1"/>
    <col min="14" max="16384" width="8.88671875" style="129"/>
  </cols>
  <sheetData>
    <row r="1" spans="1:14" ht="18.600000000000001" customHeight="1" thickBot="1" x14ac:dyDescent="0.4">
      <c r="A1" s="368" t="s">
        <v>137</v>
      </c>
      <c r="B1" s="368"/>
      <c r="C1" s="368"/>
      <c r="D1" s="368"/>
      <c r="E1" s="368"/>
      <c r="F1" s="368"/>
      <c r="G1" s="368"/>
      <c r="H1" s="368"/>
      <c r="I1" s="330"/>
      <c r="J1" s="330"/>
      <c r="K1" s="330"/>
      <c r="L1" s="330"/>
    </row>
    <row r="2" spans="1:14" ht="14.4" customHeight="1" thickBot="1" x14ac:dyDescent="0.35">
      <c r="A2" s="232" t="s">
        <v>265</v>
      </c>
      <c r="B2" s="206"/>
      <c r="C2" s="206"/>
      <c r="D2" s="206"/>
      <c r="E2" s="206"/>
      <c r="F2" s="206"/>
      <c r="G2" s="206"/>
      <c r="H2" s="206"/>
    </row>
    <row r="3" spans="1:14" ht="14.4" customHeight="1" thickBot="1" x14ac:dyDescent="0.35">
      <c r="A3" s="143"/>
      <c r="B3" s="143"/>
      <c r="C3" s="385" t="s">
        <v>15</v>
      </c>
      <c r="D3" s="384"/>
      <c r="E3" s="384" t="s">
        <v>16</v>
      </c>
      <c r="F3" s="384"/>
      <c r="G3" s="384"/>
      <c r="H3" s="384"/>
      <c r="I3" s="384" t="s">
        <v>144</v>
      </c>
      <c r="J3" s="384"/>
      <c r="K3" s="384"/>
      <c r="L3" s="386"/>
    </row>
    <row r="4" spans="1:14" ht="14.4" customHeight="1" thickBot="1" x14ac:dyDescent="0.35">
      <c r="A4" s="81" t="s">
        <v>17</v>
      </c>
      <c r="B4" s="82" t="s">
        <v>18</v>
      </c>
      <c r="C4" s="83" t="s">
        <v>19</v>
      </c>
      <c r="D4" s="83" t="s">
        <v>20</v>
      </c>
      <c r="E4" s="83" t="s">
        <v>19</v>
      </c>
      <c r="F4" s="83" t="s">
        <v>2</v>
      </c>
      <c r="G4" s="83" t="s">
        <v>20</v>
      </c>
      <c r="H4" s="83" t="s">
        <v>2</v>
      </c>
      <c r="I4" s="83" t="s">
        <v>19</v>
      </c>
      <c r="J4" s="83" t="s">
        <v>2</v>
      </c>
      <c r="K4" s="83" t="s">
        <v>20</v>
      </c>
      <c r="L4" s="84" t="s">
        <v>2</v>
      </c>
    </row>
    <row r="5" spans="1:14" ht="14.4" customHeight="1" x14ac:dyDescent="0.3">
      <c r="A5" s="487">
        <v>28</v>
      </c>
      <c r="B5" s="488" t="s">
        <v>469</v>
      </c>
      <c r="C5" s="491">
        <v>6532.24</v>
      </c>
      <c r="D5" s="491">
        <v>36</v>
      </c>
      <c r="E5" s="491">
        <v>5657.85</v>
      </c>
      <c r="F5" s="543">
        <v>0.86614239525798198</v>
      </c>
      <c r="G5" s="491">
        <v>32</v>
      </c>
      <c r="H5" s="543">
        <v>0.88888888888888884</v>
      </c>
      <c r="I5" s="491">
        <v>874.38999999999987</v>
      </c>
      <c r="J5" s="543">
        <v>0.13385760474201805</v>
      </c>
      <c r="K5" s="491">
        <v>4</v>
      </c>
      <c r="L5" s="543">
        <v>0.1111111111111111</v>
      </c>
      <c r="M5" s="491" t="s">
        <v>68</v>
      </c>
      <c r="N5" s="150"/>
    </row>
    <row r="6" spans="1:14" ht="14.4" customHeight="1" x14ac:dyDescent="0.3">
      <c r="A6" s="487">
        <v>28</v>
      </c>
      <c r="B6" s="488" t="s">
        <v>470</v>
      </c>
      <c r="C6" s="491">
        <v>6532.24</v>
      </c>
      <c r="D6" s="491">
        <v>36</v>
      </c>
      <c r="E6" s="491">
        <v>5657.85</v>
      </c>
      <c r="F6" s="543">
        <v>0.86614239525798198</v>
      </c>
      <c r="G6" s="491">
        <v>32</v>
      </c>
      <c r="H6" s="543">
        <v>0.88888888888888884</v>
      </c>
      <c r="I6" s="491">
        <v>874.38999999999987</v>
      </c>
      <c r="J6" s="543">
        <v>0.13385760474201805</v>
      </c>
      <c r="K6" s="491">
        <v>4</v>
      </c>
      <c r="L6" s="543">
        <v>0.1111111111111111</v>
      </c>
      <c r="M6" s="491" t="s">
        <v>1</v>
      </c>
      <c r="N6" s="150"/>
    </row>
    <row r="7" spans="1:14" ht="14.4" customHeight="1" x14ac:dyDescent="0.3">
      <c r="A7" s="487" t="s">
        <v>441</v>
      </c>
      <c r="B7" s="488" t="s">
        <v>3</v>
      </c>
      <c r="C7" s="491">
        <v>6532.24</v>
      </c>
      <c r="D7" s="491">
        <v>36</v>
      </c>
      <c r="E7" s="491">
        <v>5657.85</v>
      </c>
      <c r="F7" s="543">
        <v>0.86614239525798198</v>
      </c>
      <c r="G7" s="491">
        <v>32</v>
      </c>
      <c r="H7" s="543">
        <v>0.88888888888888884</v>
      </c>
      <c r="I7" s="491">
        <v>874.38999999999987</v>
      </c>
      <c r="J7" s="543">
        <v>0.13385760474201805</v>
      </c>
      <c r="K7" s="491">
        <v>4</v>
      </c>
      <c r="L7" s="543">
        <v>0.1111111111111111</v>
      </c>
      <c r="M7" s="491" t="s">
        <v>448</v>
      </c>
      <c r="N7" s="150"/>
    </row>
    <row r="9" spans="1:14" ht="14.4" customHeight="1" x14ac:dyDescent="0.3">
      <c r="A9" s="487">
        <v>28</v>
      </c>
      <c r="B9" s="488" t="s">
        <v>469</v>
      </c>
      <c r="C9" s="491" t="s">
        <v>443</v>
      </c>
      <c r="D9" s="491" t="s">
        <v>443</v>
      </c>
      <c r="E9" s="491" t="s">
        <v>443</v>
      </c>
      <c r="F9" s="543" t="s">
        <v>443</v>
      </c>
      <c r="G9" s="491" t="s">
        <v>443</v>
      </c>
      <c r="H9" s="543" t="s">
        <v>443</v>
      </c>
      <c r="I9" s="491" t="s">
        <v>443</v>
      </c>
      <c r="J9" s="543" t="s">
        <v>443</v>
      </c>
      <c r="K9" s="491" t="s">
        <v>443</v>
      </c>
      <c r="L9" s="543" t="s">
        <v>443</v>
      </c>
      <c r="M9" s="491" t="s">
        <v>68</v>
      </c>
      <c r="N9" s="150"/>
    </row>
    <row r="10" spans="1:14" ht="14.4" customHeight="1" x14ac:dyDescent="0.3">
      <c r="A10" s="487" t="s">
        <v>471</v>
      </c>
      <c r="B10" s="488" t="s">
        <v>470</v>
      </c>
      <c r="C10" s="491">
        <v>6532.24</v>
      </c>
      <c r="D10" s="491">
        <v>36</v>
      </c>
      <c r="E10" s="491">
        <v>5657.85</v>
      </c>
      <c r="F10" s="543">
        <v>0.86614239525798198</v>
      </c>
      <c r="G10" s="491">
        <v>32</v>
      </c>
      <c r="H10" s="543">
        <v>0.88888888888888884</v>
      </c>
      <c r="I10" s="491">
        <v>874.38999999999987</v>
      </c>
      <c r="J10" s="543">
        <v>0.13385760474201805</v>
      </c>
      <c r="K10" s="491">
        <v>4</v>
      </c>
      <c r="L10" s="543">
        <v>0.1111111111111111</v>
      </c>
      <c r="M10" s="491" t="s">
        <v>1</v>
      </c>
      <c r="N10" s="150"/>
    </row>
    <row r="11" spans="1:14" ht="14.4" customHeight="1" x14ac:dyDescent="0.3">
      <c r="A11" s="487" t="s">
        <v>471</v>
      </c>
      <c r="B11" s="488" t="s">
        <v>472</v>
      </c>
      <c r="C11" s="491">
        <v>6532.24</v>
      </c>
      <c r="D11" s="491">
        <v>36</v>
      </c>
      <c r="E11" s="491">
        <v>5657.85</v>
      </c>
      <c r="F11" s="543">
        <v>0.86614239525798198</v>
      </c>
      <c r="G11" s="491">
        <v>32</v>
      </c>
      <c r="H11" s="543">
        <v>0.88888888888888884</v>
      </c>
      <c r="I11" s="491">
        <v>874.38999999999987</v>
      </c>
      <c r="J11" s="543">
        <v>0.13385760474201805</v>
      </c>
      <c r="K11" s="491">
        <v>4</v>
      </c>
      <c r="L11" s="543">
        <v>0.1111111111111111</v>
      </c>
      <c r="M11" s="491" t="s">
        <v>452</v>
      </c>
      <c r="N11" s="150"/>
    </row>
    <row r="12" spans="1:14" ht="14.4" customHeight="1" x14ac:dyDescent="0.3">
      <c r="A12" s="487" t="s">
        <v>443</v>
      </c>
      <c r="B12" s="488" t="s">
        <v>443</v>
      </c>
      <c r="C12" s="491" t="s">
        <v>443</v>
      </c>
      <c r="D12" s="491" t="s">
        <v>443</v>
      </c>
      <c r="E12" s="491" t="s">
        <v>443</v>
      </c>
      <c r="F12" s="543" t="s">
        <v>443</v>
      </c>
      <c r="G12" s="491" t="s">
        <v>443</v>
      </c>
      <c r="H12" s="543" t="s">
        <v>443</v>
      </c>
      <c r="I12" s="491" t="s">
        <v>443</v>
      </c>
      <c r="J12" s="543" t="s">
        <v>443</v>
      </c>
      <c r="K12" s="491" t="s">
        <v>443</v>
      </c>
      <c r="L12" s="543" t="s">
        <v>443</v>
      </c>
      <c r="M12" s="491" t="s">
        <v>453</v>
      </c>
      <c r="N12" s="150"/>
    </row>
    <row r="13" spans="1:14" ht="14.4" customHeight="1" x14ac:dyDescent="0.3">
      <c r="A13" s="487" t="s">
        <v>441</v>
      </c>
      <c r="B13" s="488" t="s">
        <v>473</v>
      </c>
      <c r="C13" s="491">
        <v>6532.24</v>
      </c>
      <c r="D13" s="491">
        <v>36</v>
      </c>
      <c r="E13" s="491">
        <v>5657.85</v>
      </c>
      <c r="F13" s="543">
        <v>0.86614239525798198</v>
      </c>
      <c r="G13" s="491">
        <v>32</v>
      </c>
      <c r="H13" s="543">
        <v>0.88888888888888884</v>
      </c>
      <c r="I13" s="491">
        <v>874.38999999999987</v>
      </c>
      <c r="J13" s="543">
        <v>0.13385760474201805</v>
      </c>
      <c r="K13" s="491">
        <v>4</v>
      </c>
      <c r="L13" s="543">
        <v>0.1111111111111111</v>
      </c>
      <c r="M13" s="491" t="s">
        <v>448</v>
      </c>
      <c r="N13" s="150"/>
    </row>
    <row r="14" spans="1:14" ht="14.4" customHeight="1" x14ac:dyDescent="0.3">
      <c r="A14" s="544" t="s">
        <v>242</v>
      </c>
    </row>
    <row r="15" spans="1:14" ht="14.4" customHeight="1" x14ac:dyDescent="0.3">
      <c r="A15" s="545" t="s">
        <v>474</v>
      </c>
    </row>
    <row r="16" spans="1:14" ht="14.4" customHeight="1" x14ac:dyDescent="0.3">
      <c r="A16" s="544" t="s">
        <v>475</v>
      </c>
    </row>
  </sheetData>
  <autoFilter ref="A4:M4"/>
  <mergeCells count="4">
    <mergeCell ref="E3:H3"/>
    <mergeCell ref="C3:D3"/>
    <mergeCell ref="I3:L3"/>
    <mergeCell ref="A1:L1"/>
  </mergeCells>
  <conditionalFormatting sqref="F4 F8 F14:F1048576">
    <cfRule type="cellIs" dxfId="35" priority="15" stopIfTrue="1" operator="lessThan">
      <formula>0.6</formula>
    </cfRule>
  </conditionalFormatting>
  <conditionalFormatting sqref="B5:B7">
    <cfRule type="expression" dxfId="34" priority="10">
      <formula>AND(LEFT(M5,6)&lt;&gt;"mezera",M5&lt;&gt;"")</formula>
    </cfRule>
  </conditionalFormatting>
  <conditionalFormatting sqref="A5:A7">
    <cfRule type="expression" dxfId="33" priority="8">
      <formula>AND(M5&lt;&gt;"",M5&lt;&gt;"mezeraKL")</formula>
    </cfRule>
  </conditionalFormatting>
  <conditionalFormatting sqref="F5:F7">
    <cfRule type="cellIs" dxfId="32" priority="7" operator="lessThan">
      <formula>0.6</formula>
    </cfRule>
  </conditionalFormatting>
  <conditionalFormatting sqref="B5:L7">
    <cfRule type="expression" dxfId="31" priority="9">
      <formula>OR($M5="KL",$M5="SumaKL")</formula>
    </cfRule>
    <cfRule type="expression" dxfId="30" priority="11">
      <formula>$M5="SumaNS"</formula>
    </cfRule>
  </conditionalFormatting>
  <conditionalFormatting sqref="A5:L7">
    <cfRule type="expression" dxfId="29" priority="12">
      <formula>$M5&lt;&gt;""</formula>
    </cfRule>
  </conditionalFormatting>
  <conditionalFormatting sqref="B9:B13">
    <cfRule type="expression" dxfId="28" priority="4">
      <formula>AND(LEFT(M9,6)&lt;&gt;"mezera",M9&lt;&gt;"")</formula>
    </cfRule>
  </conditionalFormatting>
  <conditionalFormatting sqref="A9:A13">
    <cfRule type="expression" dxfId="27" priority="2">
      <formula>AND(M9&lt;&gt;"",M9&lt;&gt;"mezeraKL")</formula>
    </cfRule>
  </conditionalFormatting>
  <conditionalFormatting sqref="F9:F13">
    <cfRule type="cellIs" dxfId="26" priority="1" operator="lessThan">
      <formula>0.6</formula>
    </cfRule>
  </conditionalFormatting>
  <conditionalFormatting sqref="B9:L13">
    <cfRule type="expression" dxfId="25" priority="3">
      <formula>OR($M9="KL",$M9="SumaKL")</formula>
    </cfRule>
    <cfRule type="expression" dxfId="24" priority="5">
      <formula>$M9="SumaNS"</formula>
    </cfRule>
  </conditionalFormatting>
  <conditionalFormatting sqref="A9:L13">
    <cfRule type="expression" dxfId="23" priority="6">
      <formula>$M9&lt;&gt;""</formula>
    </cfRule>
  </conditionalFormatting>
  <hyperlinks>
    <hyperlink ref="A2" location="Obsah!A1" display="Zpět na Obsah  KL 01  1.-4.měsíc"/>
  </hyperlinks>
  <pageMargins left="0.25" right="0.25" top="0.75" bottom="0.75" header="0.3" footer="0.3"/>
  <pageSetup paperSize="9" fitToHeight="0" orientation="portrait" r:id="rId1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List30">
    <tabColor theme="0" tint="-0.249977111117893"/>
    <pageSetUpPr fitToPage="1"/>
  </sheetPr>
  <dimension ref="A1:M8"/>
  <sheetViews>
    <sheetView showGridLines="0" showRowColHeaders="0" workbookViewId="0">
      <pane ySplit="4" topLeftCell="A5" activePane="bottomLeft" state="frozen"/>
      <selection activeCell="N30" sqref="N30"/>
      <selection pane="bottomLeft" sqref="A1:M1"/>
    </sheetView>
  </sheetViews>
  <sheetFormatPr defaultRowHeight="14.4" customHeight="1" x14ac:dyDescent="0.3"/>
  <cols>
    <col min="1" max="1" width="30.88671875" style="129" customWidth="1"/>
    <col min="2" max="2" width="11.109375" style="207" bestFit="1" customWidth="1"/>
    <col min="3" max="3" width="11.109375" style="129" hidden="1" customWidth="1"/>
    <col min="4" max="4" width="7.33203125" style="207" bestFit="1" customWidth="1"/>
    <col min="5" max="5" width="7.33203125" style="129" hidden="1" customWidth="1"/>
    <col min="6" max="6" width="11.109375" style="207" bestFit="1" customWidth="1"/>
    <col min="7" max="7" width="5.33203125" style="210" customWidth="1"/>
    <col min="8" max="8" width="7.33203125" style="207" bestFit="1" customWidth="1"/>
    <col min="9" max="9" width="5.33203125" style="210" customWidth="1"/>
    <col min="10" max="10" width="11.109375" style="207" customWidth="1"/>
    <col min="11" max="11" width="5.33203125" style="210" customWidth="1"/>
    <col min="12" max="12" width="7.33203125" style="207" customWidth="1"/>
    <col min="13" max="13" width="5.33203125" style="210" customWidth="1"/>
    <col min="14" max="14" width="0" style="129" hidden="1" customWidth="1"/>
    <col min="15" max="16384" width="8.88671875" style="129"/>
  </cols>
  <sheetData>
    <row r="1" spans="1:13" ht="18.600000000000001" customHeight="1" thickBot="1" x14ac:dyDescent="0.4">
      <c r="A1" s="368" t="s">
        <v>145</v>
      </c>
      <c r="B1" s="368"/>
      <c r="C1" s="368"/>
      <c r="D1" s="368"/>
      <c r="E1" s="368"/>
      <c r="F1" s="368"/>
      <c r="G1" s="368"/>
      <c r="H1" s="368"/>
      <c r="I1" s="368"/>
      <c r="J1" s="330"/>
      <c r="K1" s="330"/>
      <c r="L1" s="330"/>
      <c r="M1" s="330"/>
    </row>
    <row r="2" spans="1:13" ht="14.4" customHeight="1" thickBot="1" x14ac:dyDescent="0.35">
      <c r="A2" s="232" t="s">
        <v>265</v>
      </c>
      <c r="B2" s="214"/>
      <c r="C2" s="206"/>
      <c r="D2" s="214"/>
      <c r="E2" s="206"/>
      <c r="F2" s="214"/>
      <c r="G2" s="215"/>
      <c r="H2" s="214"/>
      <c r="I2" s="215"/>
    </row>
    <row r="3" spans="1:13" ht="14.4" customHeight="1" thickBot="1" x14ac:dyDescent="0.35">
      <c r="A3" s="143"/>
      <c r="B3" s="385" t="s">
        <v>15</v>
      </c>
      <c r="C3" s="387"/>
      <c r="D3" s="384"/>
      <c r="E3" s="142"/>
      <c r="F3" s="384" t="s">
        <v>16</v>
      </c>
      <c r="G3" s="384"/>
      <c r="H3" s="384"/>
      <c r="I3" s="384"/>
      <c r="J3" s="384" t="s">
        <v>144</v>
      </c>
      <c r="K3" s="384"/>
      <c r="L3" s="384"/>
      <c r="M3" s="386"/>
    </row>
    <row r="4" spans="1:13" ht="14.4" customHeight="1" thickBot="1" x14ac:dyDescent="0.35">
      <c r="A4" s="519" t="s">
        <v>134</v>
      </c>
      <c r="B4" s="520" t="s">
        <v>19</v>
      </c>
      <c r="C4" s="549"/>
      <c r="D4" s="520" t="s">
        <v>20</v>
      </c>
      <c r="E4" s="549"/>
      <c r="F4" s="520" t="s">
        <v>19</v>
      </c>
      <c r="G4" s="523" t="s">
        <v>2</v>
      </c>
      <c r="H4" s="520" t="s">
        <v>20</v>
      </c>
      <c r="I4" s="523" t="s">
        <v>2</v>
      </c>
      <c r="J4" s="520" t="s">
        <v>19</v>
      </c>
      <c r="K4" s="523" t="s">
        <v>2</v>
      </c>
      <c r="L4" s="520" t="s">
        <v>20</v>
      </c>
      <c r="M4" s="524" t="s">
        <v>2</v>
      </c>
    </row>
    <row r="5" spans="1:13" ht="14.4" customHeight="1" x14ac:dyDescent="0.3">
      <c r="A5" s="546" t="s">
        <v>476</v>
      </c>
      <c r="B5" s="537">
        <v>0</v>
      </c>
      <c r="C5" s="499"/>
      <c r="D5" s="550">
        <v>1</v>
      </c>
      <c r="E5" s="553" t="s">
        <v>476</v>
      </c>
      <c r="F5" s="537">
        <v>0</v>
      </c>
      <c r="G5" s="525"/>
      <c r="H5" s="503">
        <v>1</v>
      </c>
      <c r="I5" s="526">
        <v>1</v>
      </c>
      <c r="J5" s="556"/>
      <c r="K5" s="525"/>
      <c r="L5" s="503"/>
      <c r="M5" s="526">
        <v>0</v>
      </c>
    </row>
    <row r="6" spans="1:13" ht="14.4" customHeight="1" x14ac:dyDescent="0.3">
      <c r="A6" s="547" t="s">
        <v>477</v>
      </c>
      <c r="B6" s="538">
        <v>107.27</v>
      </c>
      <c r="C6" s="506">
        <v>1</v>
      </c>
      <c r="D6" s="551">
        <v>1</v>
      </c>
      <c r="E6" s="554" t="s">
        <v>477</v>
      </c>
      <c r="F6" s="538">
        <v>107.27</v>
      </c>
      <c r="G6" s="527">
        <v>1</v>
      </c>
      <c r="H6" s="510">
        <v>1</v>
      </c>
      <c r="I6" s="528">
        <v>1</v>
      </c>
      <c r="J6" s="557"/>
      <c r="K6" s="527">
        <v>0</v>
      </c>
      <c r="L6" s="510"/>
      <c r="M6" s="528">
        <v>0</v>
      </c>
    </row>
    <row r="7" spans="1:13" ht="14.4" customHeight="1" x14ac:dyDescent="0.3">
      <c r="A7" s="547" t="s">
        <v>478</v>
      </c>
      <c r="B7" s="538">
        <v>3238.7900000000004</v>
      </c>
      <c r="C7" s="506">
        <v>1</v>
      </c>
      <c r="D7" s="551">
        <v>14</v>
      </c>
      <c r="E7" s="554" t="s">
        <v>478</v>
      </c>
      <c r="F7" s="538">
        <v>2387.6700000000005</v>
      </c>
      <c r="G7" s="527">
        <v>0.73721050145270306</v>
      </c>
      <c r="H7" s="510">
        <v>11</v>
      </c>
      <c r="I7" s="528">
        <v>0.7857142857142857</v>
      </c>
      <c r="J7" s="557">
        <v>851.11999999999989</v>
      </c>
      <c r="K7" s="527">
        <v>0.26278949854729694</v>
      </c>
      <c r="L7" s="510">
        <v>3</v>
      </c>
      <c r="M7" s="528">
        <v>0.21428571428571427</v>
      </c>
    </row>
    <row r="8" spans="1:13" ht="14.4" customHeight="1" thickBot="1" x14ac:dyDescent="0.35">
      <c r="A8" s="548" t="s">
        <v>479</v>
      </c>
      <c r="B8" s="539">
        <v>3186.1800000000003</v>
      </c>
      <c r="C8" s="513">
        <v>1</v>
      </c>
      <c r="D8" s="552">
        <v>20</v>
      </c>
      <c r="E8" s="555" t="s">
        <v>479</v>
      </c>
      <c r="F8" s="539">
        <v>3162.9100000000003</v>
      </c>
      <c r="G8" s="529">
        <v>0.99269658336942668</v>
      </c>
      <c r="H8" s="517">
        <v>19</v>
      </c>
      <c r="I8" s="530">
        <v>0.95</v>
      </c>
      <c r="J8" s="558">
        <v>23.27</v>
      </c>
      <c r="K8" s="529">
        <v>7.3034166305732872E-3</v>
      </c>
      <c r="L8" s="517">
        <v>1</v>
      </c>
      <c r="M8" s="530">
        <v>0.05</v>
      </c>
    </row>
  </sheetData>
  <autoFilter ref="A4:N4"/>
  <mergeCells count="4">
    <mergeCell ref="A1:M1"/>
    <mergeCell ref="B3:D3"/>
    <mergeCell ref="F3:I3"/>
    <mergeCell ref="J3:M3"/>
  </mergeCells>
  <conditionalFormatting sqref="G4:G1048576">
    <cfRule type="cellIs" dxfId="22" priority="3" stopIfTrue="1" operator="lessThan">
      <formula>0.6</formula>
    </cfRule>
  </conditionalFormatting>
  <conditionalFormatting sqref="J5:J1048576">
    <cfRule type="dataBar" priority="1">
      <dataBar>
        <cfvo type="min"/>
        <cfvo type="max"/>
        <color theme="3" tint="0.39997558519241921"/>
      </dataBar>
      <extLst>
        <ext xmlns:x14="http://schemas.microsoft.com/office/spreadsheetml/2009/9/main" uri="{B025F937-C7B1-47D3-B67F-A62EFF666E3E}">
          <x14:id>{E480ADD4-2810-4060-A9FE-A649FEFEF1AC}</x14:id>
        </ext>
      </extLst>
    </cfRule>
  </conditionalFormatting>
  <hyperlinks>
    <hyperlink ref="A2" location="Obsah!A1" display="Zpět na Obsah  KL 01  1.-4.měsíc"/>
  </hyperlinks>
  <pageMargins left="0.25" right="0.25" top="0.75" bottom="0.75" header="0.3" footer="0.3"/>
  <pageSetup paperSize="9" fitToHeight="0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dataBar" id="{E480ADD4-2810-4060-A9FE-A649FEFEF1AC}">
            <x14:dataBar minLength="0" maxLength="100">
              <x14:cfvo type="autoMin"/>
              <x14:cfvo type="autoMax"/>
              <x14:negativeFillColor rgb="FFFF0000"/>
              <x14:axisColor rgb="FF000000"/>
            </x14:dataBar>
          </x14:cfRule>
          <xm:sqref>J5:J1048576</xm:sqref>
        </x14:conditionalFormatting>
      </x14:conditionalFormattings>
    </ext>
  </extLst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List12">
    <tabColor theme="0" tint="-0.249977111117893"/>
    <pageSetUpPr fitToPage="1"/>
  </sheetPr>
  <dimension ref="A1:U43"/>
  <sheetViews>
    <sheetView showGridLines="0" showRowColHeaders="0" topLeftCell="C1" workbookViewId="0">
      <pane ySplit="6" topLeftCell="A7" activePane="bottomLeft" state="frozen"/>
      <selection activeCell="N30" sqref="N30"/>
      <selection pane="bottomLeft" sqref="A1:U1"/>
    </sheetView>
  </sheetViews>
  <sheetFormatPr defaultRowHeight="14.4" customHeight="1" outlineLevelCol="1" x14ac:dyDescent="0.3"/>
  <cols>
    <col min="1" max="1" width="9.77734375" style="129" hidden="1" customWidth="1" outlineLevel="1"/>
    <col min="2" max="2" width="28.33203125" style="129" hidden="1" customWidth="1" outlineLevel="1"/>
    <col min="3" max="3" width="9" style="129" customWidth="1" collapsed="1"/>
    <col min="4" max="4" width="18.77734375" style="218" customWidth="1"/>
    <col min="5" max="5" width="13.5546875" style="208" customWidth="1"/>
    <col min="6" max="6" width="6" style="129" bestFit="1" customWidth="1"/>
    <col min="7" max="7" width="8.77734375" style="129" customWidth="1"/>
    <col min="8" max="8" width="5" style="129" bestFit="1" customWidth="1"/>
    <col min="9" max="9" width="8.5546875" style="129" hidden="1" customWidth="1" outlineLevel="1"/>
    <col min="10" max="10" width="25.77734375" style="129" customWidth="1" collapsed="1"/>
    <col min="11" max="11" width="8.77734375" style="129" customWidth="1"/>
    <col min="12" max="12" width="7.77734375" style="209" customWidth="1"/>
    <col min="13" max="13" width="11.109375" style="209" customWidth="1"/>
    <col min="14" max="14" width="7.77734375" style="129" customWidth="1"/>
    <col min="15" max="15" width="7.77734375" style="219" customWidth="1"/>
    <col min="16" max="16" width="11.109375" style="209" customWidth="1"/>
    <col min="17" max="17" width="5.44140625" style="210" bestFit="1" customWidth="1"/>
    <col min="18" max="18" width="7.77734375" style="129" customWidth="1"/>
    <col min="19" max="19" width="5.44140625" style="210" bestFit="1" customWidth="1"/>
    <col min="20" max="20" width="7.77734375" style="219" customWidth="1"/>
    <col min="21" max="21" width="5.44140625" style="210" bestFit="1" customWidth="1"/>
    <col min="22" max="16384" width="8.88671875" style="129"/>
  </cols>
  <sheetData>
    <row r="1" spans="1:21" ht="18.600000000000001" customHeight="1" thickBot="1" x14ac:dyDescent="0.4">
      <c r="A1" s="359" t="s">
        <v>607</v>
      </c>
      <c r="B1" s="330"/>
      <c r="C1" s="330"/>
      <c r="D1" s="330"/>
      <c r="E1" s="330"/>
      <c r="F1" s="330"/>
      <c r="G1" s="330"/>
      <c r="H1" s="330"/>
      <c r="I1" s="330"/>
      <c r="J1" s="330"/>
      <c r="K1" s="330"/>
      <c r="L1" s="330"/>
      <c r="M1" s="330"/>
      <c r="N1" s="330"/>
      <c r="O1" s="330"/>
      <c r="P1" s="330"/>
      <c r="Q1" s="330"/>
      <c r="R1" s="330"/>
      <c r="S1" s="330"/>
      <c r="T1" s="330"/>
      <c r="U1" s="330"/>
    </row>
    <row r="2" spans="1:21" ht="14.4" customHeight="1" thickBot="1" x14ac:dyDescent="0.35">
      <c r="A2" s="232" t="s">
        <v>265</v>
      </c>
      <c r="B2" s="216"/>
      <c r="C2" s="206"/>
      <c r="D2" s="206"/>
      <c r="E2" s="217"/>
      <c r="F2" s="206"/>
      <c r="G2" s="206"/>
      <c r="H2" s="206"/>
      <c r="I2" s="206"/>
      <c r="J2" s="206"/>
      <c r="K2" s="206"/>
      <c r="L2" s="206"/>
      <c r="M2" s="206"/>
      <c r="N2" s="206"/>
      <c r="O2" s="206"/>
      <c r="P2" s="206"/>
      <c r="Q2" s="206"/>
      <c r="R2" s="206"/>
      <c r="S2" s="206"/>
      <c r="T2" s="206"/>
      <c r="U2" s="206"/>
    </row>
    <row r="3" spans="1:21" ht="14.4" customHeight="1" thickBot="1" x14ac:dyDescent="0.35">
      <c r="A3" s="391"/>
      <c r="B3" s="392"/>
      <c r="C3" s="392"/>
      <c r="D3" s="392"/>
      <c r="E3" s="392"/>
      <c r="F3" s="392"/>
      <c r="G3" s="392"/>
      <c r="H3" s="392"/>
      <c r="I3" s="392"/>
      <c r="J3" s="392"/>
      <c r="K3" s="393" t="s">
        <v>127</v>
      </c>
      <c r="L3" s="394"/>
      <c r="M3" s="66">
        <f>SUBTOTAL(9,M7:M1048576)</f>
        <v>6532.2400000000025</v>
      </c>
      <c r="N3" s="66">
        <f>SUBTOTAL(9,N7:N1048576)</f>
        <v>79</v>
      </c>
      <c r="O3" s="66">
        <f>SUBTOTAL(9,O7:O1048576)</f>
        <v>36</v>
      </c>
      <c r="P3" s="66">
        <f>SUBTOTAL(9,P7:P1048576)</f>
        <v>5657.8500000000022</v>
      </c>
      <c r="Q3" s="67">
        <f>IF(M3=0,0,P3/M3)</f>
        <v>0.86614239525798198</v>
      </c>
      <c r="R3" s="66">
        <f>SUBTOTAL(9,R7:R1048576)</f>
        <v>69</v>
      </c>
      <c r="S3" s="67">
        <f>IF(N3=0,0,R3/N3)</f>
        <v>0.87341772151898733</v>
      </c>
      <c r="T3" s="66">
        <f>SUBTOTAL(9,T7:T1048576)</f>
        <v>32</v>
      </c>
      <c r="U3" s="68">
        <f>IF(O3=0,0,T3/O3)</f>
        <v>0.88888888888888884</v>
      </c>
    </row>
    <row r="4" spans="1:21" ht="14.4" customHeight="1" x14ac:dyDescent="0.3">
      <c r="A4" s="69"/>
      <c r="B4" s="70"/>
      <c r="C4" s="70"/>
      <c r="D4" s="71"/>
      <c r="E4" s="143"/>
      <c r="F4" s="70"/>
      <c r="G4" s="70"/>
      <c r="H4" s="70"/>
      <c r="I4" s="70"/>
      <c r="J4" s="70"/>
      <c r="K4" s="70"/>
      <c r="L4" s="70"/>
      <c r="M4" s="395" t="s">
        <v>15</v>
      </c>
      <c r="N4" s="396"/>
      <c r="O4" s="396"/>
      <c r="P4" s="397" t="s">
        <v>21</v>
      </c>
      <c r="Q4" s="396"/>
      <c r="R4" s="396"/>
      <c r="S4" s="396"/>
      <c r="T4" s="396"/>
      <c r="U4" s="398"/>
    </row>
    <row r="5" spans="1:21" ht="14.4" customHeight="1" thickBot="1" x14ac:dyDescent="0.35">
      <c r="A5" s="72"/>
      <c r="B5" s="73"/>
      <c r="C5" s="70"/>
      <c r="D5" s="71"/>
      <c r="E5" s="143"/>
      <c r="F5" s="70"/>
      <c r="G5" s="70"/>
      <c r="H5" s="70"/>
      <c r="I5" s="70"/>
      <c r="J5" s="70"/>
      <c r="K5" s="70"/>
      <c r="L5" s="70"/>
      <c r="M5" s="85" t="s">
        <v>22</v>
      </c>
      <c r="N5" s="86" t="s">
        <v>13</v>
      </c>
      <c r="O5" s="86" t="s">
        <v>20</v>
      </c>
      <c r="P5" s="388" t="s">
        <v>22</v>
      </c>
      <c r="Q5" s="389"/>
      <c r="R5" s="388" t="s">
        <v>13</v>
      </c>
      <c r="S5" s="389"/>
      <c r="T5" s="388" t="s">
        <v>20</v>
      </c>
      <c r="U5" s="390"/>
    </row>
    <row r="6" spans="1:21" s="208" customFormat="1" ht="14.4" customHeight="1" thickBot="1" x14ac:dyDescent="0.35">
      <c r="A6" s="559" t="s">
        <v>23</v>
      </c>
      <c r="B6" s="560" t="s">
        <v>5</v>
      </c>
      <c r="C6" s="559" t="s">
        <v>24</v>
      </c>
      <c r="D6" s="560" t="s">
        <v>6</v>
      </c>
      <c r="E6" s="560" t="s">
        <v>147</v>
      </c>
      <c r="F6" s="560" t="s">
        <v>25</v>
      </c>
      <c r="G6" s="560" t="s">
        <v>26</v>
      </c>
      <c r="H6" s="560" t="s">
        <v>8</v>
      </c>
      <c r="I6" s="560" t="s">
        <v>10</v>
      </c>
      <c r="J6" s="560" t="s">
        <v>11</v>
      </c>
      <c r="K6" s="560" t="s">
        <v>12</v>
      </c>
      <c r="L6" s="560" t="s">
        <v>27</v>
      </c>
      <c r="M6" s="561" t="s">
        <v>14</v>
      </c>
      <c r="N6" s="562" t="s">
        <v>28</v>
      </c>
      <c r="O6" s="562" t="s">
        <v>28</v>
      </c>
      <c r="P6" s="562" t="s">
        <v>14</v>
      </c>
      <c r="Q6" s="562" t="s">
        <v>2</v>
      </c>
      <c r="R6" s="562" t="s">
        <v>28</v>
      </c>
      <c r="S6" s="562" t="s">
        <v>2</v>
      </c>
      <c r="T6" s="562" t="s">
        <v>28</v>
      </c>
      <c r="U6" s="563" t="s">
        <v>2</v>
      </c>
    </row>
    <row r="7" spans="1:21" ht="14.4" customHeight="1" x14ac:dyDescent="0.3">
      <c r="A7" s="564">
        <v>28</v>
      </c>
      <c r="B7" s="565" t="s">
        <v>469</v>
      </c>
      <c r="C7" s="565" t="s">
        <v>471</v>
      </c>
      <c r="D7" s="566" t="s">
        <v>605</v>
      </c>
      <c r="E7" s="567" t="s">
        <v>478</v>
      </c>
      <c r="F7" s="565" t="s">
        <v>470</v>
      </c>
      <c r="G7" s="565" t="s">
        <v>480</v>
      </c>
      <c r="H7" s="565" t="s">
        <v>606</v>
      </c>
      <c r="I7" s="565" t="s">
        <v>481</v>
      </c>
      <c r="J7" s="565" t="s">
        <v>482</v>
      </c>
      <c r="K7" s="565" t="s">
        <v>483</v>
      </c>
      <c r="L7" s="568">
        <v>58.77</v>
      </c>
      <c r="M7" s="568">
        <v>58.77</v>
      </c>
      <c r="N7" s="565">
        <v>1</v>
      </c>
      <c r="O7" s="569">
        <v>1</v>
      </c>
      <c r="P7" s="568">
        <v>58.77</v>
      </c>
      <c r="Q7" s="570">
        <v>1</v>
      </c>
      <c r="R7" s="565">
        <v>1</v>
      </c>
      <c r="S7" s="570">
        <v>1</v>
      </c>
      <c r="T7" s="569">
        <v>1</v>
      </c>
      <c r="U7" s="122">
        <v>1</v>
      </c>
    </row>
    <row r="8" spans="1:21" ht="14.4" customHeight="1" x14ac:dyDescent="0.3">
      <c r="A8" s="571">
        <v>28</v>
      </c>
      <c r="B8" s="572" t="s">
        <v>469</v>
      </c>
      <c r="C8" s="572" t="s">
        <v>471</v>
      </c>
      <c r="D8" s="573" t="s">
        <v>605</v>
      </c>
      <c r="E8" s="574" t="s">
        <v>478</v>
      </c>
      <c r="F8" s="572" t="s">
        <v>470</v>
      </c>
      <c r="G8" s="572" t="s">
        <v>484</v>
      </c>
      <c r="H8" s="572" t="s">
        <v>443</v>
      </c>
      <c r="I8" s="572" t="s">
        <v>485</v>
      </c>
      <c r="J8" s="572" t="s">
        <v>486</v>
      </c>
      <c r="K8" s="572" t="s">
        <v>487</v>
      </c>
      <c r="L8" s="575">
        <v>37.61</v>
      </c>
      <c r="M8" s="575">
        <v>112.83</v>
      </c>
      <c r="N8" s="572">
        <v>3</v>
      </c>
      <c r="O8" s="576">
        <v>0.5</v>
      </c>
      <c r="P8" s="575">
        <v>112.83</v>
      </c>
      <c r="Q8" s="577">
        <v>1</v>
      </c>
      <c r="R8" s="572">
        <v>3</v>
      </c>
      <c r="S8" s="577">
        <v>1</v>
      </c>
      <c r="T8" s="576">
        <v>0.5</v>
      </c>
      <c r="U8" s="578">
        <v>1</v>
      </c>
    </row>
    <row r="9" spans="1:21" ht="14.4" customHeight="1" x14ac:dyDescent="0.3">
      <c r="A9" s="571">
        <v>28</v>
      </c>
      <c r="B9" s="572" t="s">
        <v>469</v>
      </c>
      <c r="C9" s="572" t="s">
        <v>471</v>
      </c>
      <c r="D9" s="573" t="s">
        <v>605</v>
      </c>
      <c r="E9" s="574" t="s">
        <v>478</v>
      </c>
      <c r="F9" s="572" t="s">
        <v>470</v>
      </c>
      <c r="G9" s="572" t="s">
        <v>488</v>
      </c>
      <c r="H9" s="572" t="s">
        <v>443</v>
      </c>
      <c r="I9" s="572" t="s">
        <v>489</v>
      </c>
      <c r="J9" s="572" t="s">
        <v>490</v>
      </c>
      <c r="K9" s="572" t="s">
        <v>491</v>
      </c>
      <c r="L9" s="575">
        <v>56.9</v>
      </c>
      <c r="M9" s="575">
        <v>170.7</v>
      </c>
      <c r="N9" s="572">
        <v>3</v>
      </c>
      <c r="O9" s="576">
        <v>1</v>
      </c>
      <c r="P9" s="575">
        <v>170.7</v>
      </c>
      <c r="Q9" s="577">
        <v>1</v>
      </c>
      <c r="R9" s="572">
        <v>3</v>
      </c>
      <c r="S9" s="577">
        <v>1</v>
      </c>
      <c r="T9" s="576">
        <v>1</v>
      </c>
      <c r="U9" s="578">
        <v>1</v>
      </c>
    </row>
    <row r="10" spans="1:21" ht="14.4" customHeight="1" x14ac:dyDescent="0.3">
      <c r="A10" s="571">
        <v>28</v>
      </c>
      <c r="B10" s="572" t="s">
        <v>469</v>
      </c>
      <c r="C10" s="572" t="s">
        <v>471</v>
      </c>
      <c r="D10" s="573" t="s">
        <v>605</v>
      </c>
      <c r="E10" s="574" t="s">
        <v>478</v>
      </c>
      <c r="F10" s="572" t="s">
        <v>470</v>
      </c>
      <c r="G10" s="572" t="s">
        <v>492</v>
      </c>
      <c r="H10" s="572" t="s">
        <v>443</v>
      </c>
      <c r="I10" s="572" t="s">
        <v>493</v>
      </c>
      <c r="J10" s="572" t="s">
        <v>494</v>
      </c>
      <c r="K10" s="572" t="s">
        <v>495</v>
      </c>
      <c r="L10" s="575">
        <v>107.27</v>
      </c>
      <c r="M10" s="575">
        <v>965.43000000000006</v>
      </c>
      <c r="N10" s="572">
        <v>9</v>
      </c>
      <c r="O10" s="576">
        <v>2.5</v>
      </c>
      <c r="P10" s="575">
        <v>536.35</v>
      </c>
      <c r="Q10" s="577">
        <v>0.55555555555555558</v>
      </c>
      <c r="R10" s="572">
        <v>5</v>
      </c>
      <c r="S10" s="577">
        <v>0.55555555555555558</v>
      </c>
      <c r="T10" s="576">
        <v>1</v>
      </c>
      <c r="U10" s="578">
        <v>0.4</v>
      </c>
    </row>
    <row r="11" spans="1:21" ht="14.4" customHeight="1" x14ac:dyDescent="0.3">
      <c r="A11" s="571">
        <v>28</v>
      </c>
      <c r="B11" s="572" t="s">
        <v>469</v>
      </c>
      <c r="C11" s="572" t="s">
        <v>471</v>
      </c>
      <c r="D11" s="573" t="s">
        <v>605</v>
      </c>
      <c r="E11" s="574" t="s">
        <v>478</v>
      </c>
      <c r="F11" s="572" t="s">
        <v>470</v>
      </c>
      <c r="G11" s="572" t="s">
        <v>492</v>
      </c>
      <c r="H11" s="572" t="s">
        <v>443</v>
      </c>
      <c r="I11" s="572" t="s">
        <v>496</v>
      </c>
      <c r="J11" s="572" t="s">
        <v>494</v>
      </c>
      <c r="K11" s="572" t="s">
        <v>495</v>
      </c>
      <c r="L11" s="575">
        <v>107.27</v>
      </c>
      <c r="M11" s="575">
        <v>214.54</v>
      </c>
      <c r="N11" s="572">
        <v>2</v>
      </c>
      <c r="O11" s="576">
        <v>0.5</v>
      </c>
      <c r="P11" s="575">
        <v>214.54</v>
      </c>
      <c r="Q11" s="577">
        <v>1</v>
      </c>
      <c r="R11" s="572">
        <v>2</v>
      </c>
      <c r="S11" s="577">
        <v>1</v>
      </c>
      <c r="T11" s="576">
        <v>0.5</v>
      </c>
      <c r="U11" s="578">
        <v>1</v>
      </c>
    </row>
    <row r="12" spans="1:21" ht="14.4" customHeight="1" x14ac:dyDescent="0.3">
      <c r="A12" s="571">
        <v>28</v>
      </c>
      <c r="B12" s="572" t="s">
        <v>469</v>
      </c>
      <c r="C12" s="572" t="s">
        <v>471</v>
      </c>
      <c r="D12" s="573" t="s">
        <v>605</v>
      </c>
      <c r="E12" s="574" t="s">
        <v>478</v>
      </c>
      <c r="F12" s="572" t="s">
        <v>470</v>
      </c>
      <c r="G12" s="572" t="s">
        <v>497</v>
      </c>
      <c r="H12" s="572" t="s">
        <v>443</v>
      </c>
      <c r="I12" s="572" t="s">
        <v>498</v>
      </c>
      <c r="J12" s="572" t="s">
        <v>499</v>
      </c>
      <c r="K12" s="572" t="s">
        <v>500</v>
      </c>
      <c r="L12" s="575">
        <v>60.9</v>
      </c>
      <c r="M12" s="575">
        <v>60.9</v>
      </c>
      <c r="N12" s="572">
        <v>1</v>
      </c>
      <c r="O12" s="576">
        <v>1</v>
      </c>
      <c r="P12" s="575">
        <v>60.9</v>
      </c>
      <c r="Q12" s="577">
        <v>1</v>
      </c>
      <c r="R12" s="572">
        <v>1</v>
      </c>
      <c r="S12" s="577">
        <v>1</v>
      </c>
      <c r="T12" s="576">
        <v>1</v>
      </c>
      <c r="U12" s="578">
        <v>1</v>
      </c>
    </row>
    <row r="13" spans="1:21" ht="14.4" customHeight="1" x14ac:dyDescent="0.3">
      <c r="A13" s="571">
        <v>28</v>
      </c>
      <c r="B13" s="572" t="s">
        <v>469</v>
      </c>
      <c r="C13" s="572" t="s">
        <v>471</v>
      </c>
      <c r="D13" s="573" t="s">
        <v>605</v>
      </c>
      <c r="E13" s="574" t="s">
        <v>478</v>
      </c>
      <c r="F13" s="572" t="s">
        <v>470</v>
      </c>
      <c r="G13" s="572" t="s">
        <v>501</v>
      </c>
      <c r="H13" s="572" t="s">
        <v>443</v>
      </c>
      <c r="I13" s="572" t="s">
        <v>502</v>
      </c>
      <c r="J13" s="572" t="s">
        <v>503</v>
      </c>
      <c r="K13" s="572" t="s">
        <v>504</v>
      </c>
      <c r="L13" s="575">
        <v>130.69999999999999</v>
      </c>
      <c r="M13" s="575">
        <v>130.69999999999999</v>
      </c>
      <c r="N13" s="572">
        <v>1</v>
      </c>
      <c r="O13" s="576">
        <v>0.5</v>
      </c>
      <c r="P13" s="575"/>
      <c r="Q13" s="577">
        <v>0</v>
      </c>
      <c r="R13" s="572"/>
      <c r="S13" s="577">
        <v>0</v>
      </c>
      <c r="T13" s="576"/>
      <c r="U13" s="578">
        <v>0</v>
      </c>
    </row>
    <row r="14" spans="1:21" ht="14.4" customHeight="1" x14ac:dyDescent="0.3">
      <c r="A14" s="571">
        <v>28</v>
      </c>
      <c r="B14" s="572" t="s">
        <v>469</v>
      </c>
      <c r="C14" s="572" t="s">
        <v>471</v>
      </c>
      <c r="D14" s="573" t="s">
        <v>605</v>
      </c>
      <c r="E14" s="574" t="s">
        <v>478</v>
      </c>
      <c r="F14" s="572" t="s">
        <v>470</v>
      </c>
      <c r="G14" s="572" t="s">
        <v>505</v>
      </c>
      <c r="H14" s="572" t="s">
        <v>443</v>
      </c>
      <c r="I14" s="572" t="s">
        <v>506</v>
      </c>
      <c r="J14" s="572" t="s">
        <v>507</v>
      </c>
      <c r="K14" s="572" t="s">
        <v>508</v>
      </c>
      <c r="L14" s="575">
        <v>130.36000000000001</v>
      </c>
      <c r="M14" s="575">
        <v>260.72000000000003</v>
      </c>
      <c r="N14" s="572">
        <v>2</v>
      </c>
      <c r="O14" s="576">
        <v>1</v>
      </c>
      <c r="P14" s="575">
        <v>260.72000000000003</v>
      </c>
      <c r="Q14" s="577">
        <v>1</v>
      </c>
      <c r="R14" s="572">
        <v>2</v>
      </c>
      <c r="S14" s="577">
        <v>1</v>
      </c>
      <c r="T14" s="576">
        <v>1</v>
      </c>
      <c r="U14" s="578">
        <v>1</v>
      </c>
    </row>
    <row r="15" spans="1:21" ht="14.4" customHeight="1" x14ac:dyDescent="0.3">
      <c r="A15" s="571">
        <v>28</v>
      </c>
      <c r="B15" s="572" t="s">
        <v>469</v>
      </c>
      <c r="C15" s="572" t="s">
        <v>471</v>
      </c>
      <c r="D15" s="573" t="s">
        <v>605</v>
      </c>
      <c r="E15" s="574" t="s">
        <v>478</v>
      </c>
      <c r="F15" s="572" t="s">
        <v>470</v>
      </c>
      <c r="G15" s="572" t="s">
        <v>505</v>
      </c>
      <c r="H15" s="572" t="s">
        <v>443</v>
      </c>
      <c r="I15" s="572" t="s">
        <v>509</v>
      </c>
      <c r="J15" s="572" t="s">
        <v>507</v>
      </c>
      <c r="K15" s="572" t="s">
        <v>508</v>
      </c>
      <c r="L15" s="575">
        <v>130.36000000000001</v>
      </c>
      <c r="M15" s="575">
        <v>260.72000000000003</v>
      </c>
      <c r="N15" s="572">
        <v>2</v>
      </c>
      <c r="O15" s="576">
        <v>0.5</v>
      </c>
      <c r="P15" s="575">
        <v>260.72000000000003</v>
      </c>
      <c r="Q15" s="577">
        <v>1</v>
      </c>
      <c r="R15" s="572">
        <v>2</v>
      </c>
      <c r="S15" s="577">
        <v>1</v>
      </c>
      <c r="T15" s="576">
        <v>0.5</v>
      </c>
      <c r="U15" s="578">
        <v>1</v>
      </c>
    </row>
    <row r="16" spans="1:21" ht="14.4" customHeight="1" x14ac:dyDescent="0.3">
      <c r="A16" s="571">
        <v>28</v>
      </c>
      <c r="B16" s="572" t="s">
        <v>469</v>
      </c>
      <c r="C16" s="572" t="s">
        <v>471</v>
      </c>
      <c r="D16" s="573" t="s">
        <v>605</v>
      </c>
      <c r="E16" s="574" t="s">
        <v>478</v>
      </c>
      <c r="F16" s="572" t="s">
        <v>470</v>
      </c>
      <c r="G16" s="572" t="s">
        <v>510</v>
      </c>
      <c r="H16" s="572" t="s">
        <v>606</v>
      </c>
      <c r="I16" s="572" t="s">
        <v>511</v>
      </c>
      <c r="J16" s="572" t="s">
        <v>512</v>
      </c>
      <c r="K16" s="572" t="s">
        <v>513</v>
      </c>
      <c r="L16" s="575">
        <v>15.9</v>
      </c>
      <c r="M16" s="575">
        <v>95.4</v>
      </c>
      <c r="N16" s="572">
        <v>6</v>
      </c>
      <c r="O16" s="576">
        <v>1</v>
      </c>
      <c r="P16" s="575">
        <v>47.7</v>
      </c>
      <c r="Q16" s="577">
        <v>0.5</v>
      </c>
      <c r="R16" s="572">
        <v>3</v>
      </c>
      <c r="S16" s="577">
        <v>0.5</v>
      </c>
      <c r="T16" s="576">
        <v>0.5</v>
      </c>
      <c r="U16" s="578">
        <v>0.5</v>
      </c>
    </row>
    <row r="17" spans="1:21" ht="14.4" customHeight="1" x14ac:dyDescent="0.3">
      <c r="A17" s="571">
        <v>28</v>
      </c>
      <c r="B17" s="572" t="s">
        <v>469</v>
      </c>
      <c r="C17" s="572" t="s">
        <v>471</v>
      </c>
      <c r="D17" s="573" t="s">
        <v>605</v>
      </c>
      <c r="E17" s="574" t="s">
        <v>478</v>
      </c>
      <c r="F17" s="572" t="s">
        <v>470</v>
      </c>
      <c r="G17" s="572" t="s">
        <v>514</v>
      </c>
      <c r="H17" s="572" t="s">
        <v>443</v>
      </c>
      <c r="I17" s="572" t="s">
        <v>515</v>
      </c>
      <c r="J17" s="572" t="s">
        <v>516</v>
      </c>
      <c r="K17" s="572" t="s">
        <v>517</v>
      </c>
      <c r="L17" s="575">
        <v>243.64</v>
      </c>
      <c r="M17" s="575">
        <v>243.64</v>
      </c>
      <c r="N17" s="572">
        <v>1</v>
      </c>
      <c r="O17" s="576">
        <v>0.5</v>
      </c>
      <c r="P17" s="575"/>
      <c r="Q17" s="577">
        <v>0</v>
      </c>
      <c r="R17" s="572"/>
      <c r="S17" s="577">
        <v>0</v>
      </c>
      <c r="T17" s="576"/>
      <c r="U17" s="578">
        <v>0</v>
      </c>
    </row>
    <row r="18" spans="1:21" ht="14.4" customHeight="1" x14ac:dyDescent="0.3">
      <c r="A18" s="571">
        <v>28</v>
      </c>
      <c r="B18" s="572" t="s">
        <v>469</v>
      </c>
      <c r="C18" s="572" t="s">
        <v>471</v>
      </c>
      <c r="D18" s="573" t="s">
        <v>605</v>
      </c>
      <c r="E18" s="574" t="s">
        <v>478</v>
      </c>
      <c r="F18" s="572" t="s">
        <v>470</v>
      </c>
      <c r="G18" s="572" t="s">
        <v>518</v>
      </c>
      <c r="H18" s="572" t="s">
        <v>606</v>
      </c>
      <c r="I18" s="572" t="s">
        <v>519</v>
      </c>
      <c r="J18" s="572" t="s">
        <v>520</v>
      </c>
      <c r="K18" s="572" t="s">
        <v>521</v>
      </c>
      <c r="L18" s="575">
        <v>221.48</v>
      </c>
      <c r="M18" s="575">
        <v>664.43999999999994</v>
      </c>
      <c r="N18" s="572">
        <v>3</v>
      </c>
      <c r="O18" s="576">
        <v>1</v>
      </c>
      <c r="P18" s="575">
        <v>664.43999999999994</v>
      </c>
      <c r="Q18" s="577">
        <v>1</v>
      </c>
      <c r="R18" s="572">
        <v>3</v>
      </c>
      <c r="S18" s="577">
        <v>1</v>
      </c>
      <c r="T18" s="576">
        <v>1</v>
      </c>
      <c r="U18" s="578">
        <v>1</v>
      </c>
    </row>
    <row r="19" spans="1:21" ht="14.4" customHeight="1" x14ac:dyDescent="0.3">
      <c r="A19" s="571">
        <v>28</v>
      </c>
      <c r="B19" s="572" t="s">
        <v>469</v>
      </c>
      <c r="C19" s="572" t="s">
        <v>471</v>
      </c>
      <c r="D19" s="573" t="s">
        <v>605</v>
      </c>
      <c r="E19" s="574" t="s">
        <v>478</v>
      </c>
      <c r="F19" s="572" t="s">
        <v>470</v>
      </c>
      <c r="G19" s="572" t="s">
        <v>522</v>
      </c>
      <c r="H19" s="572" t="s">
        <v>606</v>
      </c>
      <c r="I19" s="572" t="s">
        <v>523</v>
      </c>
      <c r="J19" s="572" t="s">
        <v>524</v>
      </c>
      <c r="K19" s="572" t="s">
        <v>525</v>
      </c>
      <c r="L19" s="575">
        <v>0</v>
      </c>
      <c r="M19" s="575">
        <v>0</v>
      </c>
      <c r="N19" s="572">
        <v>5</v>
      </c>
      <c r="O19" s="576">
        <v>2</v>
      </c>
      <c r="P19" s="575">
        <v>0</v>
      </c>
      <c r="Q19" s="577"/>
      <c r="R19" s="572">
        <v>5</v>
      </c>
      <c r="S19" s="577">
        <v>1</v>
      </c>
      <c r="T19" s="576">
        <v>2</v>
      </c>
      <c r="U19" s="578">
        <v>1</v>
      </c>
    </row>
    <row r="20" spans="1:21" ht="14.4" customHeight="1" x14ac:dyDescent="0.3">
      <c r="A20" s="571">
        <v>28</v>
      </c>
      <c r="B20" s="572" t="s">
        <v>469</v>
      </c>
      <c r="C20" s="572" t="s">
        <v>471</v>
      </c>
      <c r="D20" s="573" t="s">
        <v>605</v>
      </c>
      <c r="E20" s="574" t="s">
        <v>478</v>
      </c>
      <c r="F20" s="572" t="s">
        <v>470</v>
      </c>
      <c r="G20" s="572" t="s">
        <v>526</v>
      </c>
      <c r="H20" s="572" t="s">
        <v>443</v>
      </c>
      <c r="I20" s="572" t="s">
        <v>527</v>
      </c>
      <c r="J20" s="572" t="s">
        <v>528</v>
      </c>
      <c r="K20" s="572" t="s">
        <v>529</v>
      </c>
      <c r="L20" s="575">
        <v>0</v>
      </c>
      <c r="M20" s="575">
        <v>0</v>
      </c>
      <c r="N20" s="572">
        <v>1</v>
      </c>
      <c r="O20" s="576">
        <v>1</v>
      </c>
      <c r="P20" s="575">
        <v>0</v>
      </c>
      <c r="Q20" s="577"/>
      <c r="R20" s="572">
        <v>1</v>
      </c>
      <c r="S20" s="577">
        <v>1</v>
      </c>
      <c r="T20" s="576">
        <v>1</v>
      </c>
      <c r="U20" s="578">
        <v>1</v>
      </c>
    </row>
    <row r="21" spans="1:21" ht="14.4" customHeight="1" x14ac:dyDescent="0.3">
      <c r="A21" s="571">
        <v>28</v>
      </c>
      <c r="B21" s="572" t="s">
        <v>469</v>
      </c>
      <c r="C21" s="572" t="s">
        <v>471</v>
      </c>
      <c r="D21" s="573" t="s">
        <v>605</v>
      </c>
      <c r="E21" s="574" t="s">
        <v>479</v>
      </c>
      <c r="F21" s="572" t="s">
        <v>470</v>
      </c>
      <c r="G21" s="572" t="s">
        <v>530</v>
      </c>
      <c r="H21" s="572" t="s">
        <v>606</v>
      </c>
      <c r="I21" s="572" t="s">
        <v>531</v>
      </c>
      <c r="J21" s="572" t="s">
        <v>532</v>
      </c>
      <c r="K21" s="572" t="s">
        <v>533</v>
      </c>
      <c r="L21" s="575">
        <v>170.52</v>
      </c>
      <c r="M21" s="575">
        <v>341.04</v>
      </c>
      <c r="N21" s="572">
        <v>2</v>
      </c>
      <c r="O21" s="576">
        <v>1</v>
      </c>
      <c r="P21" s="575">
        <v>341.04</v>
      </c>
      <c r="Q21" s="577">
        <v>1</v>
      </c>
      <c r="R21" s="572">
        <v>2</v>
      </c>
      <c r="S21" s="577">
        <v>1</v>
      </c>
      <c r="T21" s="576">
        <v>1</v>
      </c>
      <c r="U21" s="578">
        <v>1</v>
      </c>
    </row>
    <row r="22" spans="1:21" ht="14.4" customHeight="1" x14ac:dyDescent="0.3">
      <c r="A22" s="571">
        <v>28</v>
      </c>
      <c r="B22" s="572" t="s">
        <v>469</v>
      </c>
      <c r="C22" s="572" t="s">
        <v>471</v>
      </c>
      <c r="D22" s="573" t="s">
        <v>605</v>
      </c>
      <c r="E22" s="574" t="s">
        <v>479</v>
      </c>
      <c r="F22" s="572" t="s">
        <v>470</v>
      </c>
      <c r="G22" s="572" t="s">
        <v>534</v>
      </c>
      <c r="H22" s="572" t="s">
        <v>606</v>
      </c>
      <c r="I22" s="572" t="s">
        <v>535</v>
      </c>
      <c r="J22" s="572" t="s">
        <v>536</v>
      </c>
      <c r="K22" s="572" t="s">
        <v>537</v>
      </c>
      <c r="L22" s="575">
        <v>117.55</v>
      </c>
      <c r="M22" s="575">
        <v>117.55</v>
      </c>
      <c r="N22" s="572">
        <v>1</v>
      </c>
      <c r="O22" s="576">
        <v>1</v>
      </c>
      <c r="P22" s="575">
        <v>117.55</v>
      </c>
      <c r="Q22" s="577">
        <v>1</v>
      </c>
      <c r="R22" s="572">
        <v>1</v>
      </c>
      <c r="S22" s="577">
        <v>1</v>
      </c>
      <c r="T22" s="576">
        <v>1</v>
      </c>
      <c r="U22" s="578">
        <v>1</v>
      </c>
    </row>
    <row r="23" spans="1:21" ht="14.4" customHeight="1" x14ac:dyDescent="0.3">
      <c r="A23" s="571">
        <v>28</v>
      </c>
      <c r="B23" s="572" t="s">
        <v>469</v>
      </c>
      <c r="C23" s="572" t="s">
        <v>471</v>
      </c>
      <c r="D23" s="573" t="s">
        <v>605</v>
      </c>
      <c r="E23" s="574" t="s">
        <v>479</v>
      </c>
      <c r="F23" s="572" t="s">
        <v>470</v>
      </c>
      <c r="G23" s="572" t="s">
        <v>480</v>
      </c>
      <c r="H23" s="572" t="s">
        <v>443</v>
      </c>
      <c r="I23" s="572" t="s">
        <v>538</v>
      </c>
      <c r="J23" s="572" t="s">
        <v>539</v>
      </c>
      <c r="K23" s="572" t="s">
        <v>540</v>
      </c>
      <c r="L23" s="575">
        <v>97.96</v>
      </c>
      <c r="M23" s="575">
        <v>97.96</v>
      </c>
      <c r="N23" s="572">
        <v>1</v>
      </c>
      <c r="O23" s="576">
        <v>0.5</v>
      </c>
      <c r="P23" s="575">
        <v>97.96</v>
      </c>
      <c r="Q23" s="577">
        <v>1</v>
      </c>
      <c r="R23" s="572">
        <v>1</v>
      </c>
      <c r="S23" s="577">
        <v>1</v>
      </c>
      <c r="T23" s="576">
        <v>0.5</v>
      </c>
      <c r="U23" s="578">
        <v>1</v>
      </c>
    </row>
    <row r="24" spans="1:21" ht="14.4" customHeight="1" x14ac:dyDescent="0.3">
      <c r="A24" s="571">
        <v>28</v>
      </c>
      <c r="B24" s="572" t="s">
        <v>469</v>
      </c>
      <c r="C24" s="572" t="s">
        <v>471</v>
      </c>
      <c r="D24" s="573" t="s">
        <v>605</v>
      </c>
      <c r="E24" s="574" t="s">
        <v>479</v>
      </c>
      <c r="F24" s="572" t="s">
        <v>470</v>
      </c>
      <c r="G24" s="572" t="s">
        <v>541</v>
      </c>
      <c r="H24" s="572" t="s">
        <v>443</v>
      </c>
      <c r="I24" s="572" t="s">
        <v>542</v>
      </c>
      <c r="J24" s="572" t="s">
        <v>543</v>
      </c>
      <c r="K24" s="572" t="s">
        <v>544</v>
      </c>
      <c r="L24" s="575">
        <v>161.4</v>
      </c>
      <c r="M24" s="575">
        <v>322.8</v>
      </c>
      <c r="N24" s="572">
        <v>2</v>
      </c>
      <c r="O24" s="576">
        <v>1.5</v>
      </c>
      <c r="P24" s="575">
        <v>322.8</v>
      </c>
      <c r="Q24" s="577">
        <v>1</v>
      </c>
      <c r="R24" s="572">
        <v>2</v>
      </c>
      <c r="S24" s="577">
        <v>1</v>
      </c>
      <c r="T24" s="576">
        <v>1.5</v>
      </c>
      <c r="U24" s="578">
        <v>1</v>
      </c>
    </row>
    <row r="25" spans="1:21" ht="14.4" customHeight="1" x14ac:dyDescent="0.3">
      <c r="A25" s="571">
        <v>28</v>
      </c>
      <c r="B25" s="572" t="s">
        <v>469</v>
      </c>
      <c r="C25" s="572" t="s">
        <v>471</v>
      </c>
      <c r="D25" s="573" t="s">
        <v>605</v>
      </c>
      <c r="E25" s="574" t="s">
        <v>479</v>
      </c>
      <c r="F25" s="572" t="s">
        <v>470</v>
      </c>
      <c r="G25" s="572" t="s">
        <v>545</v>
      </c>
      <c r="H25" s="572" t="s">
        <v>443</v>
      </c>
      <c r="I25" s="572" t="s">
        <v>546</v>
      </c>
      <c r="J25" s="572" t="s">
        <v>547</v>
      </c>
      <c r="K25" s="572" t="s">
        <v>548</v>
      </c>
      <c r="L25" s="575">
        <v>159.16999999999999</v>
      </c>
      <c r="M25" s="575">
        <v>159.16999999999999</v>
      </c>
      <c r="N25" s="572">
        <v>1</v>
      </c>
      <c r="O25" s="576">
        <v>0.5</v>
      </c>
      <c r="P25" s="575">
        <v>159.16999999999999</v>
      </c>
      <c r="Q25" s="577">
        <v>1</v>
      </c>
      <c r="R25" s="572">
        <v>1</v>
      </c>
      <c r="S25" s="577">
        <v>1</v>
      </c>
      <c r="T25" s="576">
        <v>0.5</v>
      </c>
      <c r="U25" s="578">
        <v>1</v>
      </c>
    </row>
    <row r="26" spans="1:21" ht="14.4" customHeight="1" x14ac:dyDescent="0.3">
      <c r="A26" s="571">
        <v>28</v>
      </c>
      <c r="B26" s="572" t="s">
        <v>469</v>
      </c>
      <c r="C26" s="572" t="s">
        <v>471</v>
      </c>
      <c r="D26" s="573" t="s">
        <v>605</v>
      </c>
      <c r="E26" s="574" t="s">
        <v>479</v>
      </c>
      <c r="F26" s="572" t="s">
        <v>470</v>
      </c>
      <c r="G26" s="572" t="s">
        <v>549</v>
      </c>
      <c r="H26" s="572" t="s">
        <v>606</v>
      </c>
      <c r="I26" s="572" t="s">
        <v>550</v>
      </c>
      <c r="J26" s="572" t="s">
        <v>551</v>
      </c>
      <c r="K26" s="572" t="s">
        <v>552</v>
      </c>
      <c r="L26" s="575">
        <v>173.12</v>
      </c>
      <c r="M26" s="575">
        <v>346.24</v>
      </c>
      <c r="N26" s="572">
        <v>2</v>
      </c>
      <c r="O26" s="576">
        <v>0.5</v>
      </c>
      <c r="P26" s="575">
        <v>346.24</v>
      </c>
      <c r="Q26" s="577">
        <v>1</v>
      </c>
      <c r="R26" s="572">
        <v>2</v>
      </c>
      <c r="S26" s="577">
        <v>1</v>
      </c>
      <c r="T26" s="576">
        <v>0.5</v>
      </c>
      <c r="U26" s="578">
        <v>1</v>
      </c>
    </row>
    <row r="27" spans="1:21" ht="14.4" customHeight="1" x14ac:dyDescent="0.3">
      <c r="A27" s="571">
        <v>28</v>
      </c>
      <c r="B27" s="572" t="s">
        <v>469</v>
      </c>
      <c r="C27" s="572" t="s">
        <v>471</v>
      </c>
      <c r="D27" s="573" t="s">
        <v>605</v>
      </c>
      <c r="E27" s="574" t="s">
        <v>479</v>
      </c>
      <c r="F27" s="572" t="s">
        <v>470</v>
      </c>
      <c r="G27" s="572" t="s">
        <v>492</v>
      </c>
      <c r="H27" s="572" t="s">
        <v>443</v>
      </c>
      <c r="I27" s="572" t="s">
        <v>493</v>
      </c>
      <c r="J27" s="572" t="s">
        <v>494</v>
      </c>
      <c r="K27" s="572" t="s">
        <v>495</v>
      </c>
      <c r="L27" s="575">
        <v>107.27</v>
      </c>
      <c r="M27" s="575">
        <v>536.35</v>
      </c>
      <c r="N27" s="572">
        <v>5</v>
      </c>
      <c r="O27" s="576">
        <v>1.5</v>
      </c>
      <c r="P27" s="575">
        <v>536.35</v>
      </c>
      <c r="Q27" s="577">
        <v>1</v>
      </c>
      <c r="R27" s="572">
        <v>5</v>
      </c>
      <c r="S27" s="577">
        <v>1</v>
      </c>
      <c r="T27" s="576">
        <v>1.5</v>
      </c>
      <c r="U27" s="578">
        <v>1</v>
      </c>
    </row>
    <row r="28" spans="1:21" ht="14.4" customHeight="1" x14ac:dyDescent="0.3">
      <c r="A28" s="571">
        <v>28</v>
      </c>
      <c r="B28" s="572" t="s">
        <v>469</v>
      </c>
      <c r="C28" s="572" t="s">
        <v>471</v>
      </c>
      <c r="D28" s="573" t="s">
        <v>605</v>
      </c>
      <c r="E28" s="574" t="s">
        <v>479</v>
      </c>
      <c r="F28" s="572" t="s">
        <v>470</v>
      </c>
      <c r="G28" s="572" t="s">
        <v>553</v>
      </c>
      <c r="H28" s="572" t="s">
        <v>443</v>
      </c>
      <c r="I28" s="572" t="s">
        <v>554</v>
      </c>
      <c r="J28" s="572" t="s">
        <v>555</v>
      </c>
      <c r="K28" s="572" t="s">
        <v>556</v>
      </c>
      <c r="L28" s="575">
        <v>34.15</v>
      </c>
      <c r="M28" s="575">
        <v>204.89999999999998</v>
      </c>
      <c r="N28" s="572">
        <v>6</v>
      </c>
      <c r="O28" s="576">
        <v>2</v>
      </c>
      <c r="P28" s="575">
        <v>204.89999999999998</v>
      </c>
      <c r="Q28" s="577">
        <v>1</v>
      </c>
      <c r="R28" s="572">
        <v>6</v>
      </c>
      <c r="S28" s="577">
        <v>1</v>
      </c>
      <c r="T28" s="576">
        <v>2</v>
      </c>
      <c r="U28" s="578">
        <v>1</v>
      </c>
    </row>
    <row r="29" spans="1:21" ht="14.4" customHeight="1" x14ac:dyDescent="0.3">
      <c r="A29" s="571">
        <v>28</v>
      </c>
      <c r="B29" s="572" t="s">
        <v>469</v>
      </c>
      <c r="C29" s="572" t="s">
        <v>471</v>
      </c>
      <c r="D29" s="573" t="s">
        <v>605</v>
      </c>
      <c r="E29" s="574" t="s">
        <v>479</v>
      </c>
      <c r="F29" s="572" t="s">
        <v>470</v>
      </c>
      <c r="G29" s="572" t="s">
        <v>557</v>
      </c>
      <c r="H29" s="572" t="s">
        <v>443</v>
      </c>
      <c r="I29" s="572" t="s">
        <v>558</v>
      </c>
      <c r="J29" s="572" t="s">
        <v>559</v>
      </c>
      <c r="K29" s="572" t="s">
        <v>560</v>
      </c>
      <c r="L29" s="575">
        <v>48.09</v>
      </c>
      <c r="M29" s="575">
        <v>96.18</v>
      </c>
      <c r="N29" s="572">
        <v>2</v>
      </c>
      <c r="O29" s="576">
        <v>2</v>
      </c>
      <c r="P29" s="575">
        <v>96.18</v>
      </c>
      <c r="Q29" s="577">
        <v>1</v>
      </c>
      <c r="R29" s="572">
        <v>2</v>
      </c>
      <c r="S29" s="577">
        <v>1</v>
      </c>
      <c r="T29" s="576">
        <v>2</v>
      </c>
      <c r="U29" s="578">
        <v>1</v>
      </c>
    </row>
    <row r="30" spans="1:21" ht="14.4" customHeight="1" x14ac:dyDescent="0.3">
      <c r="A30" s="571">
        <v>28</v>
      </c>
      <c r="B30" s="572" t="s">
        <v>469</v>
      </c>
      <c r="C30" s="572" t="s">
        <v>471</v>
      </c>
      <c r="D30" s="573" t="s">
        <v>605</v>
      </c>
      <c r="E30" s="574" t="s">
        <v>479</v>
      </c>
      <c r="F30" s="572" t="s">
        <v>470</v>
      </c>
      <c r="G30" s="572" t="s">
        <v>561</v>
      </c>
      <c r="H30" s="572" t="s">
        <v>443</v>
      </c>
      <c r="I30" s="572" t="s">
        <v>562</v>
      </c>
      <c r="J30" s="572" t="s">
        <v>563</v>
      </c>
      <c r="K30" s="572" t="s">
        <v>564</v>
      </c>
      <c r="L30" s="575">
        <v>98.75</v>
      </c>
      <c r="M30" s="575">
        <v>98.75</v>
      </c>
      <c r="N30" s="572">
        <v>1</v>
      </c>
      <c r="O30" s="576">
        <v>0.5</v>
      </c>
      <c r="P30" s="575">
        <v>98.75</v>
      </c>
      <c r="Q30" s="577">
        <v>1</v>
      </c>
      <c r="R30" s="572">
        <v>1</v>
      </c>
      <c r="S30" s="577">
        <v>1</v>
      </c>
      <c r="T30" s="576">
        <v>0.5</v>
      </c>
      <c r="U30" s="578">
        <v>1</v>
      </c>
    </row>
    <row r="31" spans="1:21" ht="14.4" customHeight="1" x14ac:dyDescent="0.3">
      <c r="A31" s="571">
        <v>28</v>
      </c>
      <c r="B31" s="572" t="s">
        <v>469</v>
      </c>
      <c r="C31" s="572" t="s">
        <v>471</v>
      </c>
      <c r="D31" s="573" t="s">
        <v>605</v>
      </c>
      <c r="E31" s="574" t="s">
        <v>479</v>
      </c>
      <c r="F31" s="572" t="s">
        <v>470</v>
      </c>
      <c r="G31" s="572" t="s">
        <v>561</v>
      </c>
      <c r="H31" s="572" t="s">
        <v>443</v>
      </c>
      <c r="I31" s="572" t="s">
        <v>565</v>
      </c>
      <c r="J31" s="572" t="s">
        <v>566</v>
      </c>
      <c r="K31" s="572" t="s">
        <v>567</v>
      </c>
      <c r="L31" s="575">
        <v>23.27</v>
      </c>
      <c r="M31" s="575">
        <v>23.27</v>
      </c>
      <c r="N31" s="572">
        <v>1</v>
      </c>
      <c r="O31" s="576">
        <v>1</v>
      </c>
      <c r="P31" s="575"/>
      <c r="Q31" s="577">
        <v>0</v>
      </c>
      <c r="R31" s="572"/>
      <c r="S31" s="577">
        <v>0</v>
      </c>
      <c r="T31" s="576"/>
      <c r="U31" s="578">
        <v>0</v>
      </c>
    </row>
    <row r="32" spans="1:21" ht="14.4" customHeight="1" x14ac:dyDescent="0.3">
      <c r="A32" s="571">
        <v>28</v>
      </c>
      <c r="B32" s="572" t="s">
        <v>469</v>
      </c>
      <c r="C32" s="572" t="s">
        <v>471</v>
      </c>
      <c r="D32" s="573" t="s">
        <v>605</v>
      </c>
      <c r="E32" s="574" t="s">
        <v>479</v>
      </c>
      <c r="F32" s="572" t="s">
        <v>470</v>
      </c>
      <c r="G32" s="572" t="s">
        <v>561</v>
      </c>
      <c r="H32" s="572" t="s">
        <v>443</v>
      </c>
      <c r="I32" s="572" t="s">
        <v>568</v>
      </c>
      <c r="J32" s="572" t="s">
        <v>566</v>
      </c>
      <c r="K32" s="572" t="s">
        <v>569</v>
      </c>
      <c r="L32" s="575">
        <v>98.75</v>
      </c>
      <c r="M32" s="575">
        <v>98.75</v>
      </c>
      <c r="N32" s="572">
        <v>1</v>
      </c>
      <c r="O32" s="576">
        <v>1</v>
      </c>
      <c r="P32" s="575">
        <v>98.75</v>
      </c>
      <c r="Q32" s="577">
        <v>1</v>
      </c>
      <c r="R32" s="572">
        <v>1</v>
      </c>
      <c r="S32" s="577">
        <v>1</v>
      </c>
      <c r="T32" s="576">
        <v>1</v>
      </c>
      <c r="U32" s="578">
        <v>1</v>
      </c>
    </row>
    <row r="33" spans="1:21" ht="14.4" customHeight="1" x14ac:dyDescent="0.3">
      <c r="A33" s="571">
        <v>28</v>
      </c>
      <c r="B33" s="572" t="s">
        <v>469</v>
      </c>
      <c r="C33" s="572" t="s">
        <v>471</v>
      </c>
      <c r="D33" s="573" t="s">
        <v>605</v>
      </c>
      <c r="E33" s="574" t="s">
        <v>479</v>
      </c>
      <c r="F33" s="572" t="s">
        <v>470</v>
      </c>
      <c r="G33" s="572" t="s">
        <v>570</v>
      </c>
      <c r="H33" s="572" t="s">
        <v>443</v>
      </c>
      <c r="I33" s="572" t="s">
        <v>571</v>
      </c>
      <c r="J33" s="572" t="s">
        <v>572</v>
      </c>
      <c r="K33" s="572" t="s">
        <v>573</v>
      </c>
      <c r="L33" s="575">
        <v>61.97</v>
      </c>
      <c r="M33" s="575">
        <v>61.97</v>
      </c>
      <c r="N33" s="572">
        <v>1</v>
      </c>
      <c r="O33" s="576">
        <v>1</v>
      </c>
      <c r="P33" s="575">
        <v>61.97</v>
      </c>
      <c r="Q33" s="577">
        <v>1</v>
      </c>
      <c r="R33" s="572">
        <v>1</v>
      </c>
      <c r="S33" s="577">
        <v>1</v>
      </c>
      <c r="T33" s="576">
        <v>1</v>
      </c>
      <c r="U33" s="578">
        <v>1</v>
      </c>
    </row>
    <row r="34" spans="1:21" ht="14.4" customHeight="1" x14ac:dyDescent="0.3">
      <c r="A34" s="571">
        <v>28</v>
      </c>
      <c r="B34" s="572" t="s">
        <v>469</v>
      </c>
      <c r="C34" s="572" t="s">
        <v>471</v>
      </c>
      <c r="D34" s="573" t="s">
        <v>605</v>
      </c>
      <c r="E34" s="574" t="s">
        <v>479</v>
      </c>
      <c r="F34" s="572" t="s">
        <v>470</v>
      </c>
      <c r="G34" s="572" t="s">
        <v>574</v>
      </c>
      <c r="H34" s="572" t="s">
        <v>443</v>
      </c>
      <c r="I34" s="572" t="s">
        <v>575</v>
      </c>
      <c r="J34" s="572" t="s">
        <v>576</v>
      </c>
      <c r="K34" s="572" t="s">
        <v>577</v>
      </c>
      <c r="L34" s="575">
        <v>147.85</v>
      </c>
      <c r="M34" s="575">
        <v>147.85</v>
      </c>
      <c r="N34" s="572">
        <v>1</v>
      </c>
      <c r="O34" s="576">
        <v>1</v>
      </c>
      <c r="P34" s="575">
        <v>147.85</v>
      </c>
      <c r="Q34" s="577">
        <v>1</v>
      </c>
      <c r="R34" s="572">
        <v>1</v>
      </c>
      <c r="S34" s="577">
        <v>1</v>
      </c>
      <c r="T34" s="576">
        <v>1</v>
      </c>
      <c r="U34" s="578">
        <v>1</v>
      </c>
    </row>
    <row r="35" spans="1:21" ht="14.4" customHeight="1" x14ac:dyDescent="0.3">
      <c r="A35" s="571">
        <v>28</v>
      </c>
      <c r="B35" s="572" t="s">
        <v>469</v>
      </c>
      <c r="C35" s="572" t="s">
        <v>471</v>
      </c>
      <c r="D35" s="573" t="s">
        <v>605</v>
      </c>
      <c r="E35" s="574" t="s">
        <v>479</v>
      </c>
      <c r="F35" s="572" t="s">
        <v>470</v>
      </c>
      <c r="G35" s="572" t="s">
        <v>578</v>
      </c>
      <c r="H35" s="572" t="s">
        <v>443</v>
      </c>
      <c r="I35" s="572" t="s">
        <v>579</v>
      </c>
      <c r="J35" s="572" t="s">
        <v>580</v>
      </c>
      <c r="K35" s="572" t="s">
        <v>581</v>
      </c>
      <c r="L35" s="575">
        <v>58.62</v>
      </c>
      <c r="M35" s="575">
        <v>58.62</v>
      </c>
      <c r="N35" s="572">
        <v>1</v>
      </c>
      <c r="O35" s="576">
        <v>0.5</v>
      </c>
      <c r="P35" s="575">
        <v>58.62</v>
      </c>
      <c r="Q35" s="577">
        <v>1</v>
      </c>
      <c r="R35" s="572">
        <v>1</v>
      </c>
      <c r="S35" s="577">
        <v>1</v>
      </c>
      <c r="T35" s="576">
        <v>0.5</v>
      </c>
      <c r="U35" s="578">
        <v>1</v>
      </c>
    </row>
    <row r="36" spans="1:21" ht="14.4" customHeight="1" x14ac:dyDescent="0.3">
      <c r="A36" s="571">
        <v>28</v>
      </c>
      <c r="B36" s="572" t="s">
        <v>469</v>
      </c>
      <c r="C36" s="572" t="s">
        <v>471</v>
      </c>
      <c r="D36" s="573" t="s">
        <v>605</v>
      </c>
      <c r="E36" s="574" t="s">
        <v>479</v>
      </c>
      <c r="F36" s="572" t="s">
        <v>470</v>
      </c>
      <c r="G36" s="572" t="s">
        <v>582</v>
      </c>
      <c r="H36" s="572" t="s">
        <v>443</v>
      </c>
      <c r="I36" s="572" t="s">
        <v>583</v>
      </c>
      <c r="J36" s="572" t="s">
        <v>584</v>
      </c>
      <c r="K36" s="572" t="s">
        <v>585</v>
      </c>
      <c r="L36" s="575">
        <v>38.56</v>
      </c>
      <c r="M36" s="575">
        <v>38.56</v>
      </c>
      <c r="N36" s="572">
        <v>1</v>
      </c>
      <c r="O36" s="576">
        <v>1</v>
      </c>
      <c r="P36" s="575">
        <v>38.56</v>
      </c>
      <c r="Q36" s="577">
        <v>1</v>
      </c>
      <c r="R36" s="572">
        <v>1</v>
      </c>
      <c r="S36" s="577">
        <v>1</v>
      </c>
      <c r="T36" s="576">
        <v>1</v>
      </c>
      <c r="U36" s="578">
        <v>1</v>
      </c>
    </row>
    <row r="37" spans="1:21" ht="14.4" customHeight="1" x14ac:dyDescent="0.3">
      <c r="A37" s="571">
        <v>28</v>
      </c>
      <c r="B37" s="572" t="s">
        <v>469</v>
      </c>
      <c r="C37" s="572" t="s">
        <v>471</v>
      </c>
      <c r="D37" s="573" t="s">
        <v>605</v>
      </c>
      <c r="E37" s="574" t="s">
        <v>479</v>
      </c>
      <c r="F37" s="572" t="s">
        <v>470</v>
      </c>
      <c r="G37" s="572" t="s">
        <v>586</v>
      </c>
      <c r="H37" s="572" t="s">
        <v>443</v>
      </c>
      <c r="I37" s="572" t="s">
        <v>587</v>
      </c>
      <c r="J37" s="572" t="s">
        <v>588</v>
      </c>
      <c r="K37" s="572" t="s">
        <v>589</v>
      </c>
      <c r="L37" s="575">
        <v>0</v>
      </c>
      <c r="M37" s="575">
        <v>0</v>
      </c>
      <c r="N37" s="572">
        <v>1</v>
      </c>
      <c r="O37" s="576">
        <v>0.5</v>
      </c>
      <c r="P37" s="575">
        <v>0</v>
      </c>
      <c r="Q37" s="577"/>
      <c r="R37" s="572">
        <v>1</v>
      </c>
      <c r="S37" s="577">
        <v>1</v>
      </c>
      <c r="T37" s="576">
        <v>0.5</v>
      </c>
      <c r="U37" s="578">
        <v>1</v>
      </c>
    </row>
    <row r="38" spans="1:21" ht="14.4" customHeight="1" x14ac:dyDescent="0.3">
      <c r="A38" s="571">
        <v>28</v>
      </c>
      <c r="B38" s="572" t="s">
        <v>469</v>
      </c>
      <c r="C38" s="572" t="s">
        <v>471</v>
      </c>
      <c r="D38" s="573" t="s">
        <v>605</v>
      </c>
      <c r="E38" s="574" t="s">
        <v>479</v>
      </c>
      <c r="F38" s="572" t="s">
        <v>470</v>
      </c>
      <c r="G38" s="572" t="s">
        <v>590</v>
      </c>
      <c r="H38" s="572" t="s">
        <v>606</v>
      </c>
      <c r="I38" s="572" t="s">
        <v>591</v>
      </c>
      <c r="J38" s="572" t="s">
        <v>592</v>
      </c>
      <c r="K38" s="572" t="s">
        <v>593</v>
      </c>
      <c r="L38" s="575">
        <v>63.75</v>
      </c>
      <c r="M38" s="575">
        <v>127.5</v>
      </c>
      <c r="N38" s="572">
        <v>2</v>
      </c>
      <c r="O38" s="576">
        <v>1</v>
      </c>
      <c r="P38" s="575">
        <v>127.5</v>
      </c>
      <c r="Q38" s="577">
        <v>1</v>
      </c>
      <c r="R38" s="572">
        <v>2</v>
      </c>
      <c r="S38" s="577">
        <v>1</v>
      </c>
      <c r="T38" s="576">
        <v>1</v>
      </c>
      <c r="U38" s="578">
        <v>1</v>
      </c>
    </row>
    <row r="39" spans="1:21" ht="14.4" customHeight="1" x14ac:dyDescent="0.3">
      <c r="A39" s="571">
        <v>28</v>
      </c>
      <c r="B39" s="572" t="s">
        <v>469</v>
      </c>
      <c r="C39" s="572" t="s">
        <v>471</v>
      </c>
      <c r="D39" s="573" t="s">
        <v>605</v>
      </c>
      <c r="E39" s="574" t="s">
        <v>479</v>
      </c>
      <c r="F39" s="572" t="s">
        <v>470</v>
      </c>
      <c r="G39" s="572" t="s">
        <v>526</v>
      </c>
      <c r="H39" s="572" t="s">
        <v>443</v>
      </c>
      <c r="I39" s="572" t="s">
        <v>594</v>
      </c>
      <c r="J39" s="572" t="s">
        <v>595</v>
      </c>
      <c r="K39" s="572" t="s">
        <v>596</v>
      </c>
      <c r="L39" s="575">
        <v>0</v>
      </c>
      <c r="M39" s="575">
        <v>0</v>
      </c>
      <c r="N39" s="572">
        <v>2</v>
      </c>
      <c r="O39" s="576">
        <v>0.5</v>
      </c>
      <c r="P39" s="575">
        <v>0</v>
      </c>
      <c r="Q39" s="577"/>
      <c r="R39" s="572">
        <v>2</v>
      </c>
      <c r="S39" s="577">
        <v>1</v>
      </c>
      <c r="T39" s="576">
        <v>0.5</v>
      </c>
      <c r="U39" s="578">
        <v>1</v>
      </c>
    </row>
    <row r="40" spans="1:21" ht="14.4" customHeight="1" x14ac:dyDescent="0.3">
      <c r="A40" s="571">
        <v>28</v>
      </c>
      <c r="B40" s="572" t="s">
        <v>469</v>
      </c>
      <c r="C40" s="572" t="s">
        <v>471</v>
      </c>
      <c r="D40" s="573" t="s">
        <v>605</v>
      </c>
      <c r="E40" s="574" t="s">
        <v>479</v>
      </c>
      <c r="F40" s="572" t="s">
        <v>470</v>
      </c>
      <c r="G40" s="572" t="s">
        <v>597</v>
      </c>
      <c r="H40" s="572" t="s">
        <v>606</v>
      </c>
      <c r="I40" s="572" t="s">
        <v>598</v>
      </c>
      <c r="J40" s="572" t="s">
        <v>599</v>
      </c>
      <c r="K40" s="572" t="s">
        <v>600</v>
      </c>
      <c r="L40" s="575">
        <v>154.36000000000001</v>
      </c>
      <c r="M40" s="575">
        <v>308.72000000000003</v>
      </c>
      <c r="N40" s="572">
        <v>2</v>
      </c>
      <c r="O40" s="576">
        <v>1.5</v>
      </c>
      <c r="P40" s="575">
        <v>308.72000000000003</v>
      </c>
      <c r="Q40" s="577">
        <v>1</v>
      </c>
      <c r="R40" s="572">
        <v>2</v>
      </c>
      <c r="S40" s="577">
        <v>1</v>
      </c>
      <c r="T40" s="576">
        <v>1.5</v>
      </c>
      <c r="U40" s="578">
        <v>1</v>
      </c>
    </row>
    <row r="41" spans="1:21" ht="14.4" customHeight="1" x14ac:dyDescent="0.3">
      <c r="A41" s="571">
        <v>28</v>
      </c>
      <c r="B41" s="572" t="s">
        <v>469</v>
      </c>
      <c r="C41" s="572" t="s">
        <v>471</v>
      </c>
      <c r="D41" s="573" t="s">
        <v>605</v>
      </c>
      <c r="E41" s="574" t="s">
        <v>476</v>
      </c>
      <c r="F41" s="572" t="s">
        <v>470</v>
      </c>
      <c r="G41" s="572" t="s">
        <v>601</v>
      </c>
      <c r="H41" s="572" t="s">
        <v>443</v>
      </c>
      <c r="I41" s="572" t="s">
        <v>602</v>
      </c>
      <c r="J41" s="572" t="s">
        <v>603</v>
      </c>
      <c r="K41" s="572" t="s">
        <v>604</v>
      </c>
      <c r="L41" s="575">
        <v>0</v>
      </c>
      <c r="M41" s="575">
        <v>0</v>
      </c>
      <c r="N41" s="572">
        <v>1</v>
      </c>
      <c r="O41" s="576">
        <v>0.5</v>
      </c>
      <c r="P41" s="575">
        <v>0</v>
      </c>
      <c r="Q41" s="577"/>
      <c r="R41" s="572">
        <v>1</v>
      </c>
      <c r="S41" s="577">
        <v>1</v>
      </c>
      <c r="T41" s="576">
        <v>0.5</v>
      </c>
      <c r="U41" s="578">
        <v>1</v>
      </c>
    </row>
    <row r="42" spans="1:21" ht="14.4" customHeight="1" x14ac:dyDescent="0.3">
      <c r="A42" s="571">
        <v>28</v>
      </c>
      <c r="B42" s="572" t="s">
        <v>469</v>
      </c>
      <c r="C42" s="572" t="s">
        <v>471</v>
      </c>
      <c r="D42" s="573" t="s">
        <v>605</v>
      </c>
      <c r="E42" s="574" t="s">
        <v>476</v>
      </c>
      <c r="F42" s="572" t="s">
        <v>470</v>
      </c>
      <c r="G42" s="572" t="s">
        <v>522</v>
      </c>
      <c r="H42" s="572" t="s">
        <v>606</v>
      </c>
      <c r="I42" s="572" t="s">
        <v>523</v>
      </c>
      <c r="J42" s="572" t="s">
        <v>524</v>
      </c>
      <c r="K42" s="572" t="s">
        <v>525</v>
      </c>
      <c r="L42" s="575">
        <v>0</v>
      </c>
      <c r="M42" s="575">
        <v>0</v>
      </c>
      <c r="N42" s="572">
        <v>1</v>
      </c>
      <c r="O42" s="576">
        <v>0.5</v>
      </c>
      <c r="P42" s="575">
        <v>0</v>
      </c>
      <c r="Q42" s="577"/>
      <c r="R42" s="572">
        <v>1</v>
      </c>
      <c r="S42" s="577">
        <v>1</v>
      </c>
      <c r="T42" s="576">
        <v>0.5</v>
      </c>
      <c r="U42" s="578">
        <v>1</v>
      </c>
    </row>
    <row r="43" spans="1:21" ht="14.4" customHeight="1" thickBot="1" x14ac:dyDescent="0.35">
      <c r="A43" s="579">
        <v>28</v>
      </c>
      <c r="B43" s="580" t="s">
        <v>469</v>
      </c>
      <c r="C43" s="580" t="s">
        <v>471</v>
      </c>
      <c r="D43" s="581" t="s">
        <v>605</v>
      </c>
      <c r="E43" s="582" t="s">
        <v>477</v>
      </c>
      <c r="F43" s="580" t="s">
        <v>470</v>
      </c>
      <c r="G43" s="580" t="s">
        <v>492</v>
      </c>
      <c r="H43" s="580" t="s">
        <v>443</v>
      </c>
      <c r="I43" s="580" t="s">
        <v>493</v>
      </c>
      <c r="J43" s="580" t="s">
        <v>494</v>
      </c>
      <c r="K43" s="580" t="s">
        <v>495</v>
      </c>
      <c r="L43" s="583">
        <v>107.27</v>
      </c>
      <c r="M43" s="583">
        <v>107.27</v>
      </c>
      <c r="N43" s="580">
        <v>1</v>
      </c>
      <c r="O43" s="584">
        <v>1</v>
      </c>
      <c r="P43" s="583">
        <v>107.27</v>
      </c>
      <c r="Q43" s="585">
        <v>1</v>
      </c>
      <c r="R43" s="580">
        <v>1</v>
      </c>
      <c r="S43" s="585">
        <v>1</v>
      </c>
      <c r="T43" s="584">
        <v>1</v>
      </c>
      <c r="U43" s="586">
        <v>1</v>
      </c>
    </row>
  </sheetData>
  <autoFilter ref="A6:U6"/>
  <mergeCells count="8">
    <mergeCell ref="A1:U1"/>
    <mergeCell ref="P5:Q5"/>
    <mergeCell ref="R5:S5"/>
    <mergeCell ref="T5:U5"/>
    <mergeCell ref="A3:J3"/>
    <mergeCell ref="K3:L3"/>
    <mergeCell ref="M4:O4"/>
    <mergeCell ref="P4:U4"/>
  </mergeCells>
  <hyperlinks>
    <hyperlink ref="A2" location="Obsah!A1" display="Zpět na Obsah  KL 01  1.-4.měsíc"/>
  </hyperlinks>
  <pageMargins left="0.25" right="0.25" top="0.75" bottom="0.75" header="0.3" footer="0.3"/>
  <pageSetup paperSize="9" scale="99" fitToHeight="0" orientation="landscape" r:id="rId1"/>
  <ignoredErrors>
    <ignoredError sqref="Q3 S3" formula="1"/>
  </ignoredErrors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List28">
    <tabColor theme="0" tint="-0.249977111117893"/>
    <pageSetUpPr fitToPage="1"/>
  </sheetPr>
  <dimension ref="A1:F19"/>
  <sheetViews>
    <sheetView showGridLines="0" showRowColHeaders="0" workbookViewId="0">
      <pane ySplit="4" topLeftCell="A5" activePane="bottomLeft" state="frozen"/>
      <selection pane="bottomLeft" sqref="A1:F1"/>
    </sheetView>
  </sheetViews>
  <sheetFormatPr defaultRowHeight="14.4" customHeight="1" x14ac:dyDescent="0.3"/>
  <cols>
    <col min="1" max="1" width="46.6640625" style="129" customWidth="1"/>
    <col min="2" max="2" width="10" style="207" customWidth="1"/>
    <col min="3" max="3" width="5.5546875" style="210" customWidth="1"/>
    <col min="4" max="4" width="10" style="207" customWidth="1"/>
    <col min="5" max="5" width="5.5546875" style="210" customWidth="1"/>
    <col min="6" max="6" width="10" style="207" customWidth="1"/>
    <col min="7" max="7" width="8.88671875" style="129" customWidth="1"/>
    <col min="8" max="16384" width="8.88671875" style="129"/>
  </cols>
  <sheetData>
    <row r="1" spans="1:6" ht="37.799999999999997" customHeight="1" thickBot="1" x14ac:dyDescent="0.4">
      <c r="A1" s="367" t="s">
        <v>608</v>
      </c>
      <c r="B1" s="368"/>
      <c r="C1" s="368"/>
      <c r="D1" s="368"/>
      <c r="E1" s="368"/>
      <c r="F1" s="368"/>
    </row>
    <row r="2" spans="1:6" ht="14.4" customHeight="1" thickBot="1" x14ac:dyDescent="0.35">
      <c r="A2" s="232" t="s">
        <v>265</v>
      </c>
      <c r="B2" s="63"/>
      <c r="C2" s="64"/>
      <c r="D2" s="65"/>
      <c r="E2" s="64"/>
      <c r="F2" s="65"/>
    </row>
    <row r="3" spans="1:6" ht="14.4" customHeight="1" thickBot="1" x14ac:dyDescent="0.35">
      <c r="A3" s="100"/>
      <c r="B3" s="369" t="s">
        <v>129</v>
      </c>
      <c r="C3" s="370"/>
      <c r="D3" s="371" t="s">
        <v>128</v>
      </c>
      <c r="E3" s="370"/>
      <c r="F3" s="80" t="s">
        <v>3</v>
      </c>
    </row>
    <row r="4" spans="1:6" ht="14.4" customHeight="1" thickBot="1" x14ac:dyDescent="0.35">
      <c r="A4" s="587" t="s">
        <v>160</v>
      </c>
      <c r="B4" s="588" t="s">
        <v>14</v>
      </c>
      <c r="C4" s="589" t="s">
        <v>2</v>
      </c>
      <c r="D4" s="588" t="s">
        <v>14</v>
      </c>
      <c r="E4" s="589" t="s">
        <v>2</v>
      </c>
      <c r="F4" s="590" t="s">
        <v>14</v>
      </c>
    </row>
    <row r="5" spans="1:6" ht="14.4" customHeight="1" x14ac:dyDescent="0.3">
      <c r="A5" s="603" t="s">
        <v>478</v>
      </c>
      <c r="B5" s="116"/>
      <c r="C5" s="570">
        <v>0</v>
      </c>
      <c r="D5" s="116">
        <v>818.6099999999999</v>
      </c>
      <c r="E5" s="570">
        <v>1</v>
      </c>
      <c r="F5" s="591">
        <v>818.6099999999999</v>
      </c>
    </row>
    <row r="6" spans="1:6" ht="14.4" customHeight="1" x14ac:dyDescent="0.3">
      <c r="A6" s="604" t="s">
        <v>476</v>
      </c>
      <c r="B6" s="592"/>
      <c r="C6" s="577"/>
      <c r="D6" s="592">
        <v>0</v>
      </c>
      <c r="E6" s="577"/>
      <c r="F6" s="593">
        <v>0</v>
      </c>
    </row>
    <row r="7" spans="1:6" ht="14.4" customHeight="1" thickBot="1" x14ac:dyDescent="0.35">
      <c r="A7" s="605" t="s">
        <v>479</v>
      </c>
      <c r="B7" s="596"/>
      <c r="C7" s="597">
        <v>0</v>
      </c>
      <c r="D7" s="596">
        <v>1241.0500000000002</v>
      </c>
      <c r="E7" s="597">
        <v>1</v>
      </c>
      <c r="F7" s="598">
        <v>1241.0500000000002</v>
      </c>
    </row>
    <row r="8" spans="1:6" ht="14.4" customHeight="1" thickBot="1" x14ac:dyDescent="0.35">
      <c r="A8" s="599" t="s">
        <v>3</v>
      </c>
      <c r="B8" s="600"/>
      <c r="C8" s="601">
        <v>0</v>
      </c>
      <c r="D8" s="600">
        <v>2059.66</v>
      </c>
      <c r="E8" s="601">
        <v>1</v>
      </c>
      <c r="F8" s="602">
        <v>2059.66</v>
      </c>
    </row>
    <row r="9" spans="1:6" ht="14.4" customHeight="1" thickBot="1" x14ac:dyDescent="0.35"/>
    <row r="10" spans="1:6" ht="14.4" customHeight="1" x14ac:dyDescent="0.3">
      <c r="A10" s="603" t="s">
        <v>609</v>
      </c>
      <c r="B10" s="116"/>
      <c r="C10" s="570">
        <v>0</v>
      </c>
      <c r="D10" s="116">
        <v>58.77</v>
      </c>
      <c r="E10" s="570">
        <v>1</v>
      </c>
      <c r="F10" s="591">
        <v>58.77</v>
      </c>
    </row>
    <row r="11" spans="1:6" ht="14.4" customHeight="1" x14ac:dyDescent="0.3">
      <c r="A11" s="604" t="s">
        <v>610</v>
      </c>
      <c r="B11" s="592"/>
      <c r="C11" s="577">
        <v>0</v>
      </c>
      <c r="D11" s="592">
        <v>127.5</v>
      </c>
      <c r="E11" s="577">
        <v>1</v>
      </c>
      <c r="F11" s="593">
        <v>127.5</v>
      </c>
    </row>
    <row r="12" spans="1:6" ht="14.4" customHeight="1" x14ac:dyDescent="0.3">
      <c r="A12" s="604" t="s">
        <v>611</v>
      </c>
      <c r="B12" s="592"/>
      <c r="C12" s="577">
        <v>0</v>
      </c>
      <c r="D12" s="592">
        <v>95.4</v>
      </c>
      <c r="E12" s="577">
        <v>1</v>
      </c>
      <c r="F12" s="593">
        <v>95.4</v>
      </c>
    </row>
    <row r="13" spans="1:6" ht="14.4" customHeight="1" x14ac:dyDescent="0.3">
      <c r="A13" s="604" t="s">
        <v>612</v>
      </c>
      <c r="B13" s="592"/>
      <c r="C13" s="577">
        <v>0</v>
      </c>
      <c r="D13" s="592">
        <v>664.43999999999994</v>
      </c>
      <c r="E13" s="577">
        <v>1</v>
      </c>
      <c r="F13" s="593">
        <v>664.43999999999994</v>
      </c>
    </row>
    <row r="14" spans="1:6" ht="14.4" customHeight="1" x14ac:dyDescent="0.3">
      <c r="A14" s="604" t="s">
        <v>613</v>
      </c>
      <c r="B14" s="592"/>
      <c r="C14" s="577">
        <v>0</v>
      </c>
      <c r="D14" s="592">
        <v>117.55</v>
      </c>
      <c r="E14" s="577">
        <v>1</v>
      </c>
      <c r="F14" s="593">
        <v>117.55</v>
      </c>
    </row>
    <row r="15" spans="1:6" ht="14.4" customHeight="1" x14ac:dyDescent="0.3">
      <c r="A15" s="604" t="s">
        <v>614</v>
      </c>
      <c r="B15" s="592"/>
      <c r="C15" s="577">
        <v>0</v>
      </c>
      <c r="D15" s="592">
        <v>341.04</v>
      </c>
      <c r="E15" s="577">
        <v>1</v>
      </c>
      <c r="F15" s="593">
        <v>341.04</v>
      </c>
    </row>
    <row r="16" spans="1:6" ht="14.4" customHeight="1" x14ac:dyDescent="0.3">
      <c r="A16" s="604" t="s">
        <v>615</v>
      </c>
      <c r="B16" s="592"/>
      <c r="C16" s="577">
        <v>0</v>
      </c>
      <c r="D16" s="592">
        <v>308.72000000000003</v>
      </c>
      <c r="E16" s="577">
        <v>1</v>
      </c>
      <c r="F16" s="593">
        <v>308.72000000000003</v>
      </c>
    </row>
    <row r="17" spans="1:6" ht="14.4" customHeight="1" x14ac:dyDescent="0.3">
      <c r="A17" s="604" t="s">
        <v>616</v>
      </c>
      <c r="B17" s="592"/>
      <c r="C17" s="577">
        <v>0</v>
      </c>
      <c r="D17" s="592">
        <v>346.24</v>
      </c>
      <c r="E17" s="577">
        <v>1</v>
      </c>
      <c r="F17" s="593">
        <v>346.24</v>
      </c>
    </row>
    <row r="18" spans="1:6" ht="14.4" customHeight="1" thickBot="1" x14ac:dyDescent="0.35">
      <c r="A18" s="605" t="s">
        <v>617</v>
      </c>
      <c r="B18" s="596"/>
      <c r="C18" s="597"/>
      <c r="D18" s="596">
        <v>0</v>
      </c>
      <c r="E18" s="597"/>
      <c r="F18" s="598">
        <v>0</v>
      </c>
    </row>
    <row r="19" spans="1:6" ht="14.4" customHeight="1" thickBot="1" x14ac:dyDescent="0.35">
      <c r="A19" s="599" t="s">
        <v>3</v>
      </c>
      <c r="B19" s="600"/>
      <c r="C19" s="601">
        <v>0</v>
      </c>
      <c r="D19" s="600">
        <v>2059.66</v>
      </c>
      <c r="E19" s="601">
        <v>1</v>
      </c>
      <c r="F19" s="602">
        <v>2059.66</v>
      </c>
    </row>
  </sheetData>
  <mergeCells count="3">
    <mergeCell ref="A1:F1"/>
    <mergeCell ref="B3:C3"/>
    <mergeCell ref="D3:E3"/>
  </mergeCells>
  <conditionalFormatting sqref="C5:C1048576">
    <cfRule type="cellIs" dxfId="21" priority="12" stopIfTrue="1" operator="greaterThan">
      <formula>0.2</formula>
    </cfRule>
  </conditionalFormatting>
  <conditionalFormatting sqref="F5:F7">
    <cfRule type="dataBar" priority="2">
      <dataBar>
        <cfvo type="min"/>
        <cfvo type="max"/>
        <color theme="3" tint="0.39994506668294322"/>
      </dataBar>
      <extLst>
        <ext xmlns:x14="http://schemas.microsoft.com/office/spreadsheetml/2009/9/main" uri="{B025F937-C7B1-47D3-B67F-A62EFF666E3E}">
          <x14:id>{3DDCB663-300A-415C-88EE-4665FD793EBA}</x14:id>
        </ext>
      </extLst>
    </cfRule>
  </conditionalFormatting>
  <conditionalFormatting sqref="F10:F18">
    <cfRule type="dataBar" priority="1">
      <dataBar>
        <cfvo type="min"/>
        <cfvo type="max"/>
        <color theme="3" tint="0.39994506668294322"/>
      </dataBar>
      <extLst>
        <ext xmlns:x14="http://schemas.microsoft.com/office/spreadsheetml/2009/9/main" uri="{B025F937-C7B1-47D3-B67F-A62EFF666E3E}">
          <x14:id>{57D5BB83-592F-44F9-94F5-4767C0046C15}</x14:id>
        </ext>
      </extLst>
    </cfRule>
  </conditionalFormatting>
  <hyperlinks>
    <hyperlink ref="A2" location="Obsah!A1" display="Zpět na Obsah  KL 01  1.-4.měsíc"/>
  </hyperlinks>
  <pageMargins left="0.25" right="0.25" top="0.75" bottom="0.75" header="0.3" footer="0.3"/>
  <pageSetup paperSize="9" fitToHeight="0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dataBar" id="{3DDCB663-300A-415C-88EE-4665FD793EBA}">
            <x14:dataBar minLength="0" maxLength="100">
              <x14:cfvo type="autoMin"/>
              <x14:cfvo type="autoMax"/>
              <x14:negativeFillColor rgb="FFFF0000"/>
              <x14:axisColor rgb="FF000000"/>
            </x14:dataBar>
          </x14:cfRule>
          <xm:sqref>F5:F7</xm:sqref>
        </x14:conditionalFormatting>
        <x14:conditionalFormatting xmlns:xm="http://schemas.microsoft.com/office/excel/2006/main">
          <x14:cfRule type="dataBar" id="{57D5BB83-592F-44F9-94F5-4767C0046C15}">
            <x14:dataBar minLength="0" maxLength="100">
              <x14:cfvo type="autoMin"/>
              <x14:cfvo type="autoMax"/>
              <x14:negativeFillColor rgb="FFFF0000"/>
              <x14:axisColor rgb="FF000000"/>
            </x14:dataBar>
          </x14:cfRule>
          <xm:sqref>F10:F18</xm:sqref>
        </x14:conditionalFormatting>
      </x14:conditionalFormattings>
    </ext>
  </extLst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List31">
    <tabColor theme="0" tint="-0.249977111117893"/>
    <pageSetUpPr fitToPage="1"/>
  </sheetPr>
  <dimension ref="A1:M15"/>
  <sheetViews>
    <sheetView showGridLines="0" showRowColHeaders="0" workbookViewId="0">
      <pane ySplit="5" topLeftCell="A6" activePane="bottomLeft" state="frozen"/>
      <selection activeCell="A6" sqref="A6"/>
      <selection pane="bottomLeft" sqref="A1:M1"/>
    </sheetView>
  </sheetViews>
  <sheetFormatPr defaultRowHeight="14.4" customHeight="1" x14ac:dyDescent="0.3"/>
  <cols>
    <col min="1" max="1" width="22.21875" style="129" customWidth="1"/>
    <col min="2" max="2" width="8.88671875" style="129" bestFit="1" customWidth="1"/>
    <col min="3" max="3" width="7" style="129" bestFit="1" customWidth="1"/>
    <col min="4" max="5" width="22.21875" style="129" customWidth="1"/>
    <col min="6" max="6" width="6.6640625" style="207" customWidth="1"/>
    <col min="7" max="7" width="10" style="207" customWidth="1"/>
    <col min="8" max="8" width="6.77734375" style="210" customWidth="1"/>
    <col min="9" max="9" width="6.6640625" style="207" customWidth="1"/>
    <col min="10" max="10" width="10" style="207" customWidth="1"/>
    <col min="11" max="11" width="6.77734375" style="210" customWidth="1"/>
    <col min="12" max="12" width="6.6640625" style="207" customWidth="1"/>
    <col min="13" max="13" width="10" style="207" customWidth="1"/>
    <col min="14" max="16384" width="8.88671875" style="129"/>
  </cols>
  <sheetData>
    <row r="1" spans="1:13" ht="18.600000000000001" customHeight="1" thickBot="1" x14ac:dyDescent="0.4">
      <c r="A1" s="368" t="s">
        <v>627</v>
      </c>
      <c r="B1" s="368"/>
      <c r="C1" s="368"/>
      <c r="D1" s="368"/>
      <c r="E1" s="368"/>
      <c r="F1" s="368"/>
      <c r="G1" s="368"/>
      <c r="H1" s="368"/>
      <c r="I1" s="368"/>
      <c r="J1" s="368"/>
      <c r="K1" s="368"/>
      <c r="L1" s="329"/>
      <c r="M1" s="329"/>
    </row>
    <row r="2" spans="1:13" ht="14.4" customHeight="1" thickBot="1" x14ac:dyDescent="0.35">
      <c r="A2" s="232" t="s">
        <v>265</v>
      </c>
      <c r="B2" s="206"/>
      <c r="C2" s="206"/>
      <c r="D2" s="206"/>
      <c r="E2" s="206"/>
      <c r="F2" s="214"/>
      <c r="G2" s="214"/>
      <c r="H2" s="215"/>
      <c r="I2" s="214"/>
      <c r="J2" s="214"/>
      <c r="K2" s="215"/>
      <c r="L2" s="214"/>
    </row>
    <row r="3" spans="1:13" ht="14.4" customHeight="1" thickBot="1" x14ac:dyDescent="0.35">
      <c r="E3" s="79" t="s">
        <v>127</v>
      </c>
      <c r="F3" s="43">
        <f>SUBTOTAL(9,F6:F1048576)</f>
        <v>0</v>
      </c>
      <c r="G3" s="43">
        <f>SUBTOTAL(9,G6:G1048576)</f>
        <v>0</v>
      </c>
      <c r="H3" s="44">
        <f>IF(M3=0,0,G3/M3)</f>
        <v>0</v>
      </c>
      <c r="I3" s="43">
        <f>SUBTOTAL(9,I6:I1048576)</f>
        <v>25</v>
      </c>
      <c r="J3" s="43">
        <f>SUBTOTAL(9,J6:J1048576)</f>
        <v>2059.66</v>
      </c>
      <c r="K3" s="44">
        <f>IF(M3=0,0,J3/M3)</f>
        <v>1</v>
      </c>
      <c r="L3" s="43">
        <f>SUBTOTAL(9,L6:L1048576)</f>
        <v>25</v>
      </c>
      <c r="M3" s="45">
        <f>SUBTOTAL(9,M6:M1048576)</f>
        <v>2059.66</v>
      </c>
    </row>
    <row r="4" spans="1:13" ht="14.4" customHeight="1" thickBot="1" x14ac:dyDescent="0.35">
      <c r="A4" s="41"/>
      <c r="B4" s="41"/>
      <c r="C4" s="41"/>
      <c r="D4" s="41"/>
      <c r="E4" s="42"/>
      <c r="F4" s="372" t="s">
        <v>129</v>
      </c>
      <c r="G4" s="373"/>
      <c r="H4" s="374"/>
      <c r="I4" s="375" t="s">
        <v>128</v>
      </c>
      <c r="J4" s="373"/>
      <c r="K4" s="374"/>
      <c r="L4" s="376" t="s">
        <v>3</v>
      </c>
      <c r="M4" s="377"/>
    </row>
    <row r="5" spans="1:13" ht="14.4" customHeight="1" thickBot="1" x14ac:dyDescent="0.35">
      <c r="A5" s="587" t="s">
        <v>134</v>
      </c>
      <c r="B5" s="607" t="s">
        <v>130</v>
      </c>
      <c r="C5" s="607" t="s">
        <v>70</v>
      </c>
      <c r="D5" s="607" t="s">
        <v>131</v>
      </c>
      <c r="E5" s="607" t="s">
        <v>132</v>
      </c>
      <c r="F5" s="608" t="s">
        <v>28</v>
      </c>
      <c r="G5" s="608" t="s">
        <v>14</v>
      </c>
      <c r="H5" s="589" t="s">
        <v>133</v>
      </c>
      <c r="I5" s="588" t="s">
        <v>28</v>
      </c>
      <c r="J5" s="608" t="s">
        <v>14</v>
      </c>
      <c r="K5" s="589" t="s">
        <v>133</v>
      </c>
      <c r="L5" s="588" t="s">
        <v>28</v>
      </c>
      <c r="M5" s="609" t="s">
        <v>14</v>
      </c>
    </row>
    <row r="6" spans="1:13" ht="14.4" customHeight="1" x14ac:dyDescent="0.3">
      <c r="A6" s="564" t="s">
        <v>476</v>
      </c>
      <c r="B6" s="565" t="s">
        <v>618</v>
      </c>
      <c r="C6" s="565" t="s">
        <v>523</v>
      </c>
      <c r="D6" s="565" t="s">
        <v>524</v>
      </c>
      <c r="E6" s="565" t="s">
        <v>525</v>
      </c>
      <c r="F6" s="116"/>
      <c r="G6" s="116"/>
      <c r="H6" s="570"/>
      <c r="I6" s="116">
        <v>1</v>
      </c>
      <c r="J6" s="116">
        <v>0</v>
      </c>
      <c r="K6" s="570"/>
      <c r="L6" s="116">
        <v>1</v>
      </c>
      <c r="M6" s="591">
        <v>0</v>
      </c>
    </row>
    <row r="7" spans="1:13" ht="14.4" customHeight="1" x14ac:dyDescent="0.3">
      <c r="A7" s="571" t="s">
        <v>478</v>
      </c>
      <c r="B7" s="572" t="s">
        <v>619</v>
      </c>
      <c r="C7" s="572" t="s">
        <v>511</v>
      </c>
      <c r="D7" s="572" t="s">
        <v>512</v>
      </c>
      <c r="E7" s="572" t="s">
        <v>513</v>
      </c>
      <c r="F7" s="592"/>
      <c r="G7" s="592"/>
      <c r="H7" s="577">
        <v>0</v>
      </c>
      <c r="I7" s="592">
        <v>6</v>
      </c>
      <c r="J7" s="592">
        <v>95.4</v>
      </c>
      <c r="K7" s="577">
        <v>1</v>
      </c>
      <c r="L7" s="592">
        <v>6</v>
      </c>
      <c r="M7" s="593">
        <v>95.4</v>
      </c>
    </row>
    <row r="8" spans="1:13" ht="14.4" customHeight="1" x14ac:dyDescent="0.3">
      <c r="A8" s="571" t="s">
        <v>478</v>
      </c>
      <c r="B8" s="572" t="s">
        <v>620</v>
      </c>
      <c r="C8" s="572" t="s">
        <v>519</v>
      </c>
      <c r="D8" s="572" t="s">
        <v>520</v>
      </c>
      <c r="E8" s="572" t="s">
        <v>521</v>
      </c>
      <c r="F8" s="592"/>
      <c r="G8" s="592"/>
      <c r="H8" s="577">
        <v>0</v>
      </c>
      <c r="I8" s="592">
        <v>3</v>
      </c>
      <c r="J8" s="592">
        <v>664.43999999999994</v>
      </c>
      <c r="K8" s="577">
        <v>1</v>
      </c>
      <c r="L8" s="592">
        <v>3</v>
      </c>
      <c r="M8" s="593">
        <v>664.43999999999994</v>
      </c>
    </row>
    <row r="9" spans="1:13" ht="14.4" customHeight="1" x14ac:dyDescent="0.3">
      <c r="A9" s="571" t="s">
        <v>478</v>
      </c>
      <c r="B9" s="572" t="s">
        <v>618</v>
      </c>
      <c r="C9" s="572" t="s">
        <v>523</v>
      </c>
      <c r="D9" s="572" t="s">
        <v>524</v>
      </c>
      <c r="E9" s="572" t="s">
        <v>525</v>
      </c>
      <c r="F9" s="592"/>
      <c r="G9" s="592"/>
      <c r="H9" s="577"/>
      <c r="I9" s="592">
        <v>5</v>
      </c>
      <c r="J9" s="592">
        <v>0</v>
      </c>
      <c r="K9" s="577"/>
      <c r="L9" s="592">
        <v>5</v>
      </c>
      <c r="M9" s="593">
        <v>0</v>
      </c>
    </row>
    <row r="10" spans="1:13" ht="14.4" customHeight="1" x14ac:dyDescent="0.3">
      <c r="A10" s="571" t="s">
        <v>478</v>
      </c>
      <c r="B10" s="572" t="s">
        <v>621</v>
      </c>
      <c r="C10" s="572" t="s">
        <v>481</v>
      </c>
      <c r="D10" s="572" t="s">
        <v>482</v>
      </c>
      <c r="E10" s="572" t="s">
        <v>483</v>
      </c>
      <c r="F10" s="592"/>
      <c r="G10" s="592"/>
      <c r="H10" s="577">
        <v>0</v>
      </c>
      <c r="I10" s="592">
        <v>1</v>
      </c>
      <c r="J10" s="592">
        <v>58.77</v>
      </c>
      <c r="K10" s="577">
        <v>1</v>
      </c>
      <c r="L10" s="592">
        <v>1</v>
      </c>
      <c r="M10" s="593">
        <v>58.77</v>
      </c>
    </row>
    <row r="11" spans="1:13" ht="14.4" customHeight="1" x14ac:dyDescent="0.3">
      <c r="A11" s="571" t="s">
        <v>479</v>
      </c>
      <c r="B11" s="572" t="s">
        <v>622</v>
      </c>
      <c r="C11" s="572" t="s">
        <v>598</v>
      </c>
      <c r="D11" s="572" t="s">
        <v>599</v>
      </c>
      <c r="E11" s="572" t="s">
        <v>600</v>
      </c>
      <c r="F11" s="592"/>
      <c r="G11" s="592"/>
      <c r="H11" s="577">
        <v>0</v>
      </c>
      <c r="I11" s="592">
        <v>2</v>
      </c>
      <c r="J11" s="592">
        <v>308.72000000000003</v>
      </c>
      <c r="K11" s="577">
        <v>1</v>
      </c>
      <c r="L11" s="592">
        <v>2</v>
      </c>
      <c r="M11" s="593">
        <v>308.72000000000003</v>
      </c>
    </row>
    <row r="12" spans="1:13" ht="14.4" customHeight="1" x14ac:dyDescent="0.3">
      <c r="A12" s="571" t="s">
        <v>479</v>
      </c>
      <c r="B12" s="572" t="s">
        <v>623</v>
      </c>
      <c r="C12" s="572" t="s">
        <v>531</v>
      </c>
      <c r="D12" s="572" t="s">
        <v>532</v>
      </c>
      <c r="E12" s="572" t="s">
        <v>533</v>
      </c>
      <c r="F12" s="592"/>
      <c r="G12" s="592"/>
      <c r="H12" s="577">
        <v>0</v>
      </c>
      <c r="I12" s="592">
        <v>2</v>
      </c>
      <c r="J12" s="592">
        <v>341.04</v>
      </c>
      <c r="K12" s="577">
        <v>1</v>
      </c>
      <c r="L12" s="592">
        <v>2</v>
      </c>
      <c r="M12" s="593">
        <v>341.04</v>
      </c>
    </row>
    <row r="13" spans="1:13" ht="14.4" customHeight="1" x14ac:dyDescent="0.3">
      <c r="A13" s="571" t="s">
        <v>479</v>
      </c>
      <c r="B13" s="572" t="s">
        <v>624</v>
      </c>
      <c r="C13" s="572" t="s">
        <v>550</v>
      </c>
      <c r="D13" s="572" t="s">
        <v>551</v>
      </c>
      <c r="E13" s="572" t="s">
        <v>552</v>
      </c>
      <c r="F13" s="592"/>
      <c r="G13" s="592"/>
      <c r="H13" s="577">
        <v>0</v>
      </c>
      <c r="I13" s="592">
        <v>2</v>
      </c>
      <c r="J13" s="592">
        <v>346.24</v>
      </c>
      <c r="K13" s="577">
        <v>1</v>
      </c>
      <c r="L13" s="592">
        <v>2</v>
      </c>
      <c r="M13" s="593">
        <v>346.24</v>
      </c>
    </row>
    <row r="14" spans="1:13" ht="14.4" customHeight="1" x14ac:dyDescent="0.3">
      <c r="A14" s="571" t="s">
        <v>479</v>
      </c>
      <c r="B14" s="572" t="s">
        <v>625</v>
      </c>
      <c r="C14" s="572" t="s">
        <v>591</v>
      </c>
      <c r="D14" s="572" t="s">
        <v>592</v>
      </c>
      <c r="E14" s="572" t="s">
        <v>593</v>
      </c>
      <c r="F14" s="592"/>
      <c r="G14" s="592"/>
      <c r="H14" s="577">
        <v>0</v>
      </c>
      <c r="I14" s="592">
        <v>2</v>
      </c>
      <c r="J14" s="592">
        <v>127.5</v>
      </c>
      <c r="K14" s="577">
        <v>1</v>
      </c>
      <c r="L14" s="592">
        <v>2</v>
      </c>
      <c r="M14" s="593">
        <v>127.5</v>
      </c>
    </row>
    <row r="15" spans="1:13" ht="14.4" customHeight="1" thickBot="1" x14ac:dyDescent="0.35">
      <c r="A15" s="579" t="s">
        <v>479</v>
      </c>
      <c r="B15" s="580" t="s">
        <v>626</v>
      </c>
      <c r="C15" s="580" t="s">
        <v>535</v>
      </c>
      <c r="D15" s="580" t="s">
        <v>536</v>
      </c>
      <c r="E15" s="580" t="s">
        <v>537</v>
      </c>
      <c r="F15" s="594"/>
      <c r="G15" s="594"/>
      <c r="H15" s="585">
        <v>0</v>
      </c>
      <c r="I15" s="594">
        <v>1</v>
      </c>
      <c r="J15" s="594">
        <v>117.55</v>
      </c>
      <c r="K15" s="585">
        <v>1</v>
      </c>
      <c r="L15" s="594">
        <v>1</v>
      </c>
      <c r="M15" s="595">
        <v>117.55</v>
      </c>
    </row>
  </sheetData>
  <autoFilter ref="A5:M1005"/>
  <mergeCells count="4">
    <mergeCell ref="A1:M1"/>
    <mergeCell ref="F4:H4"/>
    <mergeCell ref="I4:K4"/>
    <mergeCell ref="L4:M4"/>
  </mergeCells>
  <hyperlinks>
    <hyperlink ref="A2" location="Obsah!A1" display="Zpět na Obsah  KL 01  1.-4.měsíc"/>
  </hyperlinks>
  <pageMargins left="0.25" right="0.25" top="0.75" bottom="0.75" header="0.3" footer="0.3"/>
  <pageSetup paperSize="9" scale="99" fitToHeight="0" orientation="landscape" r:id="rId1"/>
  <ignoredErrors>
    <ignoredError sqref="H3 K3" formula="1"/>
  </ignoredErrors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List51">
    <tabColor theme="3" tint="0.39997558519241921"/>
    <pageSetUpPr fitToPage="1"/>
  </sheetPr>
  <dimension ref="A1:J34"/>
  <sheetViews>
    <sheetView showGridLines="0" showRowColHeaders="0" workbookViewId="0">
      <pane ySplit="4" topLeftCell="A5" activePane="bottomLeft" state="frozen"/>
      <selection activeCell="A2" sqref="A2:I2"/>
      <selection pane="bottomLeft" sqref="A1:I1"/>
    </sheetView>
  </sheetViews>
  <sheetFormatPr defaultRowHeight="14.4" customHeight="1" outlineLevelCol="1" x14ac:dyDescent="0.3"/>
  <cols>
    <col min="1" max="1" width="5.5546875" style="208" customWidth="1"/>
    <col min="2" max="2" width="61.109375" style="208" customWidth="1"/>
    <col min="3" max="3" width="9.5546875" style="129" hidden="1" customWidth="1" outlineLevel="1"/>
    <col min="4" max="4" width="9.5546875" style="209" customWidth="1" collapsed="1"/>
    <col min="5" max="5" width="2.21875" style="209" customWidth="1"/>
    <col min="6" max="6" width="9.5546875" style="210" customWidth="1"/>
    <col min="7" max="7" width="9.5546875" style="207" customWidth="1"/>
    <col min="8" max="9" width="9.5546875" style="129" customWidth="1"/>
    <col min="10" max="10" width="0" style="129" hidden="1" customWidth="1"/>
    <col min="11" max="16384" width="8.88671875" style="129"/>
  </cols>
  <sheetData>
    <row r="1" spans="1:10" ht="18.600000000000001" customHeight="1" thickBot="1" x14ac:dyDescent="0.4">
      <c r="A1" s="359" t="s">
        <v>138</v>
      </c>
      <c r="B1" s="360"/>
      <c r="C1" s="360"/>
      <c r="D1" s="360"/>
      <c r="E1" s="360"/>
      <c r="F1" s="360"/>
      <c r="G1" s="330"/>
      <c r="H1" s="361"/>
      <c r="I1" s="361"/>
    </row>
    <row r="2" spans="1:10" ht="14.4" customHeight="1" thickBot="1" x14ac:dyDescent="0.35">
      <c r="A2" s="232" t="s">
        <v>265</v>
      </c>
      <c r="B2" s="206"/>
      <c r="C2" s="206"/>
      <c r="D2" s="206"/>
      <c r="E2" s="206"/>
      <c r="F2" s="206"/>
    </row>
    <row r="3" spans="1:10" ht="14.4" customHeight="1" thickBot="1" x14ac:dyDescent="0.35">
      <c r="A3" s="232"/>
      <c r="B3" s="271"/>
      <c r="C3" s="238">
        <v>2015</v>
      </c>
      <c r="D3" s="239">
        <v>2017</v>
      </c>
      <c r="E3" s="7"/>
      <c r="F3" s="338">
        <v>2018</v>
      </c>
      <c r="G3" s="356"/>
      <c r="H3" s="356"/>
      <c r="I3" s="339"/>
    </row>
    <row r="4" spans="1:10" ht="14.4" customHeight="1" thickBot="1" x14ac:dyDescent="0.35">
      <c r="A4" s="243" t="s">
        <v>0</v>
      </c>
      <c r="B4" s="244" t="s">
        <v>190</v>
      </c>
      <c r="C4" s="357" t="s">
        <v>72</v>
      </c>
      <c r="D4" s="358"/>
      <c r="E4" s="245"/>
      <c r="F4" s="240" t="s">
        <v>72</v>
      </c>
      <c r="G4" s="241" t="s">
        <v>73</v>
      </c>
      <c r="H4" s="241" t="s">
        <v>67</v>
      </c>
      <c r="I4" s="242" t="s">
        <v>74</v>
      </c>
    </row>
    <row r="5" spans="1:10" ht="14.4" customHeight="1" x14ac:dyDescent="0.3">
      <c r="A5" s="487" t="s">
        <v>441</v>
      </c>
      <c r="B5" s="488" t="s">
        <v>442</v>
      </c>
      <c r="C5" s="489" t="s">
        <v>443</v>
      </c>
      <c r="D5" s="489" t="s">
        <v>443</v>
      </c>
      <c r="E5" s="489"/>
      <c r="F5" s="489" t="s">
        <v>443</v>
      </c>
      <c r="G5" s="489" t="s">
        <v>443</v>
      </c>
      <c r="H5" s="489" t="s">
        <v>443</v>
      </c>
      <c r="I5" s="490" t="s">
        <v>443</v>
      </c>
      <c r="J5" s="491" t="s">
        <v>68</v>
      </c>
    </row>
    <row r="6" spans="1:10" ht="14.4" customHeight="1" x14ac:dyDescent="0.3">
      <c r="A6" s="487" t="s">
        <v>441</v>
      </c>
      <c r="B6" s="488" t="s">
        <v>628</v>
      </c>
      <c r="C6" s="489">
        <v>1172.9403299999999</v>
      </c>
      <c r="D6" s="489">
        <v>1133.9925599999997</v>
      </c>
      <c r="E6" s="489"/>
      <c r="F6" s="489">
        <v>936.02896000000021</v>
      </c>
      <c r="G6" s="489">
        <v>1400</v>
      </c>
      <c r="H6" s="489">
        <v>-463.97103999999979</v>
      </c>
      <c r="I6" s="490">
        <v>0.66859211428571441</v>
      </c>
      <c r="J6" s="491" t="s">
        <v>1</v>
      </c>
    </row>
    <row r="7" spans="1:10" ht="14.4" customHeight="1" x14ac:dyDescent="0.3">
      <c r="A7" s="487" t="s">
        <v>441</v>
      </c>
      <c r="B7" s="488" t="s">
        <v>629</v>
      </c>
      <c r="C7" s="489">
        <v>29.10988</v>
      </c>
      <c r="D7" s="489">
        <v>165.19358999999997</v>
      </c>
      <c r="E7" s="489"/>
      <c r="F7" s="489">
        <v>72.018139999999988</v>
      </c>
      <c r="G7" s="489">
        <v>116.66666955566407</v>
      </c>
      <c r="H7" s="489">
        <v>-44.648529555664084</v>
      </c>
      <c r="I7" s="490">
        <v>0.61729832757108616</v>
      </c>
      <c r="J7" s="491" t="s">
        <v>1</v>
      </c>
    </row>
    <row r="8" spans="1:10" ht="14.4" customHeight="1" x14ac:dyDescent="0.3">
      <c r="A8" s="487" t="s">
        <v>441</v>
      </c>
      <c r="B8" s="488" t="s">
        <v>630</v>
      </c>
      <c r="C8" s="489">
        <v>2.9994799999999997</v>
      </c>
      <c r="D8" s="489">
        <v>3.1621199999999998</v>
      </c>
      <c r="E8" s="489"/>
      <c r="F8" s="489">
        <v>1.9231</v>
      </c>
      <c r="G8" s="489">
        <v>6.6666666259765623</v>
      </c>
      <c r="H8" s="489">
        <v>-4.7435666259765625</v>
      </c>
      <c r="I8" s="490">
        <v>0.28846500176065065</v>
      </c>
      <c r="J8" s="491" t="s">
        <v>1</v>
      </c>
    </row>
    <row r="9" spans="1:10" ht="14.4" customHeight="1" x14ac:dyDescent="0.3">
      <c r="A9" s="487" t="s">
        <v>441</v>
      </c>
      <c r="B9" s="488" t="s">
        <v>631</v>
      </c>
      <c r="C9" s="489">
        <v>41.092930000000003</v>
      </c>
      <c r="D9" s="489">
        <v>59.288119999999999</v>
      </c>
      <c r="E9" s="489"/>
      <c r="F9" s="489">
        <v>14.060699999999999</v>
      </c>
      <c r="G9" s="489">
        <v>63.71042333984375</v>
      </c>
      <c r="H9" s="489">
        <v>-49.649723339843753</v>
      </c>
      <c r="I9" s="490">
        <v>0.22069701098982655</v>
      </c>
      <c r="J9" s="491" t="s">
        <v>1</v>
      </c>
    </row>
    <row r="10" spans="1:10" ht="14.4" customHeight="1" x14ac:dyDescent="0.3">
      <c r="A10" s="487" t="s">
        <v>441</v>
      </c>
      <c r="B10" s="488" t="s">
        <v>632</v>
      </c>
      <c r="C10" s="489">
        <v>0</v>
      </c>
      <c r="D10" s="489">
        <v>0</v>
      </c>
      <c r="E10" s="489"/>
      <c r="F10" s="489">
        <v>0</v>
      </c>
      <c r="G10" s="489">
        <v>0</v>
      </c>
      <c r="H10" s="489">
        <v>0</v>
      </c>
      <c r="I10" s="490" t="s">
        <v>443</v>
      </c>
      <c r="J10" s="491" t="s">
        <v>1</v>
      </c>
    </row>
    <row r="11" spans="1:10" ht="14.4" customHeight="1" x14ac:dyDescent="0.3">
      <c r="A11" s="487" t="s">
        <v>441</v>
      </c>
      <c r="B11" s="488" t="s">
        <v>633</v>
      </c>
      <c r="C11" s="489">
        <v>0.755</v>
      </c>
      <c r="D11" s="489">
        <v>0.95300000000000007</v>
      </c>
      <c r="E11" s="489"/>
      <c r="F11" s="489">
        <v>0.93099999999999994</v>
      </c>
      <c r="G11" s="489">
        <v>2.0000000610351565</v>
      </c>
      <c r="H11" s="489">
        <v>-1.0690000610351564</v>
      </c>
      <c r="I11" s="490">
        <v>0.46549998579406771</v>
      </c>
      <c r="J11" s="491" t="s">
        <v>1</v>
      </c>
    </row>
    <row r="12" spans="1:10" ht="14.4" customHeight="1" x14ac:dyDescent="0.3">
      <c r="A12" s="487" t="s">
        <v>441</v>
      </c>
      <c r="B12" s="488" t="s">
        <v>634</v>
      </c>
      <c r="C12" s="489">
        <v>3.33</v>
      </c>
      <c r="D12" s="489">
        <v>4.9380000000000006</v>
      </c>
      <c r="E12" s="489"/>
      <c r="F12" s="489">
        <v>7.1660000000000004</v>
      </c>
      <c r="G12" s="489">
        <v>6.6075825195312508</v>
      </c>
      <c r="H12" s="489">
        <v>0.55841748046874962</v>
      </c>
      <c r="I12" s="490">
        <v>1.0845116165886892</v>
      </c>
      <c r="J12" s="491" t="s">
        <v>1</v>
      </c>
    </row>
    <row r="13" spans="1:10" ht="14.4" customHeight="1" x14ac:dyDescent="0.3">
      <c r="A13" s="487" t="s">
        <v>441</v>
      </c>
      <c r="B13" s="488" t="s">
        <v>447</v>
      </c>
      <c r="C13" s="489">
        <v>1250.2276199999999</v>
      </c>
      <c r="D13" s="489">
        <v>1367.5273899999995</v>
      </c>
      <c r="E13" s="489"/>
      <c r="F13" s="489">
        <v>1032.1279000000002</v>
      </c>
      <c r="G13" s="489">
        <v>1595.6513421020509</v>
      </c>
      <c r="H13" s="489">
        <v>-563.52344210205069</v>
      </c>
      <c r="I13" s="490">
        <v>0.6468379856969968</v>
      </c>
      <c r="J13" s="491" t="s">
        <v>448</v>
      </c>
    </row>
    <row r="15" spans="1:10" ht="14.4" customHeight="1" x14ac:dyDescent="0.3">
      <c r="A15" s="487" t="s">
        <v>441</v>
      </c>
      <c r="B15" s="488" t="s">
        <v>442</v>
      </c>
      <c r="C15" s="489" t="s">
        <v>443</v>
      </c>
      <c r="D15" s="489" t="s">
        <v>443</v>
      </c>
      <c r="E15" s="489"/>
      <c r="F15" s="489" t="s">
        <v>443</v>
      </c>
      <c r="G15" s="489" t="s">
        <v>443</v>
      </c>
      <c r="H15" s="489" t="s">
        <v>443</v>
      </c>
      <c r="I15" s="490" t="s">
        <v>443</v>
      </c>
      <c r="J15" s="491" t="s">
        <v>68</v>
      </c>
    </row>
    <row r="16" spans="1:10" ht="14.4" customHeight="1" x14ac:dyDescent="0.3">
      <c r="A16" s="487" t="s">
        <v>449</v>
      </c>
      <c r="B16" s="488" t="s">
        <v>450</v>
      </c>
      <c r="C16" s="489" t="s">
        <v>443</v>
      </c>
      <c r="D16" s="489" t="s">
        <v>443</v>
      </c>
      <c r="E16" s="489"/>
      <c r="F16" s="489" t="s">
        <v>443</v>
      </c>
      <c r="G16" s="489" t="s">
        <v>443</v>
      </c>
      <c r="H16" s="489" t="s">
        <v>443</v>
      </c>
      <c r="I16" s="490" t="s">
        <v>443</v>
      </c>
      <c r="J16" s="491" t="s">
        <v>0</v>
      </c>
    </row>
    <row r="17" spans="1:10" ht="14.4" customHeight="1" x14ac:dyDescent="0.3">
      <c r="A17" s="487" t="s">
        <v>449</v>
      </c>
      <c r="B17" s="488" t="s">
        <v>629</v>
      </c>
      <c r="C17" s="489">
        <v>0</v>
      </c>
      <c r="D17" s="489">
        <v>1.0224500000000001</v>
      </c>
      <c r="E17" s="489"/>
      <c r="F17" s="489">
        <v>0</v>
      </c>
      <c r="G17" s="489">
        <v>0</v>
      </c>
      <c r="H17" s="489">
        <v>0</v>
      </c>
      <c r="I17" s="490" t="s">
        <v>443</v>
      </c>
      <c r="J17" s="491" t="s">
        <v>1</v>
      </c>
    </row>
    <row r="18" spans="1:10" ht="14.4" customHeight="1" x14ac:dyDescent="0.3">
      <c r="A18" s="487" t="s">
        <v>449</v>
      </c>
      <c r="B18" s="488" t="s">
        <v>630</v>
      </c>
      <c r="C18" s="489">
        <v>1.3219799999999997</v>
      </c>
      <c r="D18" s="489">
        <v>1.83894</v>
      </c>
      <c r="E18" s="489"/>
      <c r="F18" s="489">
        <v>1.4531000000000001</v>
      </c>
      <c r="G18" s="489">
        <v>5</v>
      </c>
      <c r="H18" s="489">
        <v>-3.5468999999999999</v>
      </c>
      <c r="I18" s="490">
        <v>0.29061999999999999</v>
      </c>
      <c r="J18" s="491" t="s">
        <v>1</v>
      </c>
    </row>
    <row r="19" spans="1:10" ht="14.4" customHeight="1" x14ac:dyDescent="0.3">
      <c r="A19" s="487" t="s">
        <v>449</v>
      </c>
      <c r="B19" s="488" t="s">
        <v>631</v>
      </c>
      <c r="C19" s="489">
        <v>4.29413</v>
      </c>
      <c r="D19" s="489">
        <v>2.9173100000000001</v>
      </c>
      <c r="E19" s="489"/>
      <c r="F19" s="489">
        <v>2.32708</v>
      </c>
      <c r="G19" s="489">
        <v>6</v>
      </c>
      <c r="H19" s="489">
        <v>-3.67292</v>
      </c>
      <c r="I19" s="490">
        <v>0.38784666666666667</v>
      </c>
      <c r="J19" s="491" t="s">
        <v>1</v>
      </c>
    </row>
    <row r="20" spans="1:10" ht="14.4" customHeight="1" x14ac:dyDescent="0.3">
      <c r="A20" s="487" t="s">
        <v>449</v>
      </c>
      <c r="B20" s="488" t="s">
        <v>632</v>
      </c>
      <c r="C20" s="489">
        <v>0</v>
      </c>
      <c r="D20" s="489">
        <v>0</v>
      </c>
      <c r="E20" s="489"/>
      <c r="F20" s="489">
        <v>0</v>
      </c>
      <c r="G20" s="489">
        <v>0</v>
      </c>
      <c r="H20" s="489">
        <v>0</v>
      </c>
      <c r="I20" s="490" t="s">
        <v>443</v>
      </c>
      <c r="J20" s="491" t="s">
        <v>1</v>
      </c>
    </row>
    <row r="21" spans="1:10" ht="14.4" customHeight="1" x14ac:dyDescent="0.3">
      <c r="A21" s="487" t="s">
        <v>449</v>
      </c>
      <c r="B21" s="488" t="s">
        <v>633</v>
      </c>
      <c r="C21" s="489">
        <v>0.54200000000000004</v>
      </c>
      <c r="D21" s="489">
        <v>0.8</v>
      </c>
      <c r="E21" s="489"/>
      <c r="F21" s="489">
        <v>0.72099999999999997</v>
      </c>
      <c r="G21" s="489">
        <v>2</v>
      </c>
      <c r="H21" s="489">
        <v>-1.2789999999999999</v>
      </c>
      <c r="I21" s="490">
        <v>0.36049999999999999</v>
      </c>
      <c r="J21" s="491" t="s">
        <v>1</v>
      </c>
    </row>
    <row r="22" spans="1:10" ht="14.4" customHeight="1" x14ac:dyDescent="0.3">
      <c r="A22" s="487" t="s">
        <v>449</v>
      </c>
      <c r="B22" s="488" t="s">
        <v>634</v>
      </c>
      <c r="C22" s="489">
        <v>1.8460000000000001</v>
      </c>
      <c r="D22" s="489">
        <v>2.2080000000000002</v>
      </c>
      <c r="E22" s="489"/>
      <c r="F22" s="489">
        <v>3.2879999999999998</v>
      </c>
      <c r="G22" s="489">
        <v>2</v>
      </c>
      <c r="H22" s="489">
        <v>1.2879999999999998</v>
      </c>
      <c r="I22" s="490">
        <v>1.6439999999999999</v>
      </c>
      <c r="J22" s="491" t="s">
        <v>1</v>
      </c>
    </row>
    <row r="23" spans="1:10" ht="14.4" customHeight="1" x14ac:dyDescent="0.3">
      <c r="A23" s="487" t="s">
        <v>449</v>
      </c>
      <c r="B23" s="488" t="s">
        <v>451</v>
      </c>
      <c r="C23" s="489">
        <v>8.0041100000000007</v>
      </c>
      <c r="D23" s="489">
        <v>8.7866999999999997</v>
      </c>
      <c r="E23" s="489"/>
      <c r="F23" s="489">
        <v>7.78918</v>
      </c>
      <c r="G23" s="489">
        <v>16</v>
      </c>
      <c r="H23" s="489">
        <v>-8.21082</v>
      </c>
      <c r="I23" s="490">
        <v>0.48682375</v>
      </c>
      <c r="J23" s="491" t="s">
        <v>452</v>
      </c>
    </row>
    <row r="24" spans="1:10" ht="14.4" customHeight="1" x14ac:dyDescent="0.3">
      <c r="A24" s="487" t="s">
        <v>443</v>
      </c>
      <c r="B24" s="488" t="s">
        <v>443</v>
      </c>
      <c r="C24" s="489" t="s">
        <v>443</v>
      </c>
      <c r="D24" s="489" t="s">
        <v>443</v>
      </c>
      <c r="E24" s="489"/>
      <c r="F24" s="489" t="s">
        <v>443</v>
      </c>
      <c r="G24" s="489" t="s">
        <v>443</v>
      </c>
      <c r="H24" s="489" t="s">
        <v>443</v>
      </c>
      <c r="I24" s="490" t="s">
        <v>443</v>
      </c>
      <c r="J24" s="491" t="s">
        <v>453</v>
      </c>
    </row>
    <row r="25" spans="1:10" ht="14.4" customHeight="1" x14ac:dyDescent="0.3">
      <c r="A25" s="487" t="s">
        <v>454</v>
      </c>
      <c r="B25" s="488" t="s">
        <v>455</v>
      </c>
      <c r="C25" s="489" t="s">
        <v>443</v>
      </c>
      <c r="D25" s="489" t="s">
        <v>443</v>
      </c>
      <c r="E25" s="489"/>
      <c r="F25" s="489" t="s">
        <v>443</v>
      </c>
      <c r="G25" s="489" t="s">
        <v>443</v>
      </c>
      <c r="H25" s="489" t="s">
        <v>443</v>
      </c>
      <c r="I25" s="490" t="s">
        <v>443</v>
      </c>
      <c r="J25" s="491" t="s">
        <v>0</v>
      </c>
    </row>
    <row r="26" spans="1:10" ht="14.4" customHeight="1" x14ac:dyDescent="0.3">
      <c r="A26" s="487" t="s">
        <v>454</v>
      </c>
      <c r="B26" s="488" t="s">
        <v>628</v>
      </c>
      <c r="C26" s="489">
        <v>1172.9403299999999</v>
      </c>
      <c r="D26" s="489">
        <v>1133.9925599999997</v>
      </c>
      <c r="E26" s="489"/>
      <c r="F26" s="489">
        <v>936.02896000000021</v>
      </c>
      <c r="G26" s="489">
        <v>1400</v>
      </c>
      <c r="H26" s="489">
        <v>-463.97103999999979</v>
      </c>
      <c r="I26" s="490">
        <v>0.66859211428571441</v>
      </c>
      <c r="J26" s="491" t="s">
        <v>1</v>
      </c>
    </row>
    <row r="27" spans="1:10" ht="14.4" customHeight="1" x14ac:dyDescent="0.3">
      <c r="A27" s="487" t="s">
        <v>454</v>
      </c>
      <c r="B27" s="488" t="s">
        <v>629</v>
      </c>
      <c r="C27" s="489">
        <v>29.10988</v>
      </c>
      <c r="D27" s="489">
        <v>164.17113999999998</v>
      </c>
      <c r="E27" s="489"/>
      <c r="F27" s="489">
        <v>72.018139999999988</v>
      </c>
      <c r="G27" s="489">
        <v>116</v>
      </c>
      <c r="H27" s="489">
        <v>-43.981860000000012</v>
      </c>
      <c r="I27" s="490">
        <v>0.62084603448275855</v>
      </c>
      <c r="J27" s="491" t="s">
        <v>1</v>
      </c>
    </row>
    <row r="28" spans="1:10" ht="14.4" customHeight="1" x14ac:dyDescent="0.3">
      <c r="A28" s="487" t="s">
        <v>454</v>
      </c>
      <c r="B28" s="488" t="s">
        <v>630</v>
      </c>
      <c r="C28" s="489">
        <v>1.6775</v>
      </c>
      <c r="D28" s="489">
        <v>1.32318</v>
      </c>
      <c r="E28" s="489"/>
      <c r="F28" s="489">
        <v>0.47</v>
      </c>
      <c r="G28" s="489">
        <v>1</v>
      </c>
      <c r="H28" s="489">
        <v>-0.53</v>
      </c>
      <c r="I28" s="490">
        <v>0.47</v>
      </c>
      <c r="J28" s="491" t="s">
        <v>1</v>
      </c>
    </row>
    <row r="29" spans="1:10" ht="14.4" customHeight="1" x14ac:dyDescent="0.3">
      <c r="A29" s="487" t="s">
        <v>454</v>
      </c>
      <c r="B29" s="488" t="s">
        <v>631</v>
      </c>
      <c r="C29" s="489">
        <v>36.7988</v>
      </c>
      <c r="D29" s="489">
        <v>56.370809999999999</v>
      </c>
      <c r="E29" s="489"/>
      <c r="F29" s="489">
        <v>11.733619999999998</v>
      </c>
      <c r="G29" s="489">
        <v>58</v>
      </c>
      <c r="H29" s="489">
        <v>-46.266379999999998</v>
      </c>
      <c r="I29" s="490">
        <v>0.20230379310344826</v>
      </c>
      <c r="J29" s="491" t="s">
        <v>1</v>
      </c>
    </row>
    <row r="30" spans="1:10" ht="14.4" customHeight="1" x14ac:dyDescent="0.3">
      <c r="A30" s="487" t="s">
        <v>454</v>
      </c>
      <c r="B30" s="488" t="s">
        <v>633</v>
      </c>
      <c r="C30" s="489">
        <v>0.21299999999999999</v>
      </c>
      <c r="D30" s="489">
        <v>0.153</v>
      </c>
      <c r="E30" s="489"/>
      <c r="F30" s="489">
        <v>0.21</v>
      </c>
      <c r="G30" s="489">
        <v>0</v>
      </c>
      <c r="H30" s="489">
        <v>0.21</v>
      </c>
      <c r="I30" s="490" t="s">
        <v>443</v>
      </c>
      <c r="J30" s="491" t="s">
        <v>1</v>
      </c>
    </row>
    <row r="31" spans="1:10" ht="14.4" customHeight="1" x14ac:dyDescent="0.3">
      <c r="A31" s="487" t="s">
        <v>454</v>
      </c>
      <c r="B31" s="488" t="s">
        <v>634</v>
      </c>
      <c r="C31" s="489">
        <v>1.484</v>
      </c>
      <c r="D31" s="489">
        <v>2.73</v>
      </c>
      <c r="E31" s="489"/>
      <c r="F31" s="489">
        <v>3.8780000000000001</v>
      </c>
      <c r="G31" s="489">
        <v>4</v>
      </c>
      <c r="H31" s="489">
        <v>-0.12199999999999989</v>
      </c>
      <c r="I31" s="490">
        <v>0.96950000000000003</v>
      </c>
      <c r="J31" s="491" t="s">
        <v>1</v>
      </c>
    </row>
    <row r="32" spans="1:10" ht="14.4" customHeight="1" x14ac:dyDescent="0.3">
      <c r="A32" s="487" t="s">
        <v>454</v>
      </c>
      <c r="B32" s="488" t="s">
        <v>456</v>
      </c>
      <c r="C32" s="489">
        <v>1242.2235099999998</v>
      </c>
      <c r="D32" s="489">
        <v>1358.7406899999996</v>
      </c>
      <c r="E32" s="489"/>
      <c r="F32" s="489">
        <v>1024.3387200000002</v>
      </c>
      <c r="G32" s="489">
        <v>1580</v>
      </c>
      <c r="H32" s="489">
        <v>-555.66127999999981</v>
      </c>
      <c r="I32" s="490">
        <v>0.6483156455696204</v>
      </c>
      <c r="J32" s="491" t="s">
        <v>452</v>
      </c>
    </row>
    <row r="33" spans="1:10" ht="14.4" customHeight="1" x14ac:dyDescent="0.3">
      <c r="A33" s="487" t="s">
        <v>443</v>
      </c>
      <c r="B33" s="488" t="s">
        <v>443</v>
      </c>
      <c r="C33" s="489" t="s">
        <v>443</v>
      </c>
      <c r="D33" s="489" t="s">
        <v>443</v>
      </c>
      <c r="E33" s="489"/>
      <c r="F33" s="489" t="s">
        <v>443</v>
      </c>
      <c r="G33" s="489" t="s">
        <v>443</v>
      </c>
      <c r="H33" s="489" t="s">
        <v>443</v>
      </c>
      <c r="I33" s="490" t="s">
        <v>443</v>
      </c>
      <c r="J33" s="491" t="s">
        <v>453</v>
      </c>
    </row>
    <row r="34" spans="1:10" ht="14.4" customHeight="1" x14ac:dyDescent="0.3">
      <c r="A34" s="487" t="s">
        <v>441</v>
      </c>
      <c r="B34" s="488" t="s">
        <v>447</v>
      </c>
      <c r="C34" s="489">
        <v>1250.2276199999999</v>
      </c>
      <c r="D34" s="489">
        <v>1367.5273899999997</v>
      </c>
      <c r="E34" s="489"/>
      <c r="F34" s="489">
        <v>1032.1279000000002</v>
      </c>
      <c r="G34" s="489">
        <v>1596</v>
      </c>
      <c r="H34" s="489">
        <v>-563.87209999999982</v>
      </c>
      <c r="I34" s="490">
        <v>0.64669667919799512</v>
      </c>
      <c r="J34" s="491" t="s">
        <v>448</v>
      </c>
    </row>
  </sheetData>
  <mergeCells count="3">
    <mergeCell ref="A1:I1"/>
    <mergeCell ref="F3:I3"/>
    <mergeCell ref="C4:D4"/>
  </mergeCells>
  <conditionalFormatting sqref="F14 F35:F65537">
    <cfRule type="cellIs" dxfId="20" priority="18" stopIfTrue="1" operator="greaterThan">
      <formula>1</formula>
    </cfRule>
  </conditionalFormatting>
  <conditionalFormatting sqref="H5:H13">
    <cfRule type="expression" dxfId="19" priority="14">
      <formula>$H5&gt;0</formula>
    </cfRule>
  </conditionalFormatting>
  <conditionalFormatting sqref="I5:I13">
    <cfRule type="expression" dxfId="18" priority="15">
      <formula>$I5&gt;1</formula>
    </cfRule>
  </conditionalFormatting>
  <conditionalFormatting sqref="B5:B13">
    <cfRule type="expression" dxfId="17" priority="11">
      <formula>OR($J5="NS",$J5="SumaNS",$J5="Účet")</formula>
    </cfRule>
  </conditionalFormatting>
  <conditionalFormatting sqref="F5:I13 B5:D13">
    <cfRule type="expression" dxfId="16" priority="17">
      <formula>AND($J5&lt;&gt;"",$J5&lt;&gt;"mezeraKL")</formula>
    </cfRule>
  </conditionalFormatting>
  <conditionalFormatting sqref="B5:D13 F5:I13">
    <cfRule type="expression" dxfId="15" priority="12">
      <formula>OR($J5="KL",$J5="SumaKL")</formula>
    </cfRule>
    <cfRule type="expression" priority="16" stopIfTrue="1">
      <formula>OR($J5="mezeraNS",$J5="mezeraKL")</formula>
    </cfRule>
  </conditionalFormatting>
  <conditionalFormatting sqref="B5:D13 F5:I13">
    <cfRule type="expression" dxfId="14" priority="13">
      <formula>OR($J5="SumaNS",$J5="NS")</formula>
    </cfRule>
  </conditionalFormatting>
  <conditionalFormatting sqref="A5:A13">
    <cfRule type="expression" dxfId="13" priority="9">
      <formula>AND($J5&lt;&gt;"mezeraKL",$J5&lt;&gt;"")</formula>
    </cfRule>
  </conditionalFormatting>
  <conditionalFormatting sqref="A5:A13">
    <cfRule type="expression" dxfId="12" priority="10">
      <formula>AND($J5&lt;&gt;"",$J5&lt;&gt;"mezeraKL")</formula>
    </cfRule>
  </conditionalFormatting>
  <conditionalFormatting sqref="H15:H34">
    <cfRule type="expression" dxfId="11" priority="6">
      <formula>$H15&gt;0</formula>
    </cfRule>
  </conditionalFormatting>
  <conditionalFormatting sqref="A15:A34">
    <cfRule type="expression" dxfId="10" priority="5">
      <formula>AND($J15&lt;&gt;"mezeraKL",$J15&lt;&gt;"")</formula>
    </cfRule>
  </conditionalFormatting>
  <conditionalFormatting sqref="I15:I34">
    <cfRule type="expression" dxfId="9" priority="7">
      <formula>$I15&gt;1</formula>
    </cfRule>
  </conditionalFormatting>
  <conditionalFormatting sqref="B15:B34">
    <cfRule type="expression" dxfId="8" priority="4">
      <formula>OR($J15="NS",$J15="SumaNS",$J15="Účet")</formula>
    </cfRule>
  </conditionalFormatting>
  <conditionalFormatting sqref="A15:D34 F15:I34">
    <cfRule type="expression" dxfId="7" priority="8">
      <formula>AND($J15&lt;&gt;"",$J15&lt;&gt;"mezeraKL")</formula>
    </cfRule>
  </conditionalFormatting>
  <conditionalFormatting sqref="B15:D34 F15:I34">
    <cfRule type="expression" dxfId="6" priority="1">
      <formula>OR($J15="KL",$J15="SumaKL")</formula>
    </cfRule>
    <cfRule type="expression" priority="3" stopIfTrue="1">
      <formula>OR($J15="mezeraNS",$J15="mezeraKL")</formula>
    </cfRule>
  </conditionalFormatting>
  <conditionalFormatting sqref="B15:D34 F15:I34">
    <cfRule type="expression" dxfId="5" priority="2">
      <formula>OR($J15="SumaNS",$J15="NS")</formula>
    </cfRule>
  </conditionalFormatting>
  <hyperlinks>
    <hyperlink ref="A2" location="Obsah!A1" display="Zpět na Obsah  KL 01  1.-4.měsíc"/>
  </hyperlinks>
  <pageMargins left="0.25" right="0.25" top="0.75" bottom="0.75" header="0.3" footer="0.3"/>
  <pageSetup paperSize="9" fitToHeight="0" orientation="portrait" r:id="rId1"/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List141">
    <tabColor theme="0" tint="-0.249977111117893"/>
    <pageSetUpPr fitToPage="1"/>
  </sheetPr>
  <dimension ref="A1:K115"/>
  <sheetViews>
    <sheetView showGridLines="0" showRowColHeaders="0" workbookViewId="0">
      <pane ySplit="4" topLeftCell="A5" activePane="bottomLeft" state="frozen"/>
      <selection activeCell="A2" sqref="A2:I2"/>
      <selection pane="bottomLeft" sqref="A1:K1"/>
    </sheetView>
  </sheetViews>
  <sheetFormatPr defaultRowHeight="14.4" customHeight="1" outlineLevelCol="1" x14ac:dyDescent="0.3"/>
  <cols>
    <col min="1" max="1" width="6.6640625" style="129" hidden="1" customWidth="1" outlineLevel="1"/>
    <col min="2" max="2" width="28.33203125" style="129" hidden="1" customWidth="1" outlineLevel="1"/>
    <col min="3" max="3" width="5.33203125" style="209" bestFit="1" customWidth="1" collapsed="1"/>
    <col min="4" max="4" width="18.77734375" style="213" customWidth="1"/>
    <col min="5" max="5" width="9" style="209" bestFit="1" customWidth="1"/>
    <col min="6" max="6" width="18.77734375" style="213" customWidth="1"/>
    <col min="7" max="7" width="12.44140625" style="209" hidden="1" customWidth="1" outlineLevel="1"/>
    <col min="8" max="8" width="25.77734375" style="209" customWidth="1" collapsed="1"/>
    <col min="9" max="9" width="7.77734375" style="207" customWidth="1"/>
    <col min="10" max="10" width="10" style="207" customWidth="1"/>
    <col min="11" max="11" width="11.109375" style="207" customWidth="1"/>
    <col min="12" max="16384" width="8.88671875" style="129"/>
  </cols>
  <sheetData>
    <row r="1" spans="1:11" ht="18.600000000000001" customHeight="1" thickBot="1" x14ac:dyDescent="0.4">
      <c r="A1" s="366" t="s">
        <v>861</v>
      </c>
      <c r="B1" s="330"/>
      <c r="C1" s="330"/>
      <c r="D1" s="330"/>
      <c r="E1" s="330"/>
      <c r="F1" s="330"/>
      <c r="G1" s="330"/>
      <c r="H1" s="330"/>
      <c r="I1" s="330"/>
      <c r="J1" s="330"/>
      <c r="K1" s="330"/>
    </row>
    <row r="2" spans="1:11" ht="14.4" customHeight="1" thickBot="1" x14ac:dyDescent="0.35">
      <c r="A2" s="232" t="s">
        <v>265</v>
      </c>
      <c r="B2" s="62"/>
      <c r="C2" s="211"/>
      <c r="D2" s="211"/>
      <c r="E2" s="211"/>
      <c r="F2" s="211"/>
      <c r="G2" s="211"/>
      <c r="H2" s="211"/>
      <c r="I2" s="212"/>
      <c r="J2" s="212"/>
      <c r="K2" s="212"/>
    </row>
    <row r="3" spans="1:11" ht="14.4" customHeight="1" thickBot="1" x14ac:dyDescent="0.35">
      <c r="A3" s="62"/>
      <c r="B3" s="62"/>
      <c r="C3" s="362"/>
      <c r="D3" s="363"/>
      <c r="E3" s="363"/>
      <c r="F3" s="363"/>
      <c r="G3" s="363"/>
      <c r="H3" s="141" t="s">
        <v>127</v>
      </c>
      <c r="I3" s="98">
        <f>IF(J3&lt;&gt;0,K3/J3,0)</f>
        <v>16.162777662137589</v>
      </c>
      <c r="J3" s="98">
        <f>SUBTOTAL(9,J5:J1048576)</f>
        <v>64447</v>
      </c>
      <c r="K3" s="99">
        <f>SUBTOTAL(9,K5:K1048576)</f>
        <v>1041642.5319917812</v>
      </c>
    </row>
    <row r="4" spans="1:11" s="208" customFormat="1" ht="14.4" customHeight="1" thickBot="1" x14ac:dyDescent="0.35">
      <c r="A4" s="610" t="s">
        <v>4</v>
      </c>
      <c r="B4" s="611" t="s">
        <v>5</v>
      </c>
      <c r="C4" s="611" t="s">
        <v>0</v>
      </c>
      <c r="D4" s="611" t="s">
        <v>6</v>
      </c>
      <c r="E4" s="611" t="s">
        <v>7</v>
      </c>
      <c r="F4" s="611" t="s">
        <v>1</v>
      </c>
      <c r="G4" s="611" t="s">
        <v>70</v>
      </c>
      <c r="H4" s="495" t="s">
        <v>11</v>
      </c>
      <c r="I4" s="496" t="s">
        <v>141</v>
      </c>
      <c r="J4" s="496" t="s">
        <v>13</v>
      </c>
      <c r="K4" s="497" t="s">
        <v>155</v>
      </c>
    </row>
    <row r="5" spans="1:11" ht="14.4" customHeight="1" x14ac:dyDescent="0.3">
      <c r="A5" s="564" t="s">
        <v>441</v>
      </c>
      <c r="B5" s="565" t="s">
        <v>442</v>
      </c>
      <c r="C5" s="568" t="s">
        <v>449</v>
      </c>
      <c r="D5" s="612" t="s">
        <v>450</v>
      </c>
      <c r="E5" s="568" t="s">
        <v>635</v>
      </c>
      <c r="F5" s="612" t="s">
        <v>636</v>
      </c>
      <c r="G5" s="568" t="s">
        <v>637</v>
      </c>
      <c r="H5" s="568" t="s">
        <v>638</v>
      </c>
      <c r="I5" s="116">
        <v>0.63999998569488525</v>
      </c>
      <c r="J5" s="116">
        <v>500</v>
      </c>
      <c r="K5" s="591">
        <v>320</v>
      </c>
    </row>
    <row r="6" spans="1:11" ht="14.4" customHeight="1" x14ac:dyDescent="0.3">
      <c r="A6" s="571" t="s">
        <v>441</v>
      </c>
      <c r="B6" s="572" t="s">
        <v>442</v>
      </c>
      <c r="C6" s="575" t="s">
        <v>449</v>
      </c>
      <c r="D6" s="613" t="s">
        <v>450</v>
      </c>
      <c r="E6" s="575" t="s">
        <v>635</v>
      </c>
      <c r="F6" s="613" t="s">
        <v>636</v>
      </c>
      <c r="G6" s="575" t="s">
        <v>639</v>
      </c>
      <c r="H6" s="575" t="s">
        <v>640</v>
      </c>
      <c r="I6" s="592">
        <v>22.299999237060547</v>
      </c>
      <c r="J6" s="592">
        <v>2</v>
      </c>
      <c r="K6" s="593">
        <v>44.599998474121094</v>
      </c>
    </row>
    <row r="7" spans="1:11" ht="14.4" customHeight="1" x14ac:dyDescent="0.3">
      <c r="A7" s="571" t="s">
        <v>441</v>
      </c>
      <c r="B7" s="572" t="s">
        <v>442</v>
      </c>
      <c r="C7" s="575" t="s">
        <v>449</v>
      </c>
      <c r="D7" s="613" t="s">
        <v>450</v>
      </c>
      <c r="E7" s="575" t="s">
        <v>635</v>
      </c>
      <c r="F7" s="613" t="s">
        <v>636</v>
      </c>
      <c r="G7" s="575" t="s">
        <v>641</v>
      </c>
      <c r="H7" s="575" t="s">
        <v>642</v>
      </c>
      <c r="I7" s="592">
        <v>27.877499580383301</v>
      </c>
      <c r="J7" s="592">
        <v>4</v>
      </c>
      <c r="K7" s="593">
        <v>111.5099983215332</v>
      </c>
    </row>
    <row r="8" spans="1:11" ht="14.4" customHeight="1" x14ac:dyDescent="0.3">
      <c r="A8" s="571" t="s">
        <v>441</v>
      </c>
      <c r="B8" s="572" t="s">
        <v>442</v>
      </c>
      <c r="C8" s="575" t="s">
        <v>449</v>
      </c>
      <c r="D8" s="613" t="s">
        <v>450</v>
      </c>
      <c r="E8" s="575" t="s">
        <v>635</v>
      </c>
      <c r="F8" s="613" t="s">
        <v>636</v>
      </c>
      <c r="G8" s="575" t="s">
        <v>643</v>
      </c>
      <c r="H8" s="575" t="s">
        <v>644</v>
      </c>
      <c r="I8" s="592">
        <v>28.732499599456787</v>
      </c>
      <c r="J8" s="592">
        <v>34</v>
      </c>
      <c r="K8" s="593">
        <v>976.989990234375</v>
      </c>
    </row>
    <row r="9" spans="1:11" ht="14.4" customHeight="1" x14ac:dyDescent="0.3">
      <c r="A9" s="571" t="s">
        <v>441</v>
      </c>
      <c r="B9" s="572" t="s">
        <v>442</v>
      </c>
      <c r="C9" s="575" t="s">
        <v>449</v>
      </c>
      <c r="D9" s="613" t="s">
        <v>450</v>
      </c>
      <c r="E9" s="575" t="s">
        <v>645</v>
      </c>
      <c r="F9" s="613" t="s">
        <v>646</v>
      </c>
      <c r="G9" s="575" t="s">
        <v>647</v>
      </c>
      <c r="H9" s="575" t="s">
        <v>648</v>
      </c>
      <c r="I9" s="592">
        <v>9.9999997764825821E-3</v>
      </c>
      <c r="J9" s="592">
        <v>400</v>
      </c>
      <c r="K9" s="593">
        <v>4</v>
      </c>
    </row>
    <row r="10" spans="1:11" ht="14.4" customHeight="1" x14ac:dyDescent="0.3">
      <c r="A10" s="571" t="s">
        <v>441</v>
      </c>
      <c r="B10" s="572" t="s">
        <v>442</v>
      </c>
      <c r="C10" s="575" t="s">
        <v>449</v>
      </c>
      <c r="D10" s="613" t="s">
        <v>450</v>
      </c>
      <c r="E10" s="575" t="s">
        <v>645</v>
      </c>
      <c r="F10" s="613" t="s">
        <v>646</v>
      </c>
      <c r="G10" s="575" t="s">
        <v>649</v>
      </c>
      <c r="H10" s="575" t="s">
        <v>650</v>
      </c>
      <c r="I10" s="592">
        <v>140.39999389648437</v>
      </c>
      <c r="J10" s="592">
        <v>2</v>
      </c>
      <c r="K10" s="593">
        <v>280.79998779296875</v>
      </c>
    </row>
    <row r="11" spans="1:11" ht="14.4" customHeight="1" x14ac:dyDescent="0.3">
      <c r="A11" s="571" t="s">
        <v>441</v>
      </c>
      <c r="B11" s="572" t="s">
        <v>442</v>
      </c>
      <c r="C11" s="575" t="s">
        <v>449</v>
      </c>
      <c r="D11" s="613" t="s">
        <v>450</v>
      </c>
      <c r="E11" s="575" t="s">
        <v>645</v>
      </c>
      <c r="F11" s="613" t="s">
        <v>646</v>
      </c>
      <c r="G11" s="575" t="s">
        <v>651</v>
      </c>
      <c r="H11" s="575" t="s">
        <v>652</v>
      </c>
      <c r="I11" s="592">
        <v>0.25</v>
      </c>
      <c r="J11" s="592">
        <v>200</v>
      </c>
      <c r="K11" s="593">
        <v>50</v>
      </c>
    </row>
    <row r="12" spans="1:11" ht="14.4" customHeight="1" x14ac:dyDescent="0.3">
      <c r="A12" s="571" t="s">
        <v>441</v>
      </c>
      <c r="B12" s="572" t="s">
        <v>442</v>
      </c>
      <c r="C12" s="575" t="s">
        <v>449</v>
      </c>
      <c r="D12" s="613" t="s">
        <v>450</v>
      </c>
      <c r="E12" s="575" t="s">
        <v>645</v>
      </c>
      <c r="F12" s="613" t="s">
        <v>646</v>
      </c>
      <c r="G12" s="575" t="s">
        <v>653</v>
      </c>
      <c r="H12" s="575" t="s">
        <v>654</v>
      </c>
      <c r="I12" s="592">
        <v>13.310000419616699</v>
      </c>
      <c r="J12" s="592">
        <v>10</v>
      </c>
      <c r="K12" s="593">
        <v>133.10000610351562</v>
      </c>
    </row>
    <row r="13" spans="1:11" ht="14.4" customHeight="1" x14ac:dyDescent="0.3">
      <c r="A13" s="571" t="s">
        <v>441</v>
      </c>
      <c r="B13" s="572" t="s">
        <v>442</v>
      </c>
      <c r="C13" s="575" t="s">
        <v>449</v>
      </c>
      <c r="D13" s="613" t="s">
        <v>450</v>
      </c>
      <c r="E13" s="575" t="s">
        <v>645</v>
      </c>
      <c r="F13" s="613" t="s">
        <v>646</v>
      </c>
      <c r="G13" s="575" t="s">
        <v>655</v>
      </c>
      <c r="H13" s="575" t="s">
        <v>656</v>
      </c>
      <c r="I13" s="592">
        <v>15.039999961853027</v>
      </c>
      <c r="J13" s="592">
        <v>1</v>
      </c>
      <c r="K13" s="593">
        <v>15.039999961853027</v>
      </c>
    </row>
    <row r="14" spans="1:11" ht="14.4" customHeight="1" x14ac:dyDescent="0.3">
      <c r="A14" s="571" t="s">
        <v>441</v>
      </c>
      <c r="B14" s="572" t="s">
        <v>442</v>
      </c>
      <c r="C14" s="575" t="s">
        <v>449</v>
      </c>
      <c r="D14" s="613" t="s">
        <v>450</v>
      </c>
      <c r="E14" s="575" t="s">
        <v>645</v>
      </c>
      <c r="F14" s="613" t="s">
        <v>646</v>
      </c>
      <c r="G14" s="575" t="s">
        <v>657</v>
      </c>
      <c r="H14" s="575" t="s">
        <v>658</v>
      </c>
      <c r="I14" s="592">
        <v>6.2399997711181641</v>
      </c>
      <c r="J14" s="592">
        <v>1</v>
      </c>
      <c r="K14" s="593">
        <v>6.2399997711181641</v>
      </c>
    </row>
    <row r="15" spans="1:11" ht="14.4" customHeight="1" x14ac:dyDescent="0.3">
      <c r="A15" s="571" t="s">
        <v>441</v>
      </c>
      <c r="B15" s="572" t="s">
        <v>442</v>
      </c>
      <c r="C15" s="575" t="s">
        <v>449</v>
      </c>
      <c r="D15" s="613" t="s">
        <v>450</v>
      </c>
      <c r="E15" s="575" t="s">
        <v>645</v>
      </c>
      <c r="F15" s="613" t="s">
        <v>646</v>
      </c>
      <c r="G15" s="575" t="s">
        <v>659</v>
      </c>
      <c r="H15" s="575" t="s">
        <v>660</v>
      </c>
      <c r="I15" s="592">
        <v>2.369999885559082</v>
      </c>
      <c r="J15" s="592">
        <v>20</v>
      </c>
      <c r="K15" s="593">
        <v>47.400001525878906</v>
      </c>
    </row>
    <row r="16" spans="1:11" ht="14.4" customHeight="1" x14ac:dyDescent="0.3">
      <c r="A16" s="571" t="s">
        <v>441</v>
      </c>
      <c r="B16" s="572" t="s">
        <v>442</v>
      </c>
      <c r="C16" s="575" t="s">
        <v>449</v>
      </c>
      <c r="D16" s="613" t="s">
        <v>450</v>
      </c>
      <c r="E16" s="575" t="s">
        <v>645</v>
      </c>
      <c r="F16" s="613" t="s">
        <v>646</v>
      </c>
      <c r="G16" s="575" t="s">
        <v>661</v>
      </c>
      <c r="H16" s="575" t="s">
        <v>662</v>
      </c>
      <c r="I16" s="592">
        <v>2.0349999666213989</v>
      </c>
      <c r="J16" s="592">
        <v>450</v>
      </c>
      <c r="K16" s="593">
        <v>916</v>
      </c>
    </row>
    <row r="17" spans="1:11" ht="14.4" customHeight="1" x14ac:dyDescent="0.3">
      <c r="A17" s="571" t="s">
        <v>441</v>
      </c>
      <c r="B17" s="572" t="s">
        <v>442</v>
      </c>
      <c r="C17" s="575" t="s">
        <v>449</v>
      </c>
      <c r="D17" s="613" t="s">
        <v>450</v>
      </c>
      <c r="E17" s="575" t="s">
        <v>645</v>
      </c>
      <c r="F17" s="613" t="s">
        <v>646</v>
      </c>
      <c r="G17" s="575" t="s">
        <v>663</v>
      </c>
      <c r="H17" s="575" t="s">
        <v>664</v>
      </c>
      <c r="I17" s="592">
        <v>2.7000000476837158</v>
      </c>
      <c r="J17" s="592">
        <v>50</v>
      </c>
      <c r="K17" s="593">
        <v>135</v>
      </c>
    </row>
    <row r="18" spans="1:11" ht="14.4" customHeight="1" x14ac:dyDescent="0.3">
      <c r="A18" s="571" t="s">
        <v>441</v>
      </c>
      <c r="B18" s="572" t="s">
        <v>442</v>
      </c>
      <c r="C18" s="575" t="s">
        <v>449</v>
      </c>
      <c r="D18" s="613" t="s">
        <v>450</v>
      </c>
      <c r="E18" s="575" t="s">
        <v>645</v>
      </c>
      <c r="F18" s="613" t="s">
        <v>646</v>
      </c>
      <c r="G18" s="575" t="s">
        <v>665</v>
      </c>
      <c r="H18" s="575" t="s">
        <v>666</v>
      </c>
      <c r="I18" s="592">
        <v>2.1600000858306885</v>
      </c>
      <c r="J18" s="592">
        <v>50</v>
      </c>
      <c r="K18" s="593">
        <v>108</v>
      </c>
    </row>
    <row r="19" spans="1:11" ht="14.4" customHeight="1" x14ac:dyDescent="0.3">
      <c r="A19" s="571" t="s">
        <v>441</v>
      </c>
      <c r="B19" s="572" t="s">
        <v>442</v>
      </c>
      <c r="C19" s="575" t="s">
        <v>449</v>
      </c>
      <c r="D19" s="613" t="s">
        <v>450</v>
      </c>
      <c r="E19" s="575" t="s">
        <v>645</v>
      </c>
      <c r="F19" s="613" t="s">
        <v>646</v>
      </c>
      <c r="G19" s="575" t="s">
        <v>667</v>
      </c>
      <c r="H19" s="575" t="s">
        <v>668</v>
      </c>
      <c r="I19" s="592">
        <v>2.525999975204468</v>
      </c>
      <c r="J19" s="592">
        <v>250</v>
      </c>
      <c r="K19" s="593">
        <v>631.49999237060547</v>
      </c>
    </row>
    <row r="20" spans="1:11" ht="14.4" customHeight="1" x14ac:dyDescent="0.3">
      <c r="A20" s="571" t="s">
        <v>441</v>
      </c>
      <c r="B20" s="572" t="s">
        <v>442</v>
      </c>
      <c r="C20" s="575" t="s">
        <v>449</v>
      </c>
      <c r="D20" s="613" t="s">
        <v>450</v>
      </c>
      <c r="E20" s="575" t="s">
        <v>669</v>
      </c>
      <c r="F20" s="613" t="s">
        <v>670</v>
      </c>
      <c r="G20" s="575" t="s">
        <v>671</v>
      </c>
      <c r="H20" s="575" t="s">
        <v>672</v>
      </c>
      <c r="I20" s="592">
        <v>1.8024999499320984</v>
      </c>
      <c r="J20" s="592">
        <v>400</v>
      </c>
      <c r="K20" s="593">
        <v>721</v>
      </c>
    </row>
    <row r="21" spans="1:11" ht="14.4" customHeight="1" x14ac:dyDescent="0.3">
      <c r="A21" s="571" t="s">
        <v>441</v>
      </c>
      <c r="B21" s="572" t="s">
        <v>442</v>
      </c>
      <c r="C21" s="575" t="s">
        <v>449</v>
      </c>
      <c r="D21" s="613" t="s">
        <v>450</v>
      </c>
      <c r="E21" s="575" t="s">
        <v>673</v>
      </c>
      <c r="F21" s="613" t="s">
        <v>674</v>
      </c>
      <c r="G21" s="575" t="s">
        <v>675</v>
      </c>
      <c r="H21" s="575" t="s">
        <v>676</v>
      </c>
      <c r="I21" s="592">
        <v>0.63249999284744263</v>
      </c>
      <c r="J21" s="592">
        <v>1400</v>
      </c>
      <c r="K21" s="593">
        <v>886</v>
      </c>
    </row>
    <row r="22" spans="1:11" ht="14.4" customHeight="1" x14ac:dyDescent="0.3">
      <c r="A22" s="571" t="s">
        <v>441</v>
      </c>
      <c r="B22" s="572" t="s">
        <v>442</v>
      </c>
      <c r="C22" s="575" t="s">
        <v>449</v>
      </c>
      <c r="D22" s="613" t="s">
        <v>450</v>
      </c>
      <c r="E22" s="575" t="s">
        <v>673</v>
      </c>
      <c r="F22" s="613" t="s">
        <v>674</v>
      </c>
      <c r="G22" s="575" t="s">
        <v>677</v>
      </c>
      <c r="H22" s="575" t="s">
        <v>678</v>
      </c>
      <c r="I22" s="592">
        <v>0.63249999284744263</v>
      </c>
      <c r="J22" s="592">
        <v>3000</v>
      </c>
      <c r="K22" s="593">
        <v>1898</v>
      </c>
    </row>
    <row r="23" spans="1:11" ht="14.4" customHeight="1" x14ac:dyDescent="0.3">
      <c r="A23" s="571" t="s">
        <v>441</v>
      </c>
      <c r="B23" s="572" t="s">
        <v>442</v>
      </c>
      <c r="C23" s="575" t="s">
        <v>449</v>
      </c>
      <c r="D23" s="613" t="s">
        <v>450</v>
      </c>
      <c r="E23" s="575" t="s">
        <v>673</v>
      </c>
      <c r="F23" s="613" t="s">
        <v>674</v>
      </c>
      <c r="G23" s="575" t="s">
        <v>679</v>
      </c>
      <c r="H23" s="575" t="s">
        <v>680</v>
      </c>
      <c r="I23" s="592">
        <v>0.62999999523162842</v>
      </c>
      <c r="J23" s="592">
        <v>800</v>
      </c>
      <c r="K23" s="593">
        <v>504</v>
      </c>
    </row>
    <row r="24" spans="1:11" ht="14.4" customHeight="1" x14ac:dyDescent="0.3">
      <c r="A24" s="571" t="s">
        <v>441</v>
      </c>
      <c r="B24" s="572" t="s">
        <v>442</v>
      </c>
      <c r="C24" s="575" t="s">
        <v>454</v>
      </c>
      <c r="D24" s="613" t="s">
        <v>455</v>
      </c>
      <c r="E24" s="575" t="s">
        <v>681</v>
      </c>
      <c r="F24" s="613" t="s">
        <v>682</v>
      </c>
      <c r="G24" s="575" t="s">
        <v>683</v>
      </c>
      <c r="H24" s="575" t="s">
        <v>684</v>
      </c>
      <c r="I24" s="592">
        <v>1314.86669921875</v>
      </c>
      <c r="J24" s="592">
        <v>30</v>
      </c>
      <c r="K24" s="593">
        <v>39446</v>
      </c>
    </row>
    <row r="25" spans="1:11" ht="14.4" customHeight="1" x14ac:dyDescent="0.3">
      <c r="A25" s="571" t="s">
        <v>441</v>
      </c>
      <c r="B25" s="572" t="s">
        <v>442</v>
      </c>
      <c r="C25" s="575" t="s">
        <v>454</v>
      </c>
      <c r="D25" s="613" t="s">
        <v>455</v>
      </c>
      <c r="E25" s="575" t="s">
        <v>681</v>
      </c>
      <c r="F25" s="613" t="s">
        <v>682</v>
      </c>
      <c r="G25" s="575" t="s">
        <v>685</v>
      </c>
      <c r="H25" s="575" t="s">
        <v>686</v>
      </c>
      <c r="I25" s="592">
        <v>182.71000671386719</v>
      </c>
      <c r="J25" s="592">
        <v>2</v>
      </c>
      <c r="K25" s="593">
        <v>365.42001342773437</v>
      </c>
    </row>
    <row r="26" spans="1:11" ht="14.4" customHeight="1" x14ac:dyDescent="0.3">
      <c r="A26" s="571" t="s">
        <v>441</v>
      </c>
      <c r="B26" s="572" t="s">
        <v>442</v>
      </c>
      <c r="C26" s="575" t="s">
        <v>454</v>
      </c>
      <c r="D26" s="613" t="s">
        <v>455</v>
      </c>
      <c r="E26" s="575" t="s">
        <v>681</v>
      </c>
      <c r="F26" s="613" t="s">
        <v>682</v>
      </c>
      <c r="G26" s="575" t="s">
        <v>687</v>
      </c>
      <c r="H26" s="575" t="s">
        <v>688</v>
      </c>
      <c r="I26" s="592">
        <v>4185.9949951171875</v>
      </c>
      <c r="J26" s="592">
        <v>2</v>
      </c>
      <c r="K26" s="593">
        <v>8371.989990234375</v>
      </c>
    </row>
    <row r="27" spans="1:11" ht="14.4" customHeight="1" x14ac:dyDescent="0.3">
      <c r="A27" s="571" t="s">
        <v>441</v>
      </c>
      <c r="B27" s="572" t="s">
        <v>442</v>
      </c>
      <c r="C27" s="575" t="s">
        <v>454</v>
      </c>
      <c r="D27" s="613" t="s">
        <v>455</v>
      </c>
      <c r="E27" s="575" t="s">
        <v>681</v>
      </c>
      <c r="F27" s="613" t="s">
        <v>682</v>
      </c>
      <c r="G27" s="575" t="s">
        <v>689</v>
      </c>
      <c r="H27" s="575" t="s">
        <v>690</v>
      </c>
      <c r="I27" s="592">
        <v>9486.400390625</v>
      </c>
      <c r="J27" s="592">
        <v>1</v>
      </c>
      <c r="K27" s="593">
        <v>9486.400390625</v>
      </c>
    </row>
    <row r="28" spans="1:11" ht="14.4" customHeight="1" x14ac:dyDescent="0.3">
      <c r="A28" s="571" t="s">
        <v>441</v>
      </c>
      <c r="B28" s="572" t="s">
        <v>442</v>
      </c>
      <c r="C28" s="575" t="s">
        <v>454</v>
      </c>
      <c r="D28" s="613" t="s">
        <v>455</v>
      </c>
      <c r="E28" s="575" t="s">
        <v>681</v>
      </c>
      <c r="F28" s="613" t="s">
        <v>682</v>
      </c>
      <c r="G28" s="575" t="s">
        <v>691</v>
      </c>
      <c r="H28" s="575" t="s">
        <v>692</v>
      </c>
      <c r="I28" s="592">
        <v>48443.666666666664</v>
      </c>
      <c r="J28" s="592">
        <v>3</v>
      </c>
      <c r="K28" s="593">
        <v>145331</v>
      </c>
    </row>
    <row r="29" spans="1:11" ht="14.4" customHeight="1" x14ac:dyDescent="0.3">
      <c r="A29" s="571" t="s">
        <v>441</v>
      </c>
      <c r="B29" s="572" t="s">
        <v>442</v>
      </c>
      <c r="C29" s="575" t="s">
        <v>454</v>
      </c>
      <c r="D29" s="613" t="s">
        <v>455</v>
      </c>
      <c r="E29" s="575" t="s">
        <v>681</v>
      </c>
      <c r="F29" s="613" t="s">
        <v>682</v>
      </c>
      <c r="G29" s="575" t="s">
        <v>693</v>
      </c>
      <c r="H29" s="575" t="s">
        <v>694</v>
      </c>
      <c r="I29" s="592">
        <v>195.54949055084438</v>
      </c>
      <c r="J29" s="592">
        <v>4</v>
      </c>
      <c r="K29" s="593">
        <v>782.19796220337753</v>
      </c>
    </row>
    <row r="30" spans="1:11" ht="14.4" customHeight="1" x14ac:dyDescent="0.3">
      <c r="A30" s="571" t="s">
        <v>441</v>
      </c>
      <c r="B30" s="572" t="s">
        <v>442</v>
      </c>
      <c r="C30" s="575" t="s">
        <v>454</v>
      </c>
      <c r="D30" s="613" t="s">
        <v>455</v>
      </c>
      <c r="E30" s="575" t="s">
        <v>681</v>
      </c>
      <c r="F30" s="613" t="s">
        <v>682</v>
      </c>
      <c r="G30" s="575" t="s">
        <v>695</v>
      </c>
      <c r="H30" s="575" t="s">
        <v>696</v>
      </c>
      <c r="I30" s="592">
        <v>665.5</v>
      </c>
      <c r="J30" s="592">
        <v>1</v>
      </c>
      <c r="K30" s="593">
        <v>665.5</v>
      </c>
    </row>
    <row r="31" spans="1:11" ht="14.4" customHeight="1" x14ac:dyDescent="0.3">
      <c r="A31" s="571" t="s">
        <v>441</v>
      </c>
      <c r="B31" s="572" t="s">
        <v>442</v>
      </c>
      <c r="C31" s="575" t="s">
        <v>454</v>
      </c>
      <c r="D31" s="613" t="s">
        <v>455</v>
      </c>
      <c r="E31" s="575" t="s">
        <v>681</v>
      </c>
      <c r="F31" s="613" t="s">
        <v>682</v>
      </c>
      <c r="G31" s="575" t="s">
        <v>697</v>
      </c>
      <c r="H31" s="575" t="s">
        <v>698</v>
      </c>
      <c r="I31" s="592">
        <v>478</v>
      </c>
      <c r="J31" s="592">
        <v>7</v>
      </c>
      <c r="K31" s="593">
        <v>3346</v>
      </c>
    </row>
    <row r="32" spans="1:11" ht="14.4" customHeight="1" x14ac:dyDescent="0.3">
      <c r="A32" s="571" t="s">
        <v>441</v>
      </c>
      <c r="B32" s="572" t="s">
        <v>442</v>
      </c>
      <c r="C32" s="575" t="s">
        <v>454</v>
      </c>
      <c r="D32" s="613" t="s">
        <v>455</v>
      </c>
      <c r="E32" s="575" t="s">
        <v>681</v>
      </c>
      <c r="F32" s="613" t="s">
        <v>682</v>
      </c>
      <c r="G32" s="575" t="s">
        <v>699</v>
      </c>
      <c r="H32" s="575" t="s">
        <v>700</v>
      </c>
      <c r="I32" s="592">
        <v>18150</v>
      </c>
      <c r="J32" s="592">
        <v>1</v>
      </c>
      <c r="K32" s="593">
        <v>18150</v>
      </c>
    </row>
    <row r="33" spans="1:11" ht="14.4" customHeight="1" x14ac:dyDescent="0.3">
      <c r="A33" s="571" t="s">
        <v>441</v>
      </c>
      <c r="B33" s="572" t="s">
        <v>442</v>
      </c>
      <c r="C33" s="575" t="s">
        <v>454</v>
      </c>
      <c r="D33" s="613" t="s">
        <v>455</v>
      </c>
      <c r="E33" s="575" t="s">
        <v>681</v>
      </c>
      <c r="F33" s="613" t="s">
        <v>682</v>
      </c>
      <c r="G33" s="575" t="s">
        <v>701</v>
      </c>
      <c r="H33" s="575" t="s">
        <v>702</v>
      </c>
      <c r="I33" s="592">
        <v>2843.5</v>
      </c>
      <c r="J33" s="592">
        <v>1</v>
      </c>
      <c r="K33" s="593">
        <v>2843.5</v>
      </c>
    </row>
    <row r="34" spans="1:11" ht="14.4" customHeight="1" x14ac:dyDescent="0.3">
      <c r="A34" s="571" t="s">
        <v>441</v>
      </c>
      <c r="B34" s="572" t="s">
        <v>442</v>
      </c>
      <c r="C34" s="575" t="s">
        <v>454</v>
      </c>
      <c r="D34" s="613" t="s">
        <v>455</v>
      </c>
      <c r="E34" s="575" t="s">
        <v>681</v>
      </c>
      <c r="F34" s="613" t="s">
        <v>682</v>
      </c>
      <c r="G34" s="575" t="s">
        <v>703</v>
      </c>
      <c r="H34" s="575" t="s">
        <v>704</v>
      </c>
      <c r="I34" s="592">
        <v>8712</v>
      </c>
      <c r="J34" s="592">
        <v>1</v>
      </c>
      <c r="K34" s="593">
        <v>8712</v>
      </c>
    </row>
    <row r="35" spans="1:11" ht="14.4" customHeight="1" x14ac:dyDescent="0.3">
      <c r="A35" s="571" t="s">
        <v>441</v>
      </c>
      <c r="B35" s="572" t="s">
        <v>442</v>
      </c>
      <c r="C35" s="575" t="s">
        <v>454</v>
      </c>
      <c r="D35" s="613" t="s">
        <v>455</v>
      </c>
      <c r="E35" s="575" t="s">
        <v>681</v>
      </c>
      <c r="F35" s="613" t="s">
        <v>682</v>
      </c>
      <c r="G35" s="575" t="s">
        <v>705</v>
      </c>
      <c r="H35" s="575" t="s">
        <v>706</v>
      </c>
      <c r="I35" s="592">
        <v>307.39999389648437</v>
      </c>
      <c r="J35" s="592">
        <v>1</v>
      </c>
      <c r="K35" s="593">
        <v>307.39999389648437</v>
      </c>
    </row>
    <row r="36" spans="1:11" ht="14.4" customHeight="1" x14ac:dyDescent="0.3">
      <c r="A36" s="571" t="s">
        <v>441</v>
      </c>
      <c r="B36" s="572" t="s">
        <v>442</v>
      </c>
      <c r="C36" s="575" t="s">
        <v>454</v>
      </c>
      <c r="D36" s="613" t="s">
        <v>455</v>
      </c>
      <c r="E36" s="575" t="s">
        <v>681</v>
      </c>
      <c r="F36" s="613" t="s">
        <v>682</v>
      </c>
      <c r="G36" s="575" t="s">
        <v>707</v>
      </c>
      <c r="H36" s="575" t="s">
        <v>708</v>
      </c>
      <c r="I36" s="592">
        <v>168.50388252386671</v>
      </c>
      <c r="J36" s="592">
        <v>2</v>
      </c>
      <c r="K36" s="593">
        <v>337.00776504773341</v>
      </c>
    </row>
    <row r="37" spans="1:11" ht="14.4" customHeight="1" x14ac:dyDescent="0.3">
      <c r="A37" s="571" t="s">
        <v>441</v>
      </c>
      <c r="B37" s="572" t="s">
        <v>442</v>
      </c>
      <c r="C37" s="575" t="s">
        <v>454</v>
      </c>
      <c r="D37" s="613" t="s">
        <v>455</v>
      </c>
      <c r="E37" s="575" t="s">
        <v>681</v>
      </c>
      <c r="F37" s="613" t="s">
        <v>682</v>
      </c>
      <c r="G37" s="575" t="s">
        <v>709</v>
      </c>
      <c r="H37" s="575" t="s">
        <v>710</v>
      </c>
      <c r="I37" s="592">
        <v>97.650001525878906</v>
      </c>
      <c r="J37" s="592">
        <v>1</v>
      </c>
      <c r="K37" s="593">
        <v>97.650001525878906</v>
      </c>
    </row>
    <row r="38" spans="1:11" ht="14.4" customHeight="1" x14ac:dyDescent="0.3">
      <c r="A38" s="571" t="s">
        <v>441</v>
      </c>
      <c r="B38" s="572" t="s">
        <v>442</v>
      </c>
      <c r="C38" s="575" t="s">
        <v>454</v>
      </c>
      <c r="D38" s="613" t="s">
        <v>455</v>
      </c>
      <c r="E38" s="575" t="s">
        <v>681</v>
      </c>
      <c r="F38" s="613" t="s">
        <v>682</v>
      </c>
      <c r="G38" s="575" t="s">
        <v>711</v>
      </c>
      <c r="H38" s="575" t="s">
        <v>712</v>
      </c>
      <c r="I38" s="592">
        <v>280</v>
      </c>
      <c r="J38" s="592">
        <v>1</v>
      </c>
      <c r="K38" s="593">
        <v>280</v>
      </c>
    </row>
    <row r="39" spans="1:11" ht="14.4" customHeight="1" x14ac:dyDescent="0.3">
      <c r="A39" s="571" t="s">
        <v>441</v>
      </c>
      <c r="B39" s="572" t="s">
        <v>442</v>
      </c>
      <c r="C39" s="575" t="s">
        <v>454</v>
      </c>
      <c r="D39" s="613" t="s">
        <v>455</v>
      </c>
      <c r="E39" s="575" t="s">
        <v>681</v>
      </c>
      <c r="F39" s="613" t="s">
        <v>682</v>
      </c>
      <c r="G39" s="575" t="s">
        <v>713</v>
      </c>
      <c r="H39" s="575" t="s">
        <v>714</v>
      </c>
      <c r="I39" s="592">
        <v>3739</v>
      </c>
      <c r="J39" s="592">
        <v>2</v>
      </c>
      <c r="K39" s="593">
        <v>7478</v>
      </c>
    </row>
    <row r="40" spans="1:11" ht="14.4" customHeight="1" x14ac:dyDescent="0.3">
      <c r="A40" s="571" t="s">
        <v>441</v>
      </c>
      <c r="B40" s="572" t="s">
        <v>442</v>
      </c>
      <c r="C40" s="575" t="s">
        <v>454</v>
      </c>
      <c r="D40" s="613" t="s">
        <v>455</v>
      </c>
      <c r="E40" s="575" t="s">
        <v>681</v>
      </c>
      <c r="F40" s="613" t="s">
        <v>682</v>
      </c>
      <c r="G40" s="575" t="s">
        <v>715</v>
      </c>
      <c r="H40" s="575" t="s">
        <v>716</v>
      </c>
      <c r="I40" s="592">
        <v>34059.5</v>
      </c>
      <c r="J40" s="592">
        <v>2</v>
      </c>
      <c r="K40" s="593">
        <v>68119</v>
      </c>
    </row>
    <row r="41" spans="1:11" ht="14.4" customHeight="1" x14ac:dyDescent="0.3">
      <c r="A41" s="571" t="s">
        <v>441</v>
      </c>
      <c r="B41" s="572" t="s">
        <v>442</v>
      </c>
      <c r="C41" s="575" t="s">
        <v>454</v>
      </c>
      <c r="D41" s="613" t="s">
        <v>455</v>
      </c>
      <c r="E41" s="575" t="s">
        <v>681</v>
      </c>
      <c r="F41" s="613" t="s">
        <v>682</v>
      </c>
      <c r="G41" s="575" t="s">
        <v>717</v>
      </c>
      <c r="H41" s="575" t="s">
        <v>718</v>
      </c>
      <c r="I41" s="592">
        <v>65544.109375</v>
      </c>
      <c r="J41" s="592">
        <v>1</v>
      </c>
      <c r="K41" s="593">
        <v>65544.109375</v>
      </c>
    </row>
    <row r="42" spans="1:11" ht="14.4" customHeight="1" x14ac:dyDescent="0.3">
      <c r="A42" s="571" t="s">
        <v>441</v>
      </c>
      <c r="B42" s="572" t="s">
        <v>442</v>
      </c>
      <c r="C42" s="575" t="s">
        <v>454</v>
      </c>
      <c r="D42" s="613" t="s">
        <v>455</v>
      </c>
      <c r="E42" s="575" t="s">
        <v>681</v>
      </c>
      <c r="F42" s="613" t="s">
        <v>682</v>
      </c>
      <c r="G42" s="575" t="s">
        <v>719</v>
      </c>
      <c r="H42" s="575" t="s">
        <v>720</v>
      </c>
      <c r="I42" s="592">
        <v>14675.9599609375</v>
      </c>
      <c r="J42" s="592">
        <v>1</v>
      </c>
      <c r="K42" s="593">
        <v>14675.9599609375</v>
      </c>
    </row>
    <row r="43" spans="1:11" ht="14.4" customHeight="1" x14ac:dyDescent="0.3">
      <c r="A43" s="571" t="s">
        <v>441</v>
      </c>
      <c r="B43" s="572" t="s">
        <v>442</v>
      </c>
      <c r="C43" s="575" t="s">
        <v>454</v>
      </c>
      <c r="D43" s="613" t="s">
        <v>455</v>
      </c>
      <c r="E43" s="575" t="s">
        <v>681</v>
      </c>
      <c r="F43" s="613" t="s">
        <v>682</v>
      </c>
      <c r="G43" s="575" t="s">
        <v>721</v>
      </c>
      <c r="H43" s="575" t="s">
        <v>722</v>
      </c>
      <c r="I43" s="592">
        <v>134406.796875</v>
      </c>
      <c r="J43" s="592">
        <v>1</v>
      </c>
      <c r="K43" s="593">
        <v>134406.796875</v>
      </c>
    </row>
    <row r="44" spans="1:11" ht="14.4" customHeight="1" x14ac:dyDescent="0.3">
      <c r="A44" s="571" t="s">
        <v>441</v>
      </c>
      <c r="B44" s="572" t="s">
        <v>442</v>
      </c>
      <c r="C44" s="575" t="s">
        <v>454</v>
      </c>
      <c r="D44" s="613" t="s">
        <v>455</v>
      </c>
      <c r="E44" s="575" t="s">
        <v>681</v>
      </c>
      <c r="F44" s="613" t="s">
        <v>682</v>
      </c>
      <c r="G44" s="575" t="s">
        <v>723</v>
      </c>
      <c r="H44" s="575" t="s">
        <v>724</v>
      </c>
      <c r="I44" s="592">
        <v>1101.0999755859375</v>
      </c>
      <c r="J44" s="592">
        <v>2</v>
      </c>
      <c r="K44" s="593">
        <v>2202.199951171875</v>
      </c>
    </row>
    <row r="45" spans="1:11" ht="14.4" customHeight="1" x14ac:dyDescent="0.3">
      <c r="A45" s="571" t="s">
        <v>441</v>
      </c>
      <c r="B45" s="572" t="s">
        <v>442</v>
      </c>
      <c r="C45" s="575" t="s">
        <v>454</v>
      </c>
      <c r="D45" s="613" t="s">
        <v>455</v>
      </c>
      <c r="E45" s="575" t="s">
        <v>681</v>
      </c>
      <c r="F45" s="613" t="s">
        <v>682</v>
      </c>
      <c r="G45" s="575" t="s">
        <v>725</v>
      </c>
      <c r="H45" s="575" t="s">
        <v>726</v>
      </c>
      <c r="I45" s="592">
        <v>119.30999755859375</v>
      </c>
      <c r="J45" s="592">
        <v>6</v>
      </c>
      <c r="K45" s="593">
        <v>715.83000183105469</v>
      </c>
    </row>
    <row r="46" spans="1:11" ht="14.4" customHeight="1" x14ac:dyDescent="0.3">
      <c r="A46" s="571" t="s">
        <v>441</v>
      </c>
      <c r="B46" s="572" t="s">
        <v>442</v>
      </c>
      <c r="C46" s="575" t="s">
        <v>454</v>
      </c>
      <c r="D46" s="613" t="s">
        <v>455</v>
      </c>
      <c r="E46" s="575" t="s">
        <v>681</v>
      </c>
      <c r="F46" s="613" t="s">
        <v>682</v>
      </c>
      <c r="G46" s="575" t="s">
        <v>727</v>
      </c>
      <c r="H46" s="575" t="s">
        <v>728</v>
      </c>
      <c r="I46" s="592">
        <v>73.569999694824219</v>
      </c>
      <c r="J46" s="592">
        <v>2</v>
      </c>
      <c r="K46" s="593">
        <v>147.1300048828125</v>
      </c>
    </row>
    <row r="47" spans="1:11" ht="14.4" customHeight="1" x14ac:dyDescent="0.3">
      <c r="A47" s="571" t="s">
        <v>441</v>
      </c>
      <c r="B47" s="572" t="s">
        <v>442</v>
      </c>
      <c r="C47" s="575" t="s">
        <v>454</v>
      </c>
      <c r="D47" s="613" t="s">
        <v>455</v>
      </c>
      <c r="E47" s="575" t="s">
        <v>681</v>
      </c>
      <c r="F47" s="613" t="s">
        <v>682</v>
      </c>
      <c r="G47" s="575" t="s">
        <v>729</v>
      </c>
      <c r="H47" s="575" t="s">
        <v>730</v>
      </c>
      <c r="I47" s="592">
        <v>97.273333231608078</v>
      </c>
      <c r="J47" s="592">
        <v>12</v>
      </c>
      <c r="K47" s="593">
        <v>1167.2900390625</v>
      </c>
    </row>
    <row r="48" spans="1:11" ht="14.4" customHeight="1" x14ac:dyDescent="0.3">
      <c r="A48" s="571" t="s">
        <v>441</v>
      </c>
      <c r="B48" s="572" t="s">
        <v>442</v>
      </c>
      <c r="C48" s="575" t="s">
        <v>454</v>
      </c>
      <c r="D48" s="613" t="s">
        <v>455</v>
      </c>
      <c r="E48" s="575" t="s">
        <v>681</v>
      </c>
      <c r="F48" s="613" t="s">
        <v>682</v>
      </c>
      <c r="G48" s="575" t="s">
        <v>731</v>
      </c>
      <c r="H48" s="575" t="s">
        <v>732</v>
      </c>
      <c r="I48" s="592">
        <v>22082</v>
      </c>
      <c r="J48" s="592">
        <v>1</v>
      </c>
      <c r="K48" s="593">
        <v>22082</v>
      </c>
    </row>
    <row r="49" spans="1:11" ht="14.4" customHeight="1" x14ac:dyDescent="0.3">
      <c r="A49" s="571" t="s">
        <v>441</v>
      </c>
      <c r="B49" s="572" t="s">
        <v>442</v>
      </c>
      <c r="C49" s="575" t="s">
        <v>454</v>
      </c>
      <c r="D49" s="613" t="s">
        <v>455</v>
      </c>
      <c r="E49" s="575" t="s">
        <v>681</v>
      </c>
      <c r="F49" s="613" t="s">
        <v>682</v>
      </c>
      <c r="G49" s="575" t="s">
        <v>733</v>
      </c>
      <c r="H49" s="575" t="s">
        <v>734</v>
      </c>
      <c r="I49" s="592">
        <v>195.76098176931356</v>
      </c>
      <c r="J49" s="592">
        <v>2</v>
      </c>
      <c r="K49" s="593">
        <v>391.52196353862712</v>
      </c>
    </row>
    <row r="50" spans="1:11" ht="14.4" customHeight="1" x14ac:dyDescent="0.3">
      <c r="A50" s="571" t="s">
        <v>441</v>
      </c>
      <c r="B50" s="572" t="s">
        <v>442</v>
      </c>
      <c r="C50" s="575" t="s">
        <v>454</v>
      </c>
      <c r="D50" s="613" t="s">
        <v>455</v>
      </c>
      <c r="E50" s="575" t="s">
        <v>681</v>
      </c>
      <c r="F50" s="613" t="s">
        <v>682</v>
      </c>
      <c r="G50" s="575" t="s">
        <v>735</v>
      </c>
      <c r="H50" s="575" t="s">
        <v>736</v>
      </c>
      <c r="I50" s="592">
        <v>1270.5</v>
      </c>
      <c r="J50" s="592">
        <v>4</v>
      </c>
      <c r="K50" s="593">
        <v>5082</v>
      </c>
    </row>
    <row r="51" spans="1:11" ht="14.4" customHeight="1" x14ac:dyDescent="0.3">
      <c r="A51" s="571" t="s">
        <v>441</v>
      </c>
      <c r="B51" s="572" t="s">
        <v>442</v>
      </c>
      <c r="C51" s="575" t="s">
        <v>454</v>
      </c>
      <c r="D51" s="613" t="s">
        <v>455</v>
      </c>
      <c r="E51" s="575" t="s">
        <v>681</v>
      </c>
      <c r="F51" s="613" t="s">
        <v>682</v>
      </c>
      <c r="G51" s="575" t="s">
        <v>737</v>
      </c>
      <c r="H51" s="575" t="s">
        <v>738</v>
      </c>
      <c r="I51" s="592">
        <v>289.66205277505003</v>
      </c>
      <c r="J51" s="592">
        <v>8</v>
      </c>
      <c r="K51" s="593">
        <v>2317.2964222004002</v>
      </c>
    </row>
    <row r="52" spans="1:11" ht="14.4" customHeight="1" x14ac:dyDescent="0.3">
      <c r="A52" s="571" t="s">
        <v>441</v>
      </c>
      <c r="B52" s="572" t="s">
        <v>442</v>
      </c>
      <c r="C52" s="575" t="s">
        <v>454</v>
      </c>
      <c r="D52" s="613" t="s">
        <v>455</v>
      </c>
      <c r="E52" s="575" t="s">
        <v>681</v>
      </c>
      <c r="F52" s="613" t="s">
        <v>682</v>
      </c>
      <c r="G52" s="575" t="s">
        <v>739</v>
      </c>
      <c r="H52" s="575" t="s">
        <v>740</v>
      </c>
      <c r="I52" s="592">
        <v>482.58279418945312</v>
      </c>
      <c r="J52" s="592">
        <v>29</v>
      </c>
      <c r="K52" s="593">
        <v>13994.900390625</v>
      </c>
    </row>
    <row r="53" spans="1:11" ht="14.4" customHeight="1" x14ac:dyDescent="0.3">
      <c r="A53" s="571" t="s">
        <v>441</v>
      </c>
      <c r="B53" s="572" t="s">
        <v>442</v>
      </c>
      <c r="C53" s="575" t="s">
        <v>454</v>
      </c>
      <c r="D53" s="613" t="s">
        <v>455</v>
      </c>
      <c r="E53" s="575" t="s">
        <v>681</v>
      </c>
      <c r="F53" s="613" t="s">
        <v>682</v>
      </c>
      <c r="G53" s="575" t="s">
        <v>741</v>
      </c>
      <c r="H53" s="575" t="s">
        <v>742</v>
      </c>
      <c r="I53" s="592">
        <v>23532</v>
      </c>
      <c r="J53" s="592">
        <v>1</v>
      </c>
      <c r="K53" s="593">
        <v>23532</v>
      </c>
    </row>
    <row r="54" spans="1:11" ht="14.4" customHeight="1" x14ac:dyDescent="0.3">
      <c r="A54" s="571" t="s">
        <v>441</v>
      </c>
      <c r="B54" s="572" t="s">
        <v>442</v>
      </c>
      <c r="C54" s="575" t="s">
        <v>454</v>
      </c>
      <c r="D54" s="613" t="s">
        <v>455</v>
      </c>
      <c r="E54" s="575" t="s">
        <v>681</v>
      </c>
      <c r="F54" s="613" t="s">
        <v>682</v>
      </c>
      <c r="G54" s="575" t="s">
        <v>743</v>
      </c>
      <c r="H54" s="575" t="s">
        <v>744</v>
      </c>
      <c r="I54" s="592">
        <v>756.00718716566996</v>
      </c>
      <c r="J54" s="592">
        <v>2</v>
      </c>
      <c r="K54" s="593">
        <v>1512.0143743313399</v>
      </c>
    </row>
    <row r="55" spans="1:11" ht="14.4" customHeight="1" x14ac:dyDescent="0.3">
      <c r="A55" s="571" t="s">
        <v>441</v>
      </c>
      <c r="B55" s="572" t="s">
        <v>442</v>
      </c>
      <c r="C55" s="575" t="s">
        <v>454</v>
      </c>
      <c r="D55" s="613" t="s">
        <v>455</v>
      </c>
      <c r="E55" s="575" t="s">
        <v>681</v>
      </c>
      <c r="F55" s="613" t="s">
        <v>682</v>
      </c>
      <c r="G55" s="575" t="s">
        <v>745</v>
      </c>
      <c r="H55" s="575" t="s">
        <v>746</v>
      </c>
      <c r="I55" s="592">
        <v>303.66181528469258</v>
      </c>
      <c r="J55" s="592">
        <v>5</v>
      </c>
      <c r="K55" s="593">
        <v>1518.3090764234628</v>
      </c>
    </row>
    <row r="56" spans="1:11" ht="14.4" customHeight="1" x14ac:dyDescent="0.3">
      <c r="A56" s="571" t="s">
        <v>441</v>
      </c>
      <c r="B56" s="572" t="s">
        <v>442</v>
      </c>
      <c r="C56" s="575" t="s">
        <v>454</v>
      </c>
      <c r="D56" s="613" t="s">
        <v>455</v>
      </c>
      <c r="E56" s="575" t="s">
        <v>681</v>
      </c>
      <c r="F56" s="613" t="s">
        <v>682</v>
      </c>
      <c r="G56" s="575" t="s">
        <v>747</v>
      </c>
      <c r="H56" s="575" t="s">
        <v>748</v>
      </c>
      <c r="I56" s="592">
        <v>202.39999389648437</v>
      </c>
      <c r="J56" s="592">
        <v>5</v>
      </c>
      <c r="K56" s="593">
        <v>1012</v>
      </c>
    </row>
    <row r="57" spans="1:11" ht="14.4" customHeight="1" x14ac:dyDescent="0.3">
      <c r="A57" s="571" t="s">
        <v>441</v>
      </c>
      <c r="B57" s="572" t="s">
        <v>442</v>
      </c>
      <c r="C57" s="575" t="s">
        <v>454</v>
      </c>
      <c r="D57" s="613" t="s">
        <v>455</v>
      </c>
      <c r="E57" s="575" t="s">
        <v>681</v>
      </c>
      <c r="F57" s="613" t="s">
        <v>682</v>
      </c>
      <c r="G57" s="575" t="s">
        <v>749</v>
      </c>
      <c r="H57" s="575" t="s">
        <v>750</v>
      </c>
      <c r="I57" s="592">
        <v>0.11999999731779099</v>
      </c>
      <c r="J57" s="592">
        <v>1</v>
      </c>
      <c r="K57" s="593">
        <v>0.11999999731779099</v>
      </c>
    </row>
    <row r="58" spans="1:11" ht="14.4" customHeight="1" x14ac:dyDescent="0.3">
      <c r="A58" s="571" t="s">
        <v>441</v>
      </c>
      <c r="B58" s="572" t="s">
        <v>442</v>
      </c>
      <c r="C58" s="575" t="s">
        <v>454</v>
      </c>
      <c r="D58" s="613" t="s">
        <v>455</v>
      </c>
      <c r="E58" s="575" t="s">
        <v>681</v>
      </c>
      <c r="F58" s="613" t="s">
        <v>682</v>
      </c>
      <c r="G58" s="575" t="s">
        <v>751</v>
      </c>
      <c r="H58" s="575" t="s">
        <v>752</v>
      </c>
      <c r="I58" s="592">
        <v>41685.494140625</v>
      </c>
      <c r="J58" s="592">
        <v>2</v>
      </c>
      <c r="K58" s="593">
        <v>83370.98828125</v>
      </c>
    </row>
    <row r="59" spans="1:11" ht="14.4" customHeight="1" x14ac:dyDescent="0.3">
      <c r="A59" s="571" t="s">
        <v>441</v>
      </c>
      <c r="B59" s="572" t="s">
        <v>442</v>
      </c>
      <c r="C59" s="575" t="s">
        <v>454</v>
      </c>
      <c r="D59" s="613" t="s">
        <v>455</v>
      </c>
      <c r="E59" s="575" t="s">
        <v>681</v>
      </c>
      <c r="F59" s="613" t="s">
        <v>682</v>
      </c>
      <c r="G59" s="575" t="s">
        <v>753</v>
      </c>
      <c r="H59" s="575" t="s">
        <v>754</v>
      </c>
      <c r="I59" s="592">
        <v>14542.1103515625</v>
      </c>
      <c r="J59" s="592">
        <v>1</v>
      </c>
      <c r="K59" s="593">
        <v>14542.1103515625</v>
      </c>
    </row>
    <row r="60" spans="1:11" ht="14.4" customHeight="1" x14ac:dyDescent="0.3">
      <c r="A60" s="571" t="s">
        <v>441</v>
      </c>
      <c r="B60" s="572" t="s">
        <v>442</v>
      </c>
      <c r="C60" s="575" t="s">
        <v>454</v>
      </c>
      <c r="D60" s="613" t="s">
        <v>455</v>
      </c>
      <c r="E60" s="575" t="s">
        <v>681</v>
      </c>
      <c r="F60" s="613" t="s">
        <v>682</v>
      </c>
      <c r="G60" s="575" t="s">
        <v>755</v>
      </c>
      <c r="H60" s="575" t="s">
        <v>756</v>
      </c>
      <c r="I60" s="592">
        <v>7325.5498046875</v>
      </c>
      <c r="J60" s="592">
        <v>1</v>
      </c>
      <c r="K60" s="593">
        <v>7325.5498046875</v>
      </c>
    </row>
    <row r="61" spans="1:11" ht="14.4" customHeight="1" x14ac:dyDescent="0.3">
      <c r="A61" s="571" t="s">
        <v>441</v>
      </c>
      <c r="B61" s="572" t="s">
        <v>442</v>
      </c>
      <c r="C61" s="575" t="s">
        <v>454</v>
      </c>
      <c r="D61" s="613" t="s">
        <v>455</v>
      </c>
      <c r="E61" s="575" t="s">
        <v>681</v>
      </c>
      <c r="F61" s="613" t="s">
        <v>682</v>
      </c>
      <c r="G61" s="575" t="s">
        <v>757</v>
      </c>
      <c r="H61" s="575" t="s">
        <v>758</v>
      </c>
      <c r="I61" s="592">
        <v>29279.220703125</v>
      </c>
      <c r="J61" s="592">
        <v>1</v>
      </c>
      <c r="K61" s="593">
        <v>29279.220703125</v>
      </c>
    </row>
    <row r="62" spans="1:11" ht="14.4" customHeight="1" x14ac:dyDescent="0.3">
      <c r="A62" s="571" t="s">
        <v>441</v>
      </c>
      <c r="B62" s="572" t="s">
        <v>442</v>
      </c>
      <c r="C62" s="575" t="s">
        <v>454</v>
      </c>
      <c r="D62" s="613" t="s">
        <v>455</v>
      </c>
      <c r="E62" s="575" t="s">
        <v>681</v>
      </c>
      <c r="F62" s="613" t="s">
        <v>682</v>
      </c>
      <c r="G62" s="575" t="s">
        <v>759</v>
      </c>
      <c r="H62" s="575" t="s">
        <v>760</v>
      </c>
      <c r="I62" s="592">
        <v>7271.0498046875</v>
      </c>
      <c r="J62" s="592">
        <v>1</v>
      </c>
      <c r="K62" s="593">
        <v>7271.0498046875</v>
      </c>
    </row>
    <row r="63" spans="1:11" ht="14.4" customHeight="1" x14ac:dyDescent="0.3">
      <c r="A63" s="571" t="s">
        <v>441</v>
      </c>
      <c r="B63" s="572" t="s">
        <v>442</v>
      </c>
      <c r="C63" s="575" t="s">
        <v>454</v>
      </c>
      <c r="D63" s="613" t="s">
        <v>455</v>
      </c>
      <c r="E63" s="575" t="s">
        <v>681</v>
      </c>
      <c r="F63" s="613" t="s">
        <v>682</v>
      </c>
      <c r="G63" s="575" t="s">
        <v>761</v>
      </c>
      <c r="H63" s="575" t="s">
        <v>762</v>
      </c>
      <c r="I63" s="592">
        <v>7271.0498046875</v>
      </c>
      <c r="J63" s="592">
        <v>1</v>
      </c>
      <c r="K63" s="593">
        <v>7271.0498046875</v>
      </c>
    </row>
    <row r="64" spans="1:11" ht="14.4" customHeight="1" x14ac:dyDescent="0.3">
      <c r="A64" s="571" t="s">
        <v>441</v>
      </c>
      <c r="B64" s="572" t="s">
        <v>442</v>
      </c>
      <c r="C64" s="575" t="s">
        <v>454</v>
      </c>
      <c r="D64" s="613" t="s">
        <v>455</v>
      </c>
      <c r="E64" s="575" t="s">
        <v>681</v>
      </c>
      <c r="F64" s="613" t="s">
        <v>682</v>
      </c>
      <c r="G64" s="575" t="s">
        <v>763</v>
      </c>
      <c r="H64" s="575" t="s">
        <v>764</v>
      </c>
      <c r="I64" s="592">
        <v>13821.009765625</v>
      </c>
      <c r="J64" s="592">
        <v>1</v>
      </c>
      <c r="K64" s="593">
        <v>13821.009765625</v>
      </c>
    </row>
    <row r="65" spans="1:11" ht="14.4" customHeight="1" x14ac:dyDescent="0.3">
      <c r="A65" s="571" t="s">
        <v>441</v>
      </c>
      <c r="B65" s="572" t="s">
        <v>442</v>
      </c>
      <c r="C65" s="575" t="s">
        <v>454</v>
      </c>
      <c r="D65" s="613" t="s">
        <v>455</v>
      </c>
      <c r="E65" s="575" t="s">
        <v>681</v>
      </c>
      <c r="F65" s="613" t="s">
        <v>682</v>
      </c>
      <c r="G65" s="575" t="s">
        <v>765</v>
      </c>
      <c r="H65" s="575" t="s">
        <v>766</v>
      </c>
      <c r="I65" s="592">
        <v>7243.81005859375</v>
      </c>
      <c r="J65" s="592">
        <v>1</v>
      </c>
      <c r="K65" s="593">
        <v>7243.81005859375</v>
      </c>
    </row>
    <row r="66" spans="1:11" ht="14.4" customHeight="1" x14ac:dyDescent="0.3">
      <c r="A66" s="571" t="s">
        <v>441</v>
      </c>
      <c r="B66" s="572" t="s">
        <v>442</v>
      </c>
      <c r="C66" s="575" t="s">
        <v>454</v>
      </c>
      <c r="D66" s="613" t="s">
        <v>455</v>
      </c>
      <c r="E66" s="575" t="s">
        <v>681</v>
      </c>
      <c r="F66" s="613" t="s">
        <v>682</v>
      </c>
      <c r="G66" s="575" t="s">
        <v>767</v>
      </c>
      <c r="H66" s="575" t="s">
        <v>768</v>
      </c>
      <c r="I66" s="592">
        <v>7271.0498046875</v>
      </c>
      <c r="J66" s="592">
        <v>1</v>
      </c>
      <c r="K66" s="593">
        <v>7271.0498046875</v>
      </c>
    </row>
    <row r="67" spans="1:11" ht="14.4" customHeight="1" x14ac:dyDescent="0.3">
      <c r="A67" s="571" t="s">
        <v>441</v>
      </c>
      <c r="B67" s="572" t="s">
        <v>442</v>
      </c>
      <c r="C67" s="575" t="s">
        <v>454</v>
      </c>
      <c r="D67" s="613" t="s">
        <v>455</v>
      </c>
      <c r="E67" s="575" t="s">
        <v>681</v>
      </c>
      <c r="F67" s="613" t="s">
        <v>682</v>
      </c>
      <c r="G67" s="575" t="s">
        <v>769</v>
      </c>
      <c r="H67" s="575" t="s">
        <v>770</v>
      </c>
      <c r="I67" s="592">
        <v>7271.0498046875</v>
      </c>
      <c r="J67" s="592">
        <v>1</v>
      </c>
      <c r="K67" s="593">
        <v>7271.0498046875</v>
      </c>
    </row>
    <row r="68" spans="1:11" ht="14.4" customHeight="1" x14ac:dyDescent="0.3">
      <c r="A68" s="571" t="s">
        <v>441</v>
      </c>
      <c r="B68" s="572" t="s">
        <v>442</v>
      </c>
      <c r="C68" s="575" t="s">
        <v>454</v>
      </c>
      <c r="D68" s="613" t="s">
        <v>455</v>
      </c>
      <c r="E68" s="575" t="s">
        <v>681</v>
      </c>
      <c r="F68" s="613" t="s">
        <v>682</v>
      </c>
      <c r="G68" s="575" t="s">
        <v>771</v>
      </c>
      <c r="H68" s="575" t="s">
        <v>772</v>
      </c>
      <c r="I68" s="592">
        <v>29279.220703125</v>
      </c>
      <c r="J68" s="592">
        <v>1</v>
      </c>
      <c r="K68" s="593">
        <v>29279.220703125</v>
      </c>
    </row>
    <row r="69" spans="1:11" ht="14.4" customHeight="1" x14ac:dyDescent="0.3">
      <c r="A69" s="571" t="s">
        <v>441</v>
      </c>
      <c r="B69" s="572" t="s">
        <v>442</v>
      </c>
      <c r="C69" s="575" t="s">
        <v>454</v>
      </c>
      <c r="D69" s="613" t="s">
        <v>455</v>
      </c>
      <c r="E69" s="575" t="s">
        <v>681</v>
      </c>
      <c r="F69" s="613" t="s">
        <v>682</v>
      </c>
      <c r="G69" s="575" t="s">
        <v>773</v>
      </c>
      <c r="H69" s="575" t="s">
        <v>774</v>
      </c>
      <c r="I69" s="592">
        <v>7271.0498046875</v>
      </c>
      <c r="J69" s="592">
        <v>1</v>
      </c>
      <c r="K69" s="593">
        <v>7271.0498046875</v>
      </c>
    </row>
    <row r="70" spans="1:11" ht="14.4" customHeight="1" x14ac:dyDescent="0.3">
      <c r="A70" s="571" t="s">
        <v>441</v>
      </c>
      <c r="B70" s="572" t="s">
        <v>442</v>
      </c>
      <c r="C70" s="575" t="s">
        <v>454</v>
      </c>
      <c r="D70" s="613" t="s">
        <v>455</v>
      </c>
      <c r="E70" s="575" t="s">
        <v>681</v>
      </c>
      <c r="F70" s="613" t="s">
        <v>682</v>
      </c>
      <c r="G70" s="575" t="s">
        <v>775</v>
      </c>
      <c r="H70" s="575" t="s">
        <v>776</v>
      </c>
      <c r="I70" s="592">
        <v>7271.0498046875</v>
      </c>
      <c r="J70" s="592">
        <v>1</v>
      </c>
      <c r="K70" s="593">
        <v>7271.0498046875</v>
      </c>
    </row>
    <row r="71" spans="1:11" ht="14.4" customHeight="1" x14ac:dyDescent="0.3">
      <c r="A71" s="571" t="s">
        <v>441</v>
      </c>
      <c r="B71" s="572" t="s">
        <v>442</v>
      </c>
      <c r="C71" s="575" t="s">
        <v>454</v>
      </c>
      <c r="D71" s="613" t="s">
        <v>455</v>
      </c>
      <c r="E71" s="575" t="s">
        <v>681</v>
      </c>
      <c r="F71" s="613" t="s">
        <v>682</v>
      </c>
      <c r="G71" s="575" t="s">
        <v>777</v>
      </c>
      <c r="H71" s="575" t="s">
        <v>778</v>
      </c>
      <c r="I71" s="592">
        <v>7274.675048828125</v>
      </c>
      <c r="J71" s="592">
        <v>3</v>
      </c>
      <c r="K71" s="593">
        <v>21836.17041015625</v>
      </c>
    </row>
    <row r="72" spans="1:11" ht="14.4" customHeight="1" x14ac:dyDescent="0.3">
      <c r="A72" s="571" t="s">
        <v>441</v>
      </c>
      <c r="B72" s="572" t="s">
        <v>442</v>
      </c>
      <c r="C72" s="575" t="s">
        <v>454</v>
      </c>
      <c r="D72" s="613" t="s">
        <v>455</v>
      </c>
      <c r="E72" s="575" t="s">
        <v>681</v>
      </c>
      <c r="F72" s="613" t="s">
        <v>682</v>
      </c>
      <c r="G72" s="575" t="s">
        <v>779</v>
      </c>
      <c r="H72" s="575" t="s">
        <v>780</v>
      </c>
      <c r="I72" s="592">
        <v>14546.43505859375</v>
      </c>
      <c r="J72" s="592">
        <v>2</v>
      </c>
      <c r="K72" s="593">
        <v>29092.8701171875</v>
      </c>
    </row>
    <row r="73" spans="1:11" ht="14.4" customHeight="1" x14ac:dyDescent="0.3">
      <c r="A73" s="571" t="s">
        <v>441</v>
      </c>
      <c r="B73" s="572" t="s">
        <v>442</v>
      </c>
      <c r="C73" s="575" t="s">
        <v>454</v>
      </c>
      <c r="D73" s="613" t="s">
        <v>455</v>
      </c>
      <c r="E73" s="575" t="s">
        <v>681</v>
      </c>
      <c r="F73" s="613" t="s">
        <v>682</v>
      </c>
      <c r="G73" s="575" t="s">
        <v>781</v>
      </c>
      <c r="H73" s="575" t="s">
        <v>782</v>
      </c>
      <c r="I73" s="592">
        <v>14542.099609375</v>
      </c>
      <c r="J73" s="592">
        <v>1</v>
      </c>
      <c r="K73" s="593">
        <v>14542.099609375</v>
      </c>
    </row>
    <row r="74" spans="1:11" ht="14.4" customHeight="1" x14ac:dyDescent="0.3">
      <c r="A74" s="571" t="s">
        <v>441</v>
      </c>
      <c r="B74" s="572" t="s">
        <v>442</v>
      </c>
      <c r="C74" s="575" t="s">
        <v>454</v>
      </c>
      <c r="D74" s="613" t="s">
        <v>455</v>
      </c>
      <c r="E74" s="575" t="s">
        <v>681</v>
      </c>
      <c r="F74" s="613" t="s">
        <v>682</v>
      </c>
      <c r="G74" s="575" t="s">
        <v>783</v>
      </c>
      <c r="H74" s="575" t="s">
        <v>784</v>
      </c>
      <c r="I74" s="592">
        <v>7285.39990234375</v>
      </c>
      <c r="J74" s="592">
        <v>1</v>
      </c>
      <c r="K74" s="593">
        <v>7285.39990234375</v>
      </c>
    </row>
    <row r="75" spans="1:11" ht="14.4" customHeight="1" x14ac:dyDescent="0.3">
      <c r="A75" s="571" t="s">
        <v>441</v>
      </c>
      <c r="B75" s="572" t="s">
        <v>442</v>
      </c>
      <c r="C75" s="575" t="s">
        <v>454</v>
      </c>
      <c r="D75" s="613" t="s">
        <v>455</v>
      </c>
      <c r="E75" s="575" t="s">
        <v>681</v>
      </c>
      <c r="F75" s="613" t="s">
        <v>682</v>
      </c>
      <c r="G75" s="575" t="s">
        <v>785</v>
      </c>
      <c r="H75" s="575" t="s">
        <v>786</v>
      </c>
      <c r="I75" s="592">
        <v>7285.39501953125</v>
      </c>
      <c r="J75" s="592">
        <v>2</v>
      </c>
      <c r="K75" s="593">
        <v>14570.7900390625</v>
      </c>
    </row>
    <row r="76" spans="1:11" ht="14.4" customHeight="1" x14ac:dyDescent="0.3">
      <c r="A76" s="571" t="s">
        <v>441</v>
      </c>
      <c r="B76" s="572" t="s">
        <v>442</v>
      </c>
      <c r="C76" s="575" t="s">
        <v>454</v>
      </c>
      <c r="D76" s="613" t="s">
        <v>455</v>
      </c>
      <c r="E76" s="575" t="s">
        <v>681</v>
      </c>
      <c r="F76" s="613" t="s">
        <v>682</v>
      </c>
      <c r="G76" s="575" t="s">
        <v>787</v>
      </c>
      <c r="H76" s="575" t="s">
        <v>788</v>
      </c>
      <c r="I76" s="592">
        <v>0.11999999731779099</v>
      </c>
      <c r="J76" s="592">
        <v>2</v>
      </c>
      <c r="K76" s="593">
        <v>0.23000000417232513</v>
      </c>
    </row>
    <row r="77" spans="1:11" ht="14.4" customHeight="1" x14ac:dyDescent="0.3">
      <c r="A77" s="571" t="s">
        <v>441</v>
      </c>
      <c r="B77" s="572" t="s">
        <v>442</v>
      </c>
      <c r="C77" s="575" t="s">
        <v>454</v>
      </c>
      <c r="D77" s="613" t="s">
        <v>455</v>
      </c>
      <c r="E77" s="575" t="s">
        <v>681</v>
      </c>
      <c r="F77" s="613" t="s">
        <v>682</v>
      </c>
      <c r="G77" s="575" t="s">
        <v>789</v>
      </c>
      <c r="H77" s="575" t="s">
        <v>790</v>
      </c>
      <c r="I77" s="592">
        <v>7271.0400390625</v>
      </c>
      <c r="J77" s="592">
        <v>1</v>
      </c>
      <c r="K77" s="593">
        <v>7271.0400390625</v>
      </c>
    </row>
    <row r="78" spans="1:11" ht="14.4" customHeight="1" x14ac:dyDescent="0.3">
      <c r="A78" s="571" t="s">
        <v>441</v>
      </c>
      <c r="B78" s="572" t="s">
        <v>442</v>
      </c>
      <c r="C78" s="575" t="s">
        <v>454</v>
      </c>
      <c r="D78" s="613" t="s">
        <v>455</v>
      </c>
      <c r="E78" s="575" t="s">
        <v>681</v>
      </c>
      <c r="F78" s="613" t="s">
        <v>682</v>
      </c>
      <c r="G78" s="575" t="s">
        <v>791</v>
      </c>
      <c r="H78" s="575" t="s">
        <v>792</v>
      </c>
      <c r="I78" s="592">
        <v>216.99960396371085</v>
      </c>
      <c r="J78" s="592">
        <v>28</v>
      </c>
      <c r="K78" s="593">
        <v>6074.3056667167875</v>
      </c>
    </row>
    <row r="79" spans="1:11" ht="14.4" customHeight="1" x14ac:dyDescent="0.3">
      <c r="A79" s="571" t="s">
        <v>441</v>
      </c>
      <c r="B79" s="572" t="s">
        <v>442</v>
      </c>
      <c r="C79" s="575" t="s">
        <v>454</v>
      </c>
      <c r="D79" s="613" t="s">
        <v>455</v>
      </c>
      <c r="E79" s="575" t="s">
        <v>681</v>
      </c>
      <c r="F79" s="613" t="s">
        <v>682</v>
      </c>
      <c r="G79" s="575" t="s">
        <v>793</v>
      </c>
      <c r="H79" s="575" t="s">
        <v>794</v>
      </c>
      <c r="I79" s="592">
        <v>188.10985373352182</v>
      </c>
      <c r="J79" s="592">
        <v>1</v>
      </c>
      <c r="K79" s="593">
        <v>188.10985373352182</v>
      </c>
    </row>
    <row r="80" spans="1:11" ht="14.4" customHeight="1" x14ac:dyDescent="0.3">
      <c r="A80" s="571" t="s">
        <v>441</v>
      </c>
      <c r="B80" s="572" t="s">
        <v>442</v>
      </c>
      <c r="C80" s="575" t="s">
        <v>454</v>
      </c>
      <c r="D80" s="613" t="s">
        <v>455</v>
      </c>
      <c r="E80" s="575" t="s">
        <v>681</v>
      </c>
      <c r="F80" s="613" t="s">
        <v>682</v>
      </c>
      <c r="G80" s="575" t="s">
        <v>795</v>
      </c>
      <c r="H80" s="575" t="s">
        <v>796</v>
      </c>
      <c r="I80" s="592">
        <v>5947.85009765625</v>
      </c>
      <c r="J80" s="592">
        <v>1</v>
      </c>
      <c r="K80" s="593">
        <v>5947.85009765625</v>
      </c>
    </row>
    <row r="81" spans="1:11" ht="14.4" customHeight="1" x14ac:dyDescent="0.3">
      <c r="A81" s="571" t="s">
        <v>441</v>
      </c>
      <c r="B81" s="572" t="s">
        <v>442</v>
      </c>
      <c r="C81" s="575" t="s">
        <v>454</v>
      </c>
      <c r="D81" s="613" t="s">
        <v>455</v>
      </c>
      <c r="E81" s="575" t="s">
        <v>681</v>
      </c>
      <c r="F81" s="613" t="s">
        <v>682</v>
      </c>
      <c r="G81" s="575" t="s">
        <v>797</v>
      </c>
      <c r="H81" s="575" t="s">
        <v>798</v>
      </c>
      <c r="I81" s="592">
        <v>207.01371330200652</v>
      </c>
      <c r="J81" s="592">
        <v>1</v>
      </c>
      <c r="K81" s="593">
        <v>207.01371330200652</v>
      </c>
    </row>
    <row r="82" spans="1:11" ht="14.4" customHeight="1" x14ac:dyDescent="0.3">
      <c r="A82" s="571" t="s">
        <v>441</v>
      </c>
      <c r="B82" s="572" t="s">
        <v>442</v>
      </c>
      <c r="C82" s="575" t="s">
        <v>454</v>
      </c>
      <c r="D82" s="613" t="s">
        <v>455</v>
      </c>
      <c r="E82" s="575" t="s">
        <v>681</v>
      </c>
      <c r="F82" s="613" t="s">
        <v>682</v>
      </c>
      <c r="G82" s="575" t="s">
        <v>799</v>
      </c>
      <c r="H82" s="575" t="s">
        <v>800</v>
      </c>
      <c r="I82" s="592">
        <v>4821.56982421875</v>
      </c>
      <c r="J82" s="592">
        <v>1</v>
      </c>
      <c r="K82" s="593">
        <v>4821.56982421875</v>
      </c>
    </row>
    <row r="83" spans="1:11" ht="14.4" customHeight="1" x14ac:dyDescent="0.3">
      <c r="A83" s="571" t="s">
        <v>441</v>
      </c>
      <c r="B83" s="572" t="s">
        <v>442</v>
      </c>
      <c r="C83" s="575" t="s">
        <v>454</v>
      </c>
      <c r="D83" s="613" t="s">
        <v>455</v>
      </c>
      <c r="E83" s="575" t="s">
        <v>681</v>
      </c>
      <c r="F83" s="613" t="s">
        <v>682</v>
      </c>
      <c r="G83" s="575" t="s">
        <v>801</v>
      </c>
      <c r="H83" s="575" t="s">
        <v>802</v>
      </c>
      <c r="I83" s="592">
        <v>797.3900146484375</v>
      </c>
      <c r="J83" s="592">
        <v>1</v>
      </c>
      <c r="K83" s="593">
        <v>797.3900146484375</v>
      </c>
    </row>
    <row r="84" spans="1:11" ht="14.4" customHeight="1" x14ac:dyDescent="0.3">
      <c r="A84" s="571" t="s">
        <v>441</v>
      </c>
      <c r="B84" s="572" t="s">
        <v>442</v>
      </c>
      <c r="C84" s="575" t="s">
        <v>454</v>
      </c>
      <c r="D84" s="613" t="s">
        <v>455</v>
      </c>
      <c r="E84" s="575" t="s">
        <v>803</v>
      </c>
      <c r="F84" s="613" t="s">
        <v>804</v>
      </c>
      <c r="G84" s="575" t="s">
        <v>805</v>
      </c>
      <c r="H84" s="575" t="s">
        <v>806</v>
      </c>
      <c r="I84" s="592">
        <v>2.0299999713897705</v>
      </c>
      <c r="J84" s="592">
        <v>1024</v>
      </c>
      <c r="K84" s="593">
        <v>2081.199951171875</v>
      </c>
    </row>
    <row r="85" spans="1:11" ht="14.4" customHeight="1" x14ac:dyDescent="0.3">
      <c r="A85" s="571" t="s">
        <v>441</v>
      </c>
      <c r="B85" s="572" t="s">
        <v>442</v>
      </c>
      <c r="C85" s="575" t="s">
        <v>454</v>
      </c>
      <c r="D85" s="613" t="s">
        <v>455</v>
      </c>
      <c r="E85" s="575" t="s">
        <v>803</v>
      </c>
      <c r="F85" s="613" t="s">
        <v>804</v>
      </c>
      <c r="G85" s="575" t="s">
        <v>807</v>
      </c>
      <c r="H85" s="575" t="s">
        <v>808</v>
      </c>
      <c r="I85" s="592">
        <v>0.76999998092651367</v>
      </c>
      <c r="J85" s="592">
        <v>500</v>
      </c>
      <c r="K85" s="593">
        <v>387.20001220703125</v>
      </c>
    </row>
    <row r="86" spans="1:11" ht="14.4" customHeight="1" x14ac:dyDescent="0.3">
      <c r="A86" s="571" t="s">
        <v>441</v>
      </c>
      <c r="B86" s="572" t="s">
        <v>442</v>
      </c>
      <c r="C86" s="575" t="s">
        <v>454</v>
      </c>
      <c r="D86" s="613" t="s">
        <v>455</v>
      </c>
      <c r="E86" s="575" t="s">
        <v>803</v>
      </c>
      <c r="F86" s="613" t="s">
        <v>804</v>
      </c>
      <c r="G86" s="575" t="s">
        <v>809</v>
      </c>
      <c r="H86" s="575" t="s">
        <v>810</v>
      </c>
      <c r="I86" s="592">
        <v>1.3820000410079956</v>
      </c>
      <c r="J86" s="592">
        <v>10000</v>
      </c>
      <c r="K86" s="593">
        <v>12960.310180664063</v>
      </c>
    </row>
    <row r="87" spans="1:11" ht="14.4" customHeight="1" x14ac:dyDescent="0.3">
      <c r="A87" s="571" t="s">
        <v>441</v>
      </c>
      <c r="B87" s="572" t="s">
        <v>442</v>
      </c>
      <c r="C87" s="575" t="s">
        <v>454</v>
      </c>
      <c r="D87" s="613" t="s">
        <v>455</v>
      </c>
      <c r="E87" s="575" t="s">
        <v>803</v>
      </c>
      <c r="F87" s="613" t="s">
        <v>804</v>
      </c>
      <c r="G87" s="575" t="s">
        <v>811</v>
      </c>
      <c r="H87" s="575" t="s">
        <v>812</v>
      </c>
      <c r="I87" s="592">
        <v>22.75</v>
      </c>
      <c r="J87" s="592">
        <v>10</v>
      </c>
      <c r="K87" s="593">
        <v>227.47999572753906</v>
      </c>
    </row>
    <row r="88" spans="1:11" ht="14.4" customHeight="1" x14ac:dyDescent="0.3">
      <c r="A88" s="571" t="s">
        <v>441</v>
      </c>
      <c r="B88" s="572" t="s">
        <v>442</v>
      </c>
      <c r="C88" s="575" t="s">
        <v>454</v>
      </c>
      <c r="D88" s="613" t="s">
        <v>455</v>
      </c>
      <c r="E88" s="575" t="s">
        <v>803</v>
      </c>
      <c r="F88" s="613" t="s">
        <v>804</v>
      </c>
      <c r="G88" s="575" t="s">
        <v>813</v>
      </c>
      <c r="H88" s="575" t="s">
        <v>814</v>
      </c>
      <c r="I88" s="592">
        <v>12.829999923706055</v>
      </c>
      <c r="J88" s="592">
        <v>200</v>
      </c>
      <c r="K88" s="593">
        <v>2565.199951171875</v>
      </c>
    </row>
    <row r="89" spans="1:11" ht="14.4" customHeight="1" x14ac:dyDescent="0.3">
      <c r="A89" s="571" t="s">
        <v>441</v>
      </c>
      <c r="B89" s="572" t="s">
        <v>442</v>
      </c>
      <c r="C89" s="575" t="s">
        <v>454</v>
      </c>
      <c r="D89" s="613" t="s">
        <v>455</v>
      </c>
      <c r="E89" s="575" t="s">
        <v>803</v>
      </c>
      <c r="F89" s="613" t="s">
        <v>804</v>
      </c>
      <c r="G89" s="575" t="s">
        <v>815</v>
      </c>
      <c r="H89" s="575" t="s">
        <v>816</v>
      </c>
      <c r="I89" s="592">
        <v>1.4966666698455811</v>
      </c>
      <c r="J89" s="592">
        <v>2100</v>
      </c>
      <c r="K89" s="593">
        <v>3143.219970703125</v>
      </c>
    </row>
    <row r="90" spans="1:11" ht="14.4" customHeight="1" x14ac:dyDescent="0.3">
      <c r="A90" s="571" t="s">
        <v>441</v>
      </c>
      <c r="B90" s="572" t="s">
        <v>442</v>
      </c>
      <c r="C90" s="575" t="s">
        <v>454</v>
      </c>
      <c r="D90" s="613" t="s">
        <v>455</v>
      </c>
      <c r="E90" s="575" t="s">
        <v>803</v>
      </c>
      <c r="F90" s="613" t="s">
        <v>804</v>
      </c>
      <c r="G90" s="575" t="s">
        <v>817</v>
      </c>
      <c r="H90" s="575" t="s">
        <v>818</v>
      </c>
      <c r="I90" s="592">
        <v>1.5399999618530273</v>
      </c>
      <c r="J90" s="592">
        <v>2304</v>
      </c>
      <c r="K90" s="593">
        <v>3557.400146484375</v>
      </c>
    </row>
    <row r="91" spans="1:11" ht="14.4" customHeight="1" x14ac:dyDescent="0.3">
      <c r="A91" s="571" t="s">
        <v>441</v>
      </c>
      <c r="B91" s="572" t="s">
        <v>442</v>
      </c>
      <c r="C91" s="575" t="s">
        <v>454</v>
      </c>
      <c r="D91" s="613" t="s">
        <v>455</v>
      </c>
      <c r="E91" s="575" t="s">
        <v>803</v>
      </c>
      <c r="F91" s="613" t="s">
        <v>804</v>
      </c>
      <c r="G91" s="575" t="s">
        <v>819</v>
      </c>
      <c r="H91" s="575" t="s">
        <v>820</v>
      </c>
      <c r="I91" s="592">
        <v>2.0999999046325684</v>
      </c>
      <c r="J91" s="592">
        <v>5760</v>
      </c>
      <c r="K91" s="593">
        <v>12124.19970703125</v>
      </c>
    </row>
    <row r="92" spans="1:11" ht="14.4" customHeight="1" x14ac:dyDescent="0.3">
      <c r="A92" s="571" t="s">
        <v>441</v>
      </c>
      <c r="B92" s="572" t="s">
        <v>442</v>
      </c>
      <c r="C92" s="575" t="s">
        <v>454</v>
      </c>
      <c r="D92" s="613" t="s">
        <v>455</v>
      </c>
      <c r="E92" s="575" t="s">
        <v>803</v>
      </c>
      <c r="F92" s="613" t="s">
        <v>804</v>
      </c>
      <c r="G92" s="575" t="s">
        <v>821</v>
      </c>
      <c r="H92" s="575" t="s">
        <v>822</v>
      </c>
      <c r="I92" s="592">
        <v>0.2800000011920929</v>
      </c>
      <c r="J92" s="592">
        <v>1000</v>
      </c>
      <c r="K92" s="593">
        <v>278.29998779296875</v>
      </c>
    </row>
    <row r="93" spans="1:11" ht="14.4" customHeight="1" x14ac:dyDescent="0.3">
      <c r="A93" s="571" t="s">
        <v>441</v>
      </c>
      <c r="B93" s="572" t="s">
        <v>442</v>
      </c>
      <c r="C93" s="575" t="s">
        <v>454</v>
      </c>
      <c r="D93" s="613" t="s">
        <v>455</v>
      </c>
      <c r="E93" s="575" t="s">
        <v>803</v>
      </c>
      <c r="F93" s="613" t="s">
        <v>804</v>
      </c>
      <c r="G93" s="575" t="s">
        <v>823</v>
      </c>
      <c r="H93" s="575" t="s">
        <v>824</v>
      </c>
      <c r="I93" s="592">
        <v>0.4699999988079071</v>
      </c>
      <c r="J93" s="592">
        <v>15000</v>
      </c>
      <c r="K93" s="593">
        <v>7079.4000244140625</v>
      </c>
    </row>
    <row r="94" spans="1:11" ht="14.4" customHeight="1" x14ac:dyDescent="0.3">
      <c r="A94" s="571" t="s">
        <v>441</v>
      </c>
      <c r="B94" s="572" t="s">
        <v>442</v>
      </c>
      <c r="C94" s="575" t="s">
        <v>454</v>
      </c>
      <c r="D94" s="613" t="s">
        <v>455</v>
      </c>
      <c r="E94" s="575" t="s">
        <v>803</v>
      </c>
      <c r="F94" s="613" t="s">
        <v>804</v>
      </c>
      <c r="G94" s="575" t="s">
        <v>825</v>
      </c>
      <c r="H94" s="575" t="s">
        <v>826</v>
      </c>
      <c r="I94" s="592">
        <v>16.870000839233398</v>
      </c>
      <c r="J94" s="592">
        <v>50</v>
      </c>
      <c r="K94" s="593">
        <v>843.3699951171875</v>
      </c>
    </row>
    <row r="95" spans="1:11" ht="14.4" customHeight="1" x14ac:dyDescent="0.3">
      <c r="A95" s="571" t="s">
        <v>441</v>
      </c>
      <c r="B95" s="572" t="s">
        <v>442</v>
      </c>
      <c r="C95" s="575" t="s">
        <v>454</v>
      </c>
      <c r="D95" s="613" t="s">
        <v>455</v>
      </c>
      <c r="E95" s="575" t="s">
        <v>803</v>
      </c>
      <c r="F95" s="613" t="s">
        <v>804</v>
      </c>
      <c r="G95" s="575" t="s">
        <v>827</v>
      </c>
      <c r="H95" s="575" t="s">
        <v>828</v>
      </c>
      <c r="I95" s="592">
        <v>2.6033333142598472</v>
      </c>
      <c r="J95" s="592">
        <v>1440</v>
      </c>
      <c r="K95" s="593">
        <v>3750.3900146484375</v>
      </c>
    </row>
    <row r="96" spans="1:11" ht="14.4" customHeight="1" x14ac:dyDescent="0.3">
      <c r="A96" s="571" t="s">
        <v>441</v>
      </c>
      <c r="B96" s="572" t="s">
        <v>442</v>
      </c>
      <c r="C96" s="575" t="s">
        <v>454</v>
      </c>
      <c r="D96" s="613" t="s">
        <v>455</v>
      </c>
      <c r="E96" s="575" t="s">
        <v>803</v>
      </c>
      <c r="F96" s="613" t="s">
        <v>804</v>
      </c>
      <c r="G96" s="575" t="s">
        <v>829</v>
      </c>
      <c r="H96" s="575" t="s">
        <v>830</v>
      </c>
      <c r="I96" s="592">
        <v>2.7599999904632568</v>
      </c>
      <c r="J96" s="592">
        <v>1920</v>
      </c>
      <c r="K96" s="593">
        <v>5303.669921875</v>
      </c>
    </row>
    <row r="97" spans="1:11" ht="14.4" customHeight="1" x14ac:dyDescent="0.3">
      <c r="A97" s="571" t="s">
        <v>441</v>
      </c>
      <c r="B97" s="572" t="s">
        <v>442</v>
      </c>
      <c r="C97" s="575" t="s">
        <v>454</v>
      </c>
      <c r="D97" s="613" t="s">
        <v>455</v>
      </c>
      <c r="E97" s="575" t="s">
        <v>803</v>
      </c>
      <c r="F97" s="613" t="s">
        <v>804</v>
      </c>
      <c r="G97" s="575" t="s">
        <v>831</v>
      </c>
      <c r="H97" s="575" t="s">
        <v>832</v>
      </c>
      <c r="I97" s="592">
        <v>2.3349999189376831</v>
      </c>
      <c r="J97" s="592">
        <v>1920</v>
      </c>
      <c r="K97" s="593">
        <v>4488.849853515625</v>
      </c>
    </row>
    <row r="98" spans="1:11" ht="14.4" customHeight="1" x14ac:dyDescent="0.3">
      <c r="A98" s="571" t="s">
        <v>441</v>
      </c>
      <c r="B98" s="572" t="s">
        <v>442</v>
      </c>
      <c r="C98" s="575" t="s">
        <v>454</v>
      </c>
      <c r="D98" s="613" t="s">
        <v>455</v>
      </c>
      <c r="E98" s="575" t="s">
        <v>803</v>
      </c>
      <c r="F98" s="613" t="s">
        <v>804</v>
      </c>
      <c r="G98" s="575" t="s">
        <v>833</v>
      </c>
      <c r="H98" s="575" t="s">
        <v>834</v>
      </c>
      <c r="I98" s="592">
        <v>0.12999999523162842</v>
      </c>
      <c r="J98" s="592">
        <v>5000</v>
      </c>
      <c r="K98" s="593">
        <v>650</v>
      </c>
    </row>
    <row r="99" spans="1:11" ht="14.4" customHeight="1" x14ac:dyDescent="0.3">
      <c r="A99" s="571" t="s">
        <v>441</v>
      </c>
      <c r="B99" s="572" t="s">
        <v>442</v>
      </c>
      <c r="C99" s="575" t="s">
        <v>454</v>
      </c>
      <c r="D99" s="613" t="s">
        <v>455</v>
      </c>
      <c r="E99" s="575" t="s">
        <v>803</v>
      </c>
      <c r="F99" s="613" t="s">
        <v>804</v>
      </c>
      <c r="G99" s="575" t="s">
        <v>835</v>
      </c>
      <c r="H99" s="575" t="s">
        <v>836</v>
      </c>
      <c r="I99" s="592">
        <v>4192.64990234375</v>
      </c>
      <c r="J99" s="592">
        <v>3</v>
      </c>
      <c r="K99" s="593">
        <v>12577.94970703125</v>
      </c>
    </row>
    <row r="100" spans="1:11" ht="14.4" customHeight="1" x14ac:dyDescent="0.3">
      <c r="A100" s="571" t="s">
        <v>441</v>
      </c>
      <c r="B100" s="572" t="s">
        <v>442</v>
      </c>
      <c r="C100" s="575" t="s">
        <v>454</v>
      </c>
      <c r="D100" s="613" t="s">
        <v>455</v>
      </c>
      <c r="E100" s="575" t="s">
        <v>635</v>
      </c>
      <c r="F100" s="613" t="s">
        <v>636</v>
      </c>
      <c r="G100" s="575" t="s">
        <v>637</v>
      </c>
      <c r="H100" s="575" t="s">
        <v>638</v>
      </c>
      <c r="I100" s="592">
        <v>0.63999998569488525</v>
      </c>
      <c r="J100" s="592">
        <v>500</v>
      </c>
      <c r="K100" s="593">
        <v>320</v>
      </c>
    </row>
    <row r="101" spans="1:11" ht="14.4" customHeight="1" x14ac:dyDescent="0.3">
      <c r="A101" s="571" t="s">
        <v>441</v>
      </c>
      <c r="B101" s="572" t="s">
        <v>442</v>
      </c>
      <c r="C101" s="575" t="s">
        <v>454</v>
      </c>
      <c r="D101" s="613" t="s">
        <v>455</v>
      </c>
      <c r="E101" s="575" t="s">
        <v>635</v>
      </c>
      <c r="F101" s="613" t="s">
        <v>636</v>
      </c>
      <c r="G101" s="575" t="s">
        <v>837</v>
      </c>
      <c r="H101" s="575" t="s">
        <v>838</v>
      </c>
      <c r="I101" s="592">
        <v>1.5</v>
      </c>
      <c r="J101" s="592">
        <v>100</v>
      </c>
      <c r="K101" s="593">
        <v>150</v>
      </c>
    </row>
    <row r="102" spans="1:11" ht="14.4" customHeight="1" x14ac:dyDescent="0.3">
      <c r="A102" s="571" t="s">
        <v>441</v>
      </c>
      <c r="B102" s="572" t="s">
        <v>442</v>
      </c>
      <c r="C102" s="575" t="s">
        <v>454</v>
      </c>
      <c r="D102" s="613" t="s">
        <v>455</v>
      </c>
      <c r="E102" s="575" t="s">
        <v>645</v>
      </c>
      <c r="F102" s="613" t="s">
        <v>646</v>
      </c>
      <c r="G102" s="575" t="s">
        <v>839</v>
      </c>
      <c r="H102" s="575" t="s">
        <v>840</v>
      </c>
      <c r="I102" s="592">
        <v>10.920000076293945</v>
      </c>
      <c r="J102" s="592">
        <v>400</v>
      </c>
      <c r="K102" s="593">
        <v>4368.10009765625</v>
      </c>
    </row>
    <row r="103" spans="1:11" ht="14.4" customHeight="1" x14ac:dyDescent="0.3">
      <c r="A103" s="571" t="s">
        <v>441</v>
      </c>
      <c r="B103" s="572" t="s">
        <v>442</v>
      </c>
      <c r="C103" s="575" t="s">
        <v>454</v>
      </c>
      <c r="D103" s="613" t="s">
        <v>455</v>
      </c>
      <c r="E103" s="575" t="s">
        <v>645</v>
      </c>
      <c r="F103" s="613" t="s">
        <v>646</v>
      </c>
      <c r="G103" s="575" t="s">
        <v>841</v>
      </c>
      <c r="H103" s="575" t="s">
        <v>842</v>
      </c>
      <c r="I103" s="592">
        <v>1.8300000429153442</v>
      </c>
      <c r="J103" s="592">
        <v>960</v>
      </c>
      <c r="K103" s="593">
        <v>1754.02001953125</v>
      </c>
    </row>
    <row r="104" spans="1:11" ht="14.4" customHeight="1" x14ac:dyDescent="0.3">
      <c r="A104" s="571" t="s">
        <v>441</v>
      </c>
      <c r="B104" s="572" t="s">
        <v>442</v>
      </c>
      <c r="C104" s="575" t="s">
        <v>454</v>
      </c>
      <c r="D104" s="613" t="s">
        <v>455</v>
      </c>
      <c r="E104" s="575" t="s">
        <v>645</v>
      </c>
      <c r="F104" s="613" t="s">
        <v>646</v>
      </c>
      <c r="G104" s="575" t="s">
        <v>843</v>
      </c>
      <c r="H104" s="575" t="s">
        <v>844</v>
      </c>
      <c r="I104" s="592">
        <v>303.95001220703125</v>
      </c>
      <c r="J104" s="592">
        <v>1</v>
      </c>
      <c r="K104" s="593">
        <v>303.95001220703125</v>
      </c>
    </row>
    <row r="105" spans="1:11" ht="14.4" customHeight="1" x14ac:dyDescent="0.3">
      <c r="A105" s="571" t="s">
        <v>441</v>
      </c>
      <c r="B105" s="572" t="s">
        <v>442</v>
      </c>
      <c r="C105" s="575" t="s">
        <v>454</v>
      </c>
      <c r="D105" s="613" t="s">
        <v>455</v>
      </c>
      <c r="E105" s="575" t="s">
        <v>645</v>
      </c>
      <c r="F105" s="613" t="s">
        <v>646</v>
      </c>
      <c r="G105" s="575" t="s">
        <v>653</v>
      </c>
      <c r="H105" s="575" t="s">
        <v>654</v>
      </c>
      <c r="I105" s="592">
        <v>13.310000419616699</v>
      </c>
      <c r="J105" s="592">
        <v>38</v>
      </c>
      <c r="K105" s="593">
        <v>505.78002166748047</v>
      </c>
    </row>
    <row r="106" spans="1:11" ht="14.4" customHeight="1" x14ac:dyDescent="0.3">
      <c r="A106" s="571" t="s">
        <v>441</v>
      </c>
      <c r="B106" s="572" t="s">
        <v>442</v>
      </c>
      <c r="C106" s="575" t="s">
        <v>454</v>
      </c>
      <c r="D106" s="613" t="s">
        <v>455</v>
      </c>
      <c r="E106" s="575" t="s">
        <v>645</v>
      </c>
      <c r="F106" s="613" t="s">
        <v>646</v>
      </c>
      <c r="G106" s="575" t="s">
        <v>845</v>
      </c>
      <c r="H106" s="575" t="s">
        <v>846</v>
      </c>
      <c r="I106" s="592">
        <v>25.530000686645508</v>
      </c>
      <c r="J106" s="592">
        <v>38</v>
      </c>
      <c r="K106" s="593">
        <v>970.1400146484375</v>
      </c>
    </row>
    <row r="107" spans="1:11" ht="14.4" customHeight="1" x14ac:dyDescent="0.3">
      <c r="A107" s="571" t="s">
        <v>441</v>
      </c>
      <c r="B107" s="572" t="s">
        <v>442</v>
      </c>
      <c r="C107" s="575" t="s">
        <v>454</v>
      </c>
      <c r="D107" s="613" t="s">
        <v>455</v>
      </c>
      <c r="E107" s="575" t="s">
        <v>645</v>
      </c>
      <c r="F107" s="613" t="s">
        <v>646</v>
      </c>
      <c r="G107" s="575" t="s">
        <v>847</v>
      </c>
      <c r="H107" s="575" t="s">
        <v>848</v>
      </c>
      <c r="I107" s="592">
        <v>3.869999885559082</v>
      </c>
      <c r="J107" s="592">
        <v>720</v>
      </c>
      <c r="K107" s="593">
        <v>2787.840087890625</v>
      </c>
    </row>
    <row r="108" spans="1:11" ht="14.4" customHeight="1" x14ac:dyDescent="0.3">
      <c r="A108" s="571" t="s">
        <v>441</v>
      </c>
      <c r="B108" s="572" t="s">
        <v>442</v>
      </c>
      <c r="C108" s="575" t="s">
        <v>454</v>
      </c>
      <c r="D108" s="613" t="s">
        <v>455</v>
      </c>
      <c r="E108" s="575" t="s">
        <v>645</v>
      </c>
      <c r="F108" s="613" t="s">
        <v>646</v>
      </c>
      <c r="G108" s="575" t="s">
        <v>849</v>
      </c>
      <c r="H108" s="575" t="s">
        <v>850</v>
      </c>
      <c r="I108" s="592">
        <v>335.17001342773437</v>
      </c>
      <c r="J108" s="592">
        <v>1</v>
      </c>
      <c r="K108" s="593">
        <v>335.17001342773437</v>
      </c>
    </row>
    <row r="109" spans="1:11" ht="14.4" customHeight="1" x14ac:dyDescent="0.3">
      <c r="A109" s="571" t="s">
        <v>441</v>
      </c>
      <c r="B109" s="572" t="s">
        <v>442</v>
      </c>
      <c r="C109" s="575" t="s">
        <v>454</v>
      </c>
      <c r="D109" s="613" t="s">
        <v>455</v>
      </c>
      <c r="E109" s="575" t="s">
        <v>645</v>
      </c>
      <c r="F109" s="613" t="s">
        <v>646</v>
      </c>
      <c r="G109" s="575" t="s">
        <v>851</v>
      </c>
      <c r="H109" s="575" t="s">
        <v>852</v>
      </c>
      <c r="I109" s="592">
        <v>0.47499999403953552</v>
      </c>
      <c r="J109" s="592">
        <v>500</v>
      </c>
      <c r="K109" s="593">
        <v>237</v>
      </c>
    </row>
    <row r="110" spans="1:11" ht="14.4" customHeight="1" x14ac:dyDescent="0.3">
      <c r="A110" s="571" t="s">
        <v>441</v>
      </c>
      <c r="B110" s="572" t="s">
        <v>442</v>
      </c>
      <c r="C110" s="575" t="s">
        <v>454</v>
      </c>
      <c r="D110" s="613" t="s">
        <v>455</v>
      </c>
      <c r="E110" s="575" t="s">
        <v>645</v>
      </c>
      <c r="F110" s="613" t="s">
        <v>646</v>
      </c>
      <c r="G110" s="575" t="s">
        <v>853</v>
      </c>
      <c r="H110" s="575" t="s">
        <v>854</v>
      </c>
      <c r="I110" s="592">
        <v>0.67000001668930054</v>
      </c>
      <c r="J110" s="592">
        <v>100</v>
      </c>
      <c r="K110" s="593">
        <v>67</v>
      </c>
    </row>
    <row r="111" spans="1:11" ht="14.4" customHeight="1" x14ac:dyDescent="0.3">
      <c r="A111" s="571" t="s">
        <v>441</v>
      </c>
      <c r="B111" s="572" t="s">
        <v>442</v>
      </c>
      <c r="C111" s="575" t="s">
        <v>454</v>
      </c>
      <c r="D111" s="613" t="s">
        <v>455</v>
      </c>
      <c r="E111" s="575" t="s">
        <v>645</v>
      </c>
      <c r="F111" s="613" t="s">
        <v>646</v>
      </c>
      <c r="G111" s="575" t="s">
        <v>855</v>
      </c>
      <c r="H111" s="575" t="s">
        <v>856</v>
      </c>
      <c r="I111" s="592">
        <v>2.0199999809265137</v>
      </c>
      <c r="J111" s="592">
        <v>200</v>
      </c>
      <c r="K111" s="593">
        <v>404.6199951171875</v>
      </c>
    </row>
    <row r="112" spans="1:11" ht="14.4" customHeight="1" x14ac:dyDescent="0.3">
      <c r="A112" s="571" t="s">
        <v>441</v>
      </c>
      <c r="B112" s="572" t="s">
        <v>442</v>
      </c>
      <c r="C112" s="575" t="s">
        <v>454</v>
      </c>
      <c r="D112" s="613" t="s">
        <v>455</v>
      </c>
      <c r="E112" s="575" t="s">
        <v>669</v>
      </c>
      <c r="F112" s="613" t="s">
        <v>670</v>
      </c>
      <c r="G112" s="575" t="s">
        <v>857</v>
      </c>
      <c r="H112" s="575" t="s">
        <v>858</v>
      </c>
      <c r="I112" s="592">
        <v>0.30000001192092896</v>
      </c>
      <c r="J112" s="592">
        <v>700</v>
      </c>
      <c r="K112" s="593">
        <v>210</v>
      </c>
    </row>
    <row r="113" spans="1:11" ht="14.4" customHeight="1" x14ac:dyDescent="0.3">
      <c r="A113" s="571" t="s">
        <v>441</v>
      </c>
      <c r="B113" s="572" t="s">
        <v>442</v>
      </c>
      <c r="C113" s="575" t="s">
        <v>454</v>
      </c>
      <c r="D113" s="613" t="s">
        <v>455</v>
      </c>
      <c r="E113" s="575" t="s">
        <v>673</v>
      </c>
      <c r="F113" s="613" t="s">
        <v>674</v>
      </c>
      <c r="G113" s="575" t="s">
        <v>677</v>
      </c>
      <c r="H113" s="575" t="s">
        <v>678</v>
      </c>
      <c r="I113" s="592">
        <v>0.62999999523162842</v>
      </c>
      <c r="J113" s="592">
        <v>1600</v>
      </c>
      <c r="K113" s="593">
        <v>1008</v>
      </c>
    </row>
    <row r="114" spans="1:11" ht="14.4" customHeight="1" x14ac:dyDescent="0.3">
      <c r="A114" s="571" t="s">
        <v>441</v>
      </c>
      <c r="B114" s="572" t="s">
        <v>442</v>
      </c>
      <c r="C114" s="575" t="s">
        <v>454</v>
      </c>
      <c r="D114" s="613" t="s">
        <v>455</v>
      </c>
      <c r="E114" s="575" t="s">
        <v>673</v>
      </c>
      <c r="F114" s="613" t="s">
        <v>674</v>
      </c>
      <c r="G114" s="575" t="s">
        <v>679</v>
      </c>
      <c r="H114" s="575" t="s">
        <v>680</v>
      </c>
      <c r="I114" s="592">
        <v>0.63333332538604736</v>
      </c>
      <c r="J114" s="592">
        <v>2400</v>
      </c>
      <c r="K114" s="593">
        <v>1520</v>
      </c>
    </row>
    <row r="115" spans="1:11" ht="14.4" customHeight="1" thickBot="1" x14ac:dyDescent="0.35">
      <c r="A115" s="579" t="s">
        <v>441</v>
      </c>
      <c r="B115" s="580" t="s">
        <v>442</v>
      </c>
      <c r="C115" s="583" t="s">
        <v>454</v>
      </c>
      <c r="D115" s="614" t="s">
        <v>455</v>
      </c>
      <c r="E115" s="583" t="s">
        <v>673</v>
      </c>
      <c r="F115" s="614" t="s">
        <v>674</v>
      </c>
      <c r="G115" s="583" t="s">
        <v>859</v>
      </c>
      <c r="H115" s="583" t="s">
        <v>860</v>
      </c>
      <c r="I115" s="594">
        <v>7.5</v>
      </c>
      <c r="J115" s="594">
        <v>180</v>
      </c>
      <c r="K115" s="595">
        <v>1350</v>
      </c>
    </row>
  </sheetData>
  <autoFilter ref="A4:K4"/>
  <mergeCells count="2">
    <mergeCell ref="A1:K1"/>
    <mergeCell ref="C3:G3"/>
  </mergeCells>
  <hyperlinks>
    <hyperlink ref="A2" location="Obsah!A1" display="Zpět na Obsah  KL 01  1.-4.měsíc"/>
  </hyperlinks>
  <pageMargins left="0.25" right="0.25" top="0.75" bottom="0.75" header="0.3" footer="0.3"/>
  <pageSetup paperSize="9" fitToHeight="0" orientation="landscape" r:id="rId1"/>
</worksheet>
</file>

<file path=xl/worksheets/sheet17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codeName="List13">
    <tabColor theme="3" tint="0.39997558519241921"/>
    <pageSetUpPr fitToPage="1"/>
  </sheetPr>
  <dimension ref="A1:S29"/>
  <sheetViews>
    <sheetView showGridLines="0" showRowColHeaders="0" workbookViewId="0">
      <pane xSplit="2" ySplit="6" topLeftCell="C7" activePane="bottomRight" state="frozen"/>
      <selection activeCell="C9" sqref="C9"/>
      <selection pane="topRight" activeCell="C9" sqref="C9"/>
      <selection pane="bottomLeft" activeCell="C9" sqref="C9"/>
      <selection pane="bottomRight" sqref="A1:S1"/>
    </sheetView>
  </sheetViews>
  <sheetFormatPr defaultColWidth="10.33203125" defaultRowHeight="14.4" outlineLevelCol="1" x14ac:dyDescent="0.3"/>
  <cols>
    <col min="1" max="1" width="8.33203125" customWidth="1"/>
    <col min="2" max="2" width="27.44140625" bestFit="1" customWidth="1" outlineLevel="1"/>
    <col min="3" max="3" width="10.88671875" style="277" bestFit="1" customWidth="1"/>
    <col min="4" max="6" width="10.33203125" hidden="1" customWidth="1" outlineLevel="1"/>
    <col min="7" max="7" width="10" customWidth="1" collapsed="1"/>
    <col min="8" max="10" width="10" customWidth="1"/>
    <col min="11" max="14" width="10.6640625" customWidth="1"/>
    <col min="15" max="15" width="12.21875" customWidth="1"/>
    <col min="16" max="17" width="8.88671875" style="231" customWidth="1"/>
    <col min="18" max="18" width="7.33203125" style="276" customWidth="1"/>
    <col min="19" max="19" width="8" style="231" customWidth="1"/>
    <col min="21" max="21" width="11.21875" bestFit="1" customWidth="1"/>
  </cols>
  <sheetData>
    <row r="1" spans="1:19" ht="18.600000000000001" thickBot="1" x14ac:dyDescent="0.4">
      <c r="A1" s="399" t="s">
        <v>105</v>
      </c>
      <c r="B1" s="361"/>
      <c r="C1" s="361"/>
      <c r="D1" s="361"/>
      <c r="E1" s="361"/>
      <c r="F1" s="361"/>
      <c r="G1" s="361"/>
      <c r="H1" s="361"/>
      <c r="I1" s="361"/>
      <c r="J1" s="361"/>
      <c r="K1" s="361"/>
      <c r="L1" s="361"/>
      <c r="M1" s="361"/>
      <c r="N1" s="361"/>
      <c r="O1" s="361"/>
      <c r="P1" s="361"/>
      <c r="Q1" s="361"/>
      <c r="R1" s="361"/>
      <c r="S1" s="361"/>
    </row>
    <row r="2" spans="1:19" ht="15" thickBot="1" x14ac:dyDescent="0.35">
      <c r="A2" s="232" t="s">
        <v>265</v>
      </c>
      <c r="B2" s="233"/>
    </row>
    <row r="3" spans="1:19" x14ac:dyDescent="0.3">
      <c r="A3" s="413" t="s">
        <v>186</v>
      </c>
      <c r="B3" s="414"/>
      <c r="C3" s="415" t="s">
        <v>175</v>
      </c>
      <c r="D3" s="416"/>
      <c r="E3" s="416"/>
      <c r="F3" s="417"/>
      <c r="G3" s="418" t="s">
        <v>176</v>
      </c>
      <c r="H3" s="419"/>
      <c r="I3" s="419"/>
      <c r="J3" s="420"/>
      <c r="K3" s="421" t="s">
        <v>185</v>
      </c>
      <c r="L3" s="422"/>
      <c r="M3" s="422"/>
      <c r="N3" s="422"/>
      <c r="O3" s="423"/>
      <c r="P3" s="419" t="s">
        <v>240</v>
      </c>
      <c r="Q3" s="419"/>
      <c r="R3" s="419"/>
      <c r="S3" s="420"/>
    </row>
    <row r="4" spans="1:19" ht="15" thickBot="1" x14ac:dyDescent="0.35">
      <c r="A4" s="432">
        <v>2018</v>
      </c>
      <c r="B4" s="433"/>
      <c r="C4" s="434" t="s">
        <v>239</v>
      </c>
      <c r="D4" s="436" t="s">
        <v>106</v>
      </c>
      <c r="E4" s="436" t="s">
        <v>74</v>
      </c>
      <c r="F4" s="411" t="s">
        <v>67</v>
      </c>
      <c r="G4" s="426" t="s">
        <v>177</v>
      </c>
      <c r="H4" s="428" t="s">
        <v>181</v>
      </c>
      <c r="I4" s="428" t="s">
        <v>238</v>
      </c>
      <c r="J4" s="430" t="s">
        <v>178</v>
      </c>
      <c r="K4" s="408" t="s">
        <v>237</v>
      </c>
      <c r="L4" s="409"/>
      <c r="M4" s="409"/>
      <c r="N4" s="410"/>
      <c r="O4" s="411" t="s">
        <v>236</v>
      </c>
      <c r="P4" s="400" t="s">
        <v>235</v>
      </c>
      <c r="Q4" s="400" t="s">
        <v>188</v>
      </c>
      <c r="R4" s="402" t="s">
        <v>74</v>
      </c>
      <c r="S4" s="404" t="s">
        <v>187</v>
      </c>
    </row>
    <row r="5" spans="1:19" s="311" customFormat="1" ht="19.2" customHeight="1" x14ac:dyDescent="0.3">
      <c r="A5" s="406" t="s">
        <v>234</v>
      </c>
      <c r="B5" s="407"/>
      <c r="C5" s="435"/>
      <c r="D5" s="437"/>
      <c r="E5" s="437"/>
      <c r="F5" s="412"/>
      <c r="G5" s="427"/>
      <c r="H5" s="429"/>
      <c r="I5" s="429"/>
      <c r="J5" s="431"/>
      <c r="K5" s="314" t="s">
        <v>179</v>
      </c>
      <c r="L5" s="313" t="s">
        <v>180</v>
      </c>
      <c r="M5" s="313" t="s">
        <v>233</v>
      </c>
      <c r="N5" s="312" t="s">
        <v>3</v>
      </c>
      <c r="O5" s="412"/>
      <c r="P5" s="401"/>
      <c r="Q5" s="401"/>
      <c r="R5" s="403"/>
      <c r="S5" s="405"/>
    </row>
    <row r="6" spans="1:19" ht="15" thickBot="1" x14ac:dyDescent="0.35">
      <c r="A6" s="424" t="s">
        <v>174</v>
      </c>
      <c r="B6" s="425"/>
      <c r="C6" s="310">
        <f ca="1">SUM(Tabulka[01 uv_sk])/2</f>
        <v>26.8</v>
      </c>
      <c r="D6" s="308"/>
      <c r="E6" s="308"/>
      <c r="F6" s="307"/>
      <c r="G6" s="309">
        <f ca="1">SUM(Tabulka[05 h_vram])/2</f>
        <v>16592.8</v>
      </c>
      <c r="H6" s="308">
        <f ca="1">SUM(Tabulka[06 h_naduv])/2</f>
        <v>0</v>
      </c>
      <c r="I6" s="308">
        <f ca="1">SUM(Tabulka[07 h_nadzk])/2</f>
        <v>58</v>
      </c>
      <c r="J6" s="307">
        <f ca="1">SUM(Tabulka[08 h_oon])/2</f>
        <v>260</v>
      </c>
      <c r="K6" s="309">
        <f ca="1">SUM(Tabulka[09 m_kl])/2</f>
        <v>0</v>
      </c>
      <c r="L6" s="308">
        <f ca="1">SUM(Tabulka[10 m_gr])/2</f>
        <v>0</v>
      </c>
      <c r="M6" s="308">
        <f ca="1">SUM(Tabulka[11 m_jo])/2</f>
        <v>26165</v>
      </c>
      <c r="N6" s="308">
        <f ca="1">SUM(Tabulka[12 m_oc])/2</f>
        <v>26165</v>
      </c>
      <c r="O6" s="307">
        <f ca="1">SUM(Tabulka[13 m_sk])/2</f>
        <v>4566745</v>
      </c>
      <c r="P6" s="306">
        <f ca="1">SUM(Tabulka[14_vzsk])/2</f>
        <v>19010</v>
      </c>
      <c r="Q6" s="306">
        <f ca="1">SUM(Tabulka[15_vzpl])/2</f>
        <v>25679.082126658832</v>
      </c>
      <c r="R6" s="305">
        <f ca="1">IF(Q6=0,0,P6/Q6)</f>
        <v>0.74029125753933001</v>
      </c>
      <c r="S6" s="304">
        <f ca="1">Q6-P6</f>
        <v>6669.0821266588318</v>
      </c>
    </row>
    <row r="7" spans="1:19" hidden="1" x14ac:dyDescent="0.3">
      <c r="A7" s="303" t="s">
        <v>232</v>
      </c>
      <c r="B7" s="302" t="s">
        <v>231</v>
      </c>
      <c r="C7" s="301" t="s">
        <v>230</v>
      </c>
      <c r="D7" s="300" t="s">
        <v>229</v>
      </c>
      <c r="E7" s="299" t="s">
        <v>228</v>
      </c>
      <c r="F7" s="298" t="s">
        <v>227</v>
      </c>
      <c r="G7" s="297" t="s">
        <v>226</v>
      </c>
      <c r="H7" s="295" t="s">
        <v>225</v>
      </c>
      <c r="I7" s="295" t="s">
        <v>224</v>
      </c>
      <c r="J7" s="294" t="s">
        <v>223</v>
      </c>
      <c r="K7" s="296" t="s">
        <v>222</v>
      </c>
      <c r="L7" s="295" t="s">
        <v>221</v>
      </c>
      <c r="M7" s="295" t="s">
        <v>220</v>
      </c>
      <c r="N7" s="294" t="s">
        <v>219</v>
      </c>
      <c r="O7" s="293" t="s">
        <v>218</v>
      </c>
      <c r="P7" s="292" t="s">
        <v>217</v>
      </c>
      <c r="Q7" s="291" t="s">
        <v>216</v>
      </c>
      <c r="R7" s="290" t="s">
        <v>215</v>
      </c>
      <c r="S7" s="289" t="s">
        <v>214</v>
      </c>
    </row>
    <row r="8" spans="1:19" x14ac:dyDescent="0.3">
      <c r="A8" s="286" t="s">
        <v>213</v>
      </c>
      <c r="B8" s="285"/>
      <c r="C8" s="279">
        <f ca="1" xml:space="preserve">
IF($A$4&lt;13,
SUMIFS(INDIRECT("ONData["&amp;Tabulka[#Headers]&amp;"]"),ONData[mesic],$A$4,ONData[kat],Tabulka[[#This Row],[kat]]),
SUMIFS(INDIRECT("ONData["&amp;Tabulka[#Headers]&amp;"]"),ONData[kat],Tabulka[[#This Row],[kat]])/MAX(ONData[mesic]))</f>
        <v>5.45</v>
      </c>
      <c r="D8" s="284">
        <f ca="1" xml:space="preserve">
IF($A$4&lt;13,
SUMIFS(INDIRECT("ONData["&amp;Tabulka[#Headers]&amp;"]"),ONData[mesic],$A$4,ONData[kat],Tabulka[[#This Row],[kat]]),
SUMIFS(INDIRECT("ONData["&amp;Tabulka[#Headers]&amp;"]"),ONData[kat],Tabulka[[#This Row],[kat]])/MAX(ONData[mesic]))</f>
        <v>0</v>
      </c>
      <c r="E8" s="284">
        <f ca="1" xml:space="preserve">
IF($A$4&lt;13,
SUMIFS(INDIRECT("ONData["&amp;Tabulka[#Headers]&amp;"]"),ONData[mesic],$A$4,ONData[kat],Tabulka[[#This Row],[kat]]),
SUMIFS(INDIRECT("ONData["&amp;Tabulka[#Headers]&amp;"]"),ONData[kat],Tabulka[[#This Row],[kat]])/MAX(ONData[mesic]))</f>
        <v>0</v>
      </c>
      <c r="F8" s="284">
        <f ca="1" xml:space="preserve">
IF($A$4&lt;13,
SUMIFS(INDIRECT("ONData["&amp;Tabulka[#Headers]&amp;"]"),ONData[mesic],$A$4,ONData[kat],Tabulka[[#This Row],[kat]]),
SUMIFS(INDIRECT("ONData["&amp;Tabulka[#Headers]&amp;"]"),ONData[kat],Tabulka[[#This Row],[kat]])/MAX(ONData[mesic]))</f>
        <v>0</v>
      </c>
      <c r="G8" s="283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3500.8</v>
      </c>
      <c r="H8" s="282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I8" s="282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10</v>
      </c>
      <c r="J8" s="281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100</v>
      </c>
      <c r="K8" s="282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L8" s="282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M8" s="282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N8" s="281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O8" s="280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1372166</v>
      </c>
      <c r="P8" s="287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9600</v>
      </c>
      <c r="Q8" s="287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4684.8250649364481</v>
      </c>
      <c r="R8" s="288">
        <f ca="1">IF(Tabulka[[#This Row],[15_vzpl]]=0,"",Tabulka[[#This Row],[14_vzsk]]/Tabulka[[#This Row],[15_vzpl]])</f>
        <v>2.049169364263173</v>
      </c>
      <c r="S8" s="287">
        <f ca="1">IF(Tabulka[[#This Row],[15_vzpl]]-Tabulka[[#This Row],[14_vzsk]]=0,"",Tabulka[[#This Row],[15_vzpl]]-Tabulka[[#This Row],[14_vzsk]])</f>
        <v>-4915.1749350635519</v>
      </c>
    </row>
    <row r="9" spans="1:19" x14ac:dyDescent="0.3">
      <c r="A9" s="286">
        <v>99</v>
      </c>
      <c r="B9" s="285" t="s">
        <v>871</v>
      </c>
      <c r="C9" s="279">
        <f ca="1" xml:space="preserve">
IF($A$4&lt;13,
SUMIFS(INDIRECT("ONData["&amp;Tabulka[#Headers]&amp;"]"),ONData[mesic],$A$4,ONData[kat],Tabulka[[#This Row],[kat]]),
SUMIFS(INDIRECT("ONData["&amp;Tabulka[#Headers]&amp;"]"),ONData[kat],Tabulka[[#This Row],[kat]])/MAX(ONData[mesic]))</f>
        <v>2.6</v>
      </c>
      <c r="D9" s="284">
        <f ca="1" xml:space="preserve">
IF($A$4&lt;13,
SUMIFS(INDIRECT("ONData["&amp;Tabulka[#Headers]&amp;"]"),ONData[mesic],$A$4,ONData[kat],Tabulka[[#This Row],[kat]]),
SUMIFS(INDIRECT("ONData["&amp;Tabulka[#Headers]&amp;"]"),ONData[kat],Tabulka[[#This Row],[kat]])/MAX(ONData[mesic]))</f>
        <v>0</v>
      </c>
      <c r="E9" s="284">
        <f ca="1" xml:space="preserve">
IF($A$4&lt;13,
SUMIFS(INDIRECT("ONData["&amp;Tabulka[#Headers]&amp;"]"),ONData[mesic],$A$4,ONData[kat],Tabulka[[#This Row],[kat]]),
SUMIFS(INDIRECT("ONData["&amp;Tabulka[#Headers]&amp;"]"),ONData[kat],Tabulka[[#This Row],[kat]])/MAX(ONData[mesic]))</f>
        <v>0</v>
      </c>
      <c r="F9" s="284">
        <f ca="1" xml:space="preserve">
IF($A$4&lt;13,
SUMIFS(INDIRECT("ONData["&amp;Tabulka[#Headers]&amp;"]"),ONData[mesic],$A$4,ONData[kat],Tabulka[[#This Row],[kat]]),
SUMIFS(INDIRECT("ONData["&amp;Tabulka[#Headers]&amp;"]"),ONData[kat],Tabulka[[#This Row],[kat]])/MAX(ONData[mesic]))</f>
        <v>0</v>
      </c>
      <c r="G9" s="283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1684.8000000000002</v>
      </c>
      <c r="H9" s="282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I9" s="282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J9" s="281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K9" s="282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L9" s="282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M9" s="282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N9" s="281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O9" s="280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444423</v>
      </c>
      <c r="P9" s="287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9600</v>
      </c>
      <c r="Q9" s="287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4684.8250649364481</v>
      </c>
      <c r="R9" s="288">
        <f ca="1">IF(Tabulka[[#This Row],[15_vzpl]]=0,"",Tabulka[[#This Row],[14_vzsk]]/Tabulka[[#This Row],[15_vzpl]])</f>
        <v>2.049169364263173</v>
      </c>
      <c r="S9" s="287">
        <f ca="1">IF(Tabulka[[#This Row],[15_vzpl]]-Tabulka[[#This Row],[14_vzsk]]=0,"",Tabulka[[#This Row],[15_vzpl]]-Tabulka[[#This Row],[14_vzsk]])</f>
        <v>-4915.1749350635519</v>
      </c>
    </row>
    <row r="10" spans="1:19" x14ac:dyDescent="0.3">
      <c r="A10" s="286">
        <v>101</v>
      </c>
      <c r="B10" s="285" t="s">
        <v>872</v>
      </c>
      <c r="C10" s="279">
        <f ca="1" xml:space="preserve">
IF($A$4&lt;13,
SUMIFS(INDIRECT("ONData["&amp;Tabulka[#Headers]&amp;"]"),ONData[mesic],$A$4,ONData[kat],Tabulka[[#This Row],[kat]]),
SUMIFS(INDIRECT("ONData["&amp;Tabulka[#Headers]&amp;"]"),ONData[kat],Tabulka[[#This Row],[kat]])/MAX(ONData[mesic]))</f>
        <v>2.85</v>
      </c>
      <c r="D10" s="284">
        <f ca="1" xml:space="preserve">
IF($A$4&lt;13,
SUMIFS(INDIRECT("ONData["&amp;Tabulka[#Headers]&amp;"]"),ONData[mesic],$A$4,ONData[kat],Tabulka[[#This Row],[kat]]),
SUMIFS(INDIRECT("ONData["&amp;Tabulka[#Headers]&amp;"]"),ONData[kat],Tabulka[[#This Row],[kat]])/MAX(ONData[mesic]))</f>
        <v>0</v>
      </c>
      <c r="E10" s="284">
        <f ca="1" xml:space="preserve">
IF($A$4&lt;13,
SUMIFS(INDIRECT("ONData["&amp;Tabulka[#Headers]&amp;"]"),ONData[mesic],$A$4,ONData[kat],Tabulka[[#This Row],[kat]]),
SUMIFS(INDIRECT("ONData["&amp;Tabulka[#Headers]&amp;"]"),ONData[kat],Tabulka[[#This Row],[kat]])/MAX(ONData[mesic]))</f>
        <v>0</v>
      </c>
      <c r="F10" s="284">
        <f ca="1" xml:space="preserve">
IF($A$4&lt;13,
SUMIFS(INDIRECT("ONData["&amp;Tabulka[#Headers]&amp;"]"),ONData[mesic],$A$4,ONData[kat],Tabulka[[#This Row],[kat]]),
SUMIFS(INDIRECT("ONData["&amp;Tabulka[#Headers]&amp;"]"),ONData[kat],Tabulka[[#This Row],[kat]])/MAX(ONData[mesic]))</f>
        <v>0</v>
      </c>
      <c r="G10" s="283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1816</v>
      </c>
      <c r="H10" s="282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I10" s="282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10</v>
      </c>
      <c r="J10" s="281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100</v>
      </c>
      <c r="K10" s="282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L10" s="282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M10" s="282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N10" s="281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O10" s="280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927743</v>
      </c>
      <c r="P10" s="287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Q10" s="287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R10" s="288" t="str">
        <f ca="1">IF(Tabulka[[#This Row],[15_vzpl]]=0,"",Tabulka[[#This Row],[14_vzsk]]/Tabulka[[#This Row],[15_vzpl]])</f>
        <v/>
      </c>
      <c r="S10" s="287" t="str">
        <f ca="1">IF(Tabulka[[#This Row],[15_vzpl]]-Tabulka[[#This Row],[14_vzsk]]=0,"",Tabulka[[#This Row],[15_vzpl]]-Tabulka[[#This Row],[14_vzsk]])</f>
        <v/>
      </c>
    </row>
    <row r="11" spans="1:19" x14ac:dyDescent="0.3">
      <c r="A11" s="286" t="s">
        <v>862</v>
      </c>
      <c r="B11" s="285"/>
      <c r="C11" s="279">
        <f ca="1" xml:space="preserve">
IF($A$4&lt;13,
SUMIFS(INDIRECT("ONData["&amp;Tabulka[#Headers]&amp;"]"),ONData[mesic],$A$4,ONData[kat],Tabulka[[#This Row],[kat]]),
SUMIFS(INDIRECT("ONData["&amp;Tabulka[#Headers]&amp;"]"),ONData[kat],Tabulka[[#This Row],[kat]])/MAX(ONData[mesic]))</f>
        <v>10.8</v>
      </c>
      <c r="D11" s="284">
        <f ca="1" xml:space="preserve">
IF($A$4&lt;13,
SUMIFS(INDIRECT("ONData["&amp;Tabulka[#Headers]&amp;"]"),ONData[mesic],$A$4,ONData[kat],Tabulka[[#This Row],[kat]]),
SUMIFS(INDIRECT("ONData["&amp;Tabulka[#Headers]&amp;"]"),ONData[kat],Tabulka[[#This Row],[kat]])/MAX(ONData[mesic]))</f>
        <v>0</v>
      </c>
      <c r="E11" s="284">
        <f ca="1" xml:space="preserve">
IF($A$4&lt;13,
SUMIFS(INDIRECT("ONData["&amp;Tabulka[#Headers]&amp;"]"),ONData[mesic],$A$4,ONData[kat],Tabulka[[#This Row],[kat]]),
SUMIFS(INDIRECT("ONData["&amp;Tabulka[#Headers]&amp;"]"),ONData[kat],Tabulka[[#This Row],[kat]])/MAX(ONData[mesic]))</f>
        <v>0</v>
      </c>
      <c r="F11" s="284">
        <f ca="1" xml:space="preserve">
IF($A$4&lt;13,
SUMIFS(INDIRECT("ONData["&amp;Tabulka[#Headers]&amp;"]"),ONData[mesic],$A$4,ONData[kat],Tabulka[[#This Row],[kat]]),
SUMIFS(INDIRECT("ONData["&amp;Tabulka[#Headers]&amp;"]"),ONData[kat],Tabulka[[#This Row],[kat]])/MAX(ONData[mesic]))</f>
        <v>0</v>
      </c>
      <c r="G11" s="283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6668</v>
      </c>
      <c r="H11" s="282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I11" s="282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J11" s="281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160</v>
      </c>
      <c r="K11" s="282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L11" s="282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M11" s="282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14270</v>
      </c>
      <c r="N11" s="281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14270</v>
      </c>
      <c r="O11" s="280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1805246</v>
      </c>
      <c r="P11" s="287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9000</v>
      </c>
      <c r="Q11" s="287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17660.923728389051</v>
      </c>
      <c r="R11" s="288">
        <f ca="1">IF(Tabulka[[#This Row],[15_vzpl]]=0,"",Tabulka[[#This Row],[14_vzsk]]/Tabulka[[#This Row],[15_vzpl]])</f>
        <v>0.50959961882021776</v>
      </c>
      <c r="S11" s="287">
        <f ca="1">IF(Tabulka[[#This Row],[15_vzpl]]-Tabulka[[#This Row],[14_vzsk]]=0,"",Tabulka[[#This Row],[15_vzpl]]-Tabulka[[#This Row],[14_vzsk]])</f>
        <v>8660.9237283890507</v>
      </c>
    </row>
    <row r="12" spans="1:19" x14ac:dyDescent="0.3">
      <c r="A12" s="286">
        <v>526</v>
      </c>
      <c r="B12" s="285" t="s">
        <v>873</v>
      </c>
      <c r="C12" s="279">
        <f ca="1" xml:space="preserve">
IF($A$4&lt;13,
SUMIFS(INDIRECT("ONData["&amp;Tabulka[#Headers]&amp;"]"),ONData[mesic],$A$4,ONData[kat],Tabulka[[#This Row],[kat]]),
SUMIFS(INDIRECT("ONData["&amp;Tabulka[#Headers]&amp;"]"),ONData[kat],Tabulka[[#This Row],[kat]])/MAX(ONData[mesic]))</f>
        <v>10.7</v>
      </c>
      <c r="D12" s="284">
        <f ca="1" xml:space="preserve">
IF($A$4&lt;13,
SUMIFS(INDIRECT("ONData["&amp;Tabulka[#Headers]&amp;"]"),ONData[mesic],$A$4,ONData[kat],Tabulka[[#This Row],[kat]]),
SUMIFS(INDIRECT("ONData["&amp;Tabulka[#Headers]&amp;"]"),ONData[kat],Tabulka[[#This Row],[kat]])/MAX(ONData[mesic]))</f>
        <v>0</v>
      </c>
      <c r="E12" s="284">
        <f ca="1" xml:space="preserve">
IF($A$4&lt;13,
SUMIFS(INDIRECT("ONData["&amp;Tabulka[#Headers]&amp;"]"),ONData[mesic],$A$4,ONData[kat],Tabulka[[#This Row],[kat]]),
SUMIFS(INDIRECT("ONData["&amp;Tabulka[#Headers]&amp;"]"),ONData[kat],Tabulka[[#This Row],[kat]])/MAX(ONData[mesic]))</f>
        <v>0</v>
      </c>
      <c r="F12" s="284">
        <f ca="1" xml:space="preserve">
IF($A$4&lt;13,
SUMIFS(INDIRECT("ONData["&amp;Tabulka[#Headers]&amp;"]"),ONData[mesic],$A$4,ONData[kat],Tabulka[[#This Row],[kat]]),
SUMIFS(INDIRECT("ONData["&amp;Tabulka[#Headers]&amp;"]"),ONData[kat],Tabulka[[#This Row],[kat]])/MAX(ONData[mesic]))</f>
        <v>0</v>
      </c>
      <c r="G12" s="283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6612</v>
      </c>
      <c r="H12" s="282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I12" s="282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J12" s="281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K12" s="282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L12" s="282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M12" s="282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14270</v>
      </c>
      <c r="N12" s="281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14270</v>
      </c>
      <c r="O12" s="280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1767580</v>
      </c>
      <c r="P12" s="287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9000</v>
      </c>
      <c r="Q12" s="287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17660.923728389051</v>
      </c>
      <c r="R12" s="288">
        <f ca="1">IF(Tabulka[[#This Row],[15_vzpl]]=0,"",Tabulka[[#This Row],[14_vzsk]]/Tabulka[[#This Row],[15_vzpl]])</f>
        <v>0.50959961882021776</v>
      </c>
      <c r="S12" s="287">
        <f ca="1">IF(Tabulka[[#This Row],[15_vzpl]]-Tabulka[[#This Row],[14_vzsk]]=0,"",Tabulka[[#This Row],[15_vzpl]]-Tabulka[[#This Row],[14_vzsk]])</f>
        <v>8660.9237283890507</v>
      </c>
    </row>
    <row r="13" spans="1:19" x14ac:dyDescent="0.3">
      <c r="A13" s="286">
        <v>746</v>
      </c>
      <c r="B13" s="285" t="s">
        <v>874</v>
      </c>
      <c r="C13" s="279">
        <f ca="1" xml:space="preserve">
IF($A$4&lt;13,
SUMIFS(INDIRECT("ONData["&amp;Tabulka[#Headers]&amp;"]"),ONData[mesic],$A$4,ONData[kat],Tabulka[[#This Row],[kat]]),
SUMIFS(INDIRECT("ONData["&amp;Tabulka[#Headers]&amp;"]"),ONData[kat],Tabulka[[#This Row],[kat]])/MAX(ONData[mesic]))</f>
        <v>0.1</v>
      </c>
      <c r="D13" s="284">
        <f ca="1" xml:space="preserve">
IF($A$4&lt;13,
SUMIFS(INDIRECT("ONData["&amp;Tabulka[#Headers]&amp;"]"),ONData[mesic],$A$4,ONData[kat],Tabulka[[#This Row],[kat]]),
SUMIFS(INDIRECT("ONData["&amp;Tabulka[#Headers]&amp;"]"),ONData[kat],Tabulka[[#This Row],[kat]])/MAX(ONData[mesic]))</f>
        <v>0</v>
      </c>
      <c r="E13" s="284">
        <f ca="1" xml:space="preserve">
IF($A$4&lt;13,
SUMIFS(INDIRECT("ONData["&amp;Tabulka[#Headers]&amp;"]"),ONData[mesic],$A$4,ONData[kat],Tabulka[[#This Row],[kat]]),
SUMIFS(INDIRECT("ONData["&amp;Tabulka[#Headers]&amp;"]"),ONData[kat],Tabulka[[#This Row],[kat]])/MAX(ONData[mesic]))</f>
        <v>0</v>
      </c>
      <c r="F13" s="284">
        <f ca="1" xml:space="preserve">
IF($A$4&lt;13,
SUMIFS(INDIRECT("ONData["&amp;Tabulka[#Headers]&amp;"]"),ONData[mesic],$A$4,ONData[kat],Tabulka[[#This Row],[kat]]),
SUMIFS(INDIRECT("ONData["&amp;Tabulka[#Headers]&amp;"]"),ONData[kat],Tabulka[[#This Row],[kat]])/MAX(ONData[mesic]))</f>
        <v>0</v>
      </c>
      <c r="G13" s="283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56</v>
      </c>
      <c r="H13" s="282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I13" s="282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J13" s="281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160</v>
      </c>
      <c r="K13" s="282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L13" s="282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M13" s="282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N13" s="281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O13" s="280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37666</v>
      </c>
      <c r="P13" s="287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Q13" s="287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R13" s="288" t="str">
        <f ca="1">IF(Tabulka[[#This Row],[15_vzpl]]=0,"",Tabulka[[#This Row],[14_vzsk]]/Tabulka[[#This Row],[15_vzpl]])</f>
        <v/>
      </c>
      <c r="S13" s="287" t="str">
        <f ca="1">IF(Tabulka[[#This Row],[15_vzpl]]-Tabulka[[#This Row],[14_vzsk]]=0,"",Tabulka[[#This Row],[15_vzpl]]-Tabulka[[#This Row],[14_vzsk]])</f>
        <v/>
      </c>
    </row>
    <row r="14" spans="1:19" x14ac:dyDescent="0.3">
      <c r="A14" s="286" t="s">
        <v>863</v>
      </c>
      <c r="B14" s="285"/>
      <c r="C14" s="279">
        <f ca="1" xml:space="preserve">
IF($A$4&lt;13,
SUMIFS(INDIRECT("ONData["&amp;Tabulka[#Headers]&amp;"]"),ONData[mesic],$A$4,ONData[kat],Tabulka[[#This Row],[kat]]),
SUMIFS(INDIRECT("ONData["&amp;Tabulka[#Headers]&amp;"]"),ONData[kat],Tabulka[[#This Row],[kat]])/MAX(ONData[mesic]))</f>
        <v>7.75</v>
      </c>
      <c r="D14" s="284">
        <f ca="1" xml:space="preserve">
IF($A$4&lt;13,
SUMIFS(INDIRECT("ONData["&amp;Tabulka[#Headers]&amp;"]"),ONData[mesic],$A$4,ONData[kat],Tabulka[[#This Row],[kat]]),
SUMIFS(INDIRECT("ONData["&amp;Tabulka[#Headers]&amp;"]"),ONData[kat],Tabulka[[#This Row],[kat]])/MAX(ONData[mesic]))</f>
        <v>0</v>
      </c>
      <c r="E14" s="284">
        <f ca="1" xml:space="preserve">
IF($A$4&lt;13,
SUMIFS(INDIRECT("ONData["&amp;Tabulka[#Headers]&amp;"]"),ONData[mesic],$A$4,ONData[kat],Tabulka[[#This Row],[kat]]),
SUMIFS(INDIRECT("ONData["&amp;Tabulka[#Headers]&amp;"]"),ONData[kat],Tabulka[[#This Row],[kat]])/MAX(ONData[mesic]))</f>
        <v>0</v>
      </c>
      <c r="F14" s="284">
        <f ca="1" xml:space="preserve">
IF($A$4&lt;13,
SUMIFS(INDIRECT("ONData["&amp;Tabulka[#Headers]&amp;"]"),ONData[mesic],$A$4,ONData[kat],Tabulka[[#This Row],[kat]]),
SUMIFS(INDIRECT("ONData["&amp;Tabulka[#Headers]&amp;"]"),ONData[kat],Tabulka[[#This Row],[kat]])/MAX(ONData[mesic]))</f>
        <v>0</v>
      </c>
      <c r="G14" s="283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4679.2</v>
      </c>
      <c r="H14" s="282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I14" s="282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48</v>
      </c>
      <c r="J14" s="281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K14" s="282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L14" s="282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M14" s="282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10706</v>
      </c>
      <c r="N14" s="281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10706</v>
      </c>
      <c r="O14" s="280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1088974</v>
      </c>
      <c r="P14" s="287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410</v>
      </c>
      <c r="Q14" s="287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3333.3333333333335</v>
      </c>
      <c r="R14" s="288">
        <f ca="1">IF(Tabulka[[#This Row],[15_vzpl]]=0,"",Tabulka[[#This Row],[14_vzsk]]/Tabulka[[#This Row],[15_vzpl]])</f>
        <v>0.123</v>
      </c>
      <c r="S14" s="287">
        <f ca="1">IF(Tabulka[[#This Row],[15_vzpl]]-Tabulka[[#This Row],[14_vzsk]]=0,"",Tabulka[[#This Row],[15_vzpl]]-Tabulka[[#This Row],[14_vzsk]])</f>
        <v>2923.3333333333335</v>
      </c>
    </row>
    <row r="15" spans="1:19" x14ac:dyDescent="0.3">
      <c r="A15" s="286">
        <v>303</v>
      </c>
      <c r="B15" s="285" t="s">
        <v>875</v>
      </c>
      <c r="C15" s="279">
        <f ca="1" xml:space="preserve">
IF($A$4&lt;13,
SUMIFS(INDIRECT("ONData["&amp;Tabulka[#Headers]&amp;"]"),ONData[mesic],$A$4,ONData[kat],Tabulka[[#This Row],[kat]]),
SUMIFS(INDIRECT("ONData["&amp;Tabulka[#Headers]&amp;"]"),ONData[kat],Tabulka[[#This Row],[kat]])/MAX(ONData[mesic]))</f>
        <v>0</v>
      </c>
      <c r="D15" s="284">
        <f ca="1" xml:space="preserve">
IF($A$4&lt;13,
SUMIFS(INDIRECT("ONData["&amp;Tabulka[#Headers]&amp;"]"),ONData[mesic],$A$4,ONData[kat],Tabulka[[#This Row],[kat]]),
SUMIFS(INDIRECT("ONData["&amp;Tabulka[#Headers]&amp;"]"),ONData[kat],Tabulka[[#This Row],[kat]])/MAX(ONData[mesic]))</f>
        <v>0</v>
      </c>
      <c r="E15" s="284">
        <f ca="1" xml:space="preserve">
IF($A$4&lt;13,
SUMIFS(INDIRECT("ONData["&amp;Tabulka[#Headers]&amp;"]"),ONData[mesic],$A$4,ONData[kat],Tabulka[[#This Row],[kat]]),
SUMIFS(INDIRECT("ONData["&amp;Tabulka[#Headers]&amp;"]"),ONData[kat],Tabulka[[#This Row],[kat]])/MAX(ONData[mesic]))</f>
        <v>0</v>
      </c>
      <c r="F15" s="284">
        <f ca="1" xml:space="preserve">
IF($A$4&lt;13,
SUMIFS(INDIRECT("ONData["&amp;Tabulka[#Headers]&amp;"]"),ONData[mesic],$A$4,ONData[kat],Tabulka[[#This Row],[kat]]),
SUMIFS(INDIRECT("ONData["&amp;Tabulka[#Headers]&amp;"]"),ONData[kat],Tabulka[[#This Row],[kat]])/MAX(ONData[mesic]))</f>
        <v>0</v>
      </c>
      <c r="G15" s="283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H15" s="282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I15" s="282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J15" s="281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K15" s="282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L15" s="282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M15" s="282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N15" s="281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O15" s="280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P15" s="287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410</v>
      </c>
      <c r="Q15" s="287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3333.3333333333335</v>
      </c>
      <c r="R15" s="288">
        <f ca="1">IF(Tabulka[[#This Row],[15_vzpl]]=0,"",Tabulka[[#This Row],[14_vzsk]]/Tabulka[[#This Row],[15_vzpl]])</f>
        <v>0.123</v>
      </c>
      <c r="S15" s="287">
        <f ca="1">IF(Tabulka[[#This Row],[15_vzpl]]-Tabulka[[#This Row],[14_vzsk]]=0,"",Tabulka[[#This Row],[15_vzpl]]-Tabulka[[#This Row],[14_vzsk]])</f>
        <v>2923.3333333333335</v>
      </c>
    </row>
    <row r="16" spans="1:19" x14ac:dyDescent="0.3">
      <c r="A16" s="286">
        <v>304</v>
      </c>
      <c r="B16" s="285" t="s">
        <v>876</v>
      </c>
      <c r="C16" s="279">
        <f ca="1" xml:space="preserve">
IF($A$4&lt;13,
SUMIFS(INDIRECT("ONData["&amp;Tabulka[#Headers]&amp;"]"),ONData[mesic],$A$4,ONData[kat],Tabulka[[#This Row],[kat]]),
SUMIFS(INDIRECT("ONData["&amp;Tabulka[#Headers]&amp;"]"),ONData[kat],Tabulka[[#This Row],[kat]])/MAX(ONData[mesic]))</f>
        <v>0.85000000000000009</v>
      </c>
      <c r="D16" s="284">
        <f ca="1" xml:space="preserve">
IF($A$4&lt;13,
SUMIFS(INDIRECT("ONData["&amp;Tabulka[#Headers]&amp;"]"),ONData[mesic],$A$4,ONData[kat],Tabulka[[#This Row],[kat]]),
SUMIFS(INDIRECT("ONData["&amp;Tabulka[#Headers]&amp;"]"),ONData[kat],Tabulka[[#This Row],[kat]])/MAX(ONData[mesic]))</f>
        <v>0</v>
      </c>
      <c r="E16" s="284">
        <f ca="1" xml:space="preserve">
IF($A$4&lt;13,
SUMIFS(INDIRECT("ONData["&amp;Tabulka[#Headers]&amp;"]"),ONData[mesic],$A$4,ONData[kat],Tabulka[[#This Row],[kat]]),
SUMIFS(INDIRECT("ONData["&amp;Tabulka[#Headers]&amp;"]"),ONData[kat],Tabulka[[#This Row],[kat]])/MAX(ONData[mesic]))</f>
        <v>0</v>
      </c>
      <c r="F16" s="284">
        <f ca="1" xml:space="preserve">
IF($A$4&lt;13,
SUMIFS(INDIRECT("ONData["&amp;Tabulka[#Headers]&amp;"]"),ONData[mesic],$A$4,ONData[kat],Tabulka[[#This Row],[kat]]),
SUMIFS(INDIRECT("ONData["&amp;Tabulka[#Headers]&amp;"]"),ONData[kat],Tabulka[[#This Row],[kat]])/MAX(ONData[mesic]))</f>
        <v>0</v>
      </c>
      <c r="G16" s="283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544</v>
      </c>
      <c r="H16" s="282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I16" s="282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48</v>
      </c>
      <c r="J16" s="281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K16" s="282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L16" s="282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M16" s="282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N16" s="281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O16" s="280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177402</v>
      </c>
      <c r="P16" s="287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Q16" s="287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R16" s="288" t="str">
        <f ca="1">IF(Tabulka[[#This Row],[15_vzpl]]=0,"",Tabulka[[#This Row],[14_vzsk]]/Tabulka[[#This Row],[15_vzpl]])</f>
        <v/>
      </c>
      <c r="S16" s="287" t="str">
        <f ca="1">IF(Tabulka[[#This Row],[15_vzpl]]-Tabulka[[#This Row],[14_vzsk]]=0,"",Tabulka[[#This Row],[15_vzpl]]-Tabulka[[#This Row],[14_vzsk]])</f>
        <v/>
      </c>
    </row>
    <row r="17" spans="1:19" x14ac:dyDescent="0.3">
      <c r="A17" s="286">
        <v>305</v>
      </c>
      <c r="B17" s="285" t="s">
        <v>877</v>
      </c>
      <c r="C17" s="279">
        <f ca="1" xml:space="preserve">
IF($A$4&lt;13,
SUMIFS(INDIRECT("ONData["&amp;Tabulka[#Headers]&amp;"]"),ONData[mesic],$A$4,ONData[kat],Tabulka[[#This Row],[kat]]),
SUMIFS(INDIRECT("ONData["&amp;Tabulka[#Headers]&amp;"]"),ONData[kat],Tabulka[[#This Row],[kat]])/MAX(ONData[mesic]))</f>
        <v>1</v>
      </c>
      <c r="D17" s="284">
        <f ca="1" xml:space="preserve">
IF($A$4&lt;13,
SUMIFS(INDIRECT("ONData["&amp;Tabulka[#Headers]&amp;"]"),ONData[mesic],$A$4,ONData[kat],Tabulka[[#This Row],[kat]]),
SUMIFS(INDIRECT("ONData["&amp;Tabulka[#Headers]&amp;"]"),ONData[kat],Tabulka[[#This Row],[kat]])/MAX(ONData[mesic]))</f>
        <v>0</v>
      </c>
      <c r="E17" s="284">
        <f ca="1" xml:space="preserve">
IF($A$4&lt;13,
SUMIFS(INDIRECT("ONData["&amp;Tabulka[#Headers]&amp;"]"),ONData[mesic],$A$4,ONData[kat],Tabulka[[#This Row],[kat]]),
SUMIFS(INDIRECT("ONData["&amp;Tabulka[#Headers]&amp;"]"),ONData[kat],Tabulka[[#This Row],[kat]])/MAX(ONData[mesic]))</f>
        <v>0</v>
      </c>
      <c r="F17" s="284">
        <f ca="1" xml:space="preserve">
IF($A$4&lt;13,
SUMIFS(INDIRECT("ONData["&amp;Tabulka[#Headers]&amp;"]"),ONData[mesic],$A$4,ONData[kat],Tabulka[[#This Row],[kat]]),
SUMIFS(INDIRECT("ONData["&amp;Tabulka[#Headers]&amp;"]"),ONData[kat],Tabulka[[#This Row],[kat]])/MAX(ONData[mesic]))</f>
        <v>0</v>
      </c>
      <c r="G17" s="283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656</v>
      </c>
      <c r="H17" s="282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I17" s="282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J17" s="281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K17" s="282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L17" s="282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M17" s="282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N17" s="281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O17" s="280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220742</v>
      </c>
      <c r="P17" s="287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Q17" s="287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R17" s="288" t="str">
        <f ca="1">IF(Tabulka[[#This Row],[15_vzpl]]=0,"",Tabulka[[#This Row],[14_vzsk]]/Tabulka[[#This Row],[15_vzpl]])</f>
        <v/>
      </c>
      <c r="S17" s="287" t="str">
        <f ca="1">IF(Tabulka[[#This Row],[15_vzpl]]-Tabulka[[#This Row],[14_vzsk]]=0,"",Tabulka[[#This Row],[15_vzpl]]-Tabulka[[#This Row],[14_vzsk]])</f>
        <v/>
      </c>
    </row>
    <row r="18" spans="1:19" x14ac:dyDescent="0.3">
      <c r="A18" s="286">
        <v>409</v>
      </c>
      <c r="B18" s="285" t="s">
        <v>878</v>
      </c>
      <c r="C18" s="279">
        <f ca="1" xml:space="preserve">
IF($A$4&lt;13,
SUMIFS(INDIRECT("ONData["&amp;Tabulka[#Headers]&amp;"]"),ONData[mesic],$A$4,ONData[kat],Tabulka[[#This Row],[kat]]),
SUMIFS(INDIRECT("ONData["&amp;Tabulka[#Headers]&amp;"]"),ONData[kat],Tabulka[[#This Row],[kat]])/MAX(ONData[mesic]))</f>
        <v>4.9000000000000004</v>
      </c>
      <c r="D18" s="284">
        <f ca="1" xml:space="preserve">
IF($A$4&lt;13,
SUMIFS(INDIRECT("ONData["&amp;Tabulka[#Headers]&amp;"]"),ONData[mesic],$A$4,ONData[kat],Tabulka[[#This Row],[kat]]),
SUMIFS(INDIRECT("ONData["&amp;Tabulka[#Headers]&amp;"]"),ONData[kat],Tabulka[[#This Row],[kat]])/MAX(ONData[mesic]))</f>
        <v>0</v>
      </c>
      <c r="E18" s="284">
        <f ca="1" xml:space="preserve">
IF($A$4&lt;13,
SUMIFS(INDIRECT("ONData["&amp;Tabulka[#Headers]&amp;"]"),ONData[mesic],$A$4,ONData[kat],Tabulka[[#This Row],[kat]]),
SUMIFS(INDIRECT("ONData["&amp;Tabulka[#Headers]&amp;"]"),ONData[kat],Tabulka[[#This Row],[kat]])/MAX(ONData[mesic]))</f>
        <v>0</v>
      </c>
      <c r="F18" s="284">
        <f ca="1" xml:space="preserve">
IF($A$4&lt;13,
SUMIFS(INDIRECT("ONData["&amp;Tabulka[#Headers]&amp;"]"),ONData[mesic],$A$4,ONData[kat],Tabulka[[#This Row],[kat]]),
SUMIFS(INDIRECT("ONData["&amp;Tabulka[#Headers]&amp;"]"),ONData[kat],Tabulka[[#This Row],[kat]])/MAX(ONData[mesic]))</f>
        <v>0</v>
      </c>
      <c r="G18" s="283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3019.2</v>
      </c>
      <c r="H18" s="282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I18" s="282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J18" s="281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K18" s="282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L18" s="282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M18" s="282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10706</v>
      </c>
      <c r="N18" s="281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10706</v>
      </c>
      <c r="O18" s="280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635412</v>
      </c>
      <c r="P18" s="287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Q18" s="287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R18" s="288" t="str">
        <f ca="1">IF(Tabulka[[#This Row],[15_vzpl]]=0,"",Tabulka[[#This Row],[14_vzsk]]/Tabulka[[#This Row],[15_vzpl]])</f>
        <v/>
      </c>
      <c r="S18" s="287" t="str">
        <f ca="1">IF(Tabulka[[#This Row],[15_vzpl]]-Tabulka[[#This Row],[14_vzsk]]=0,"",Tabulka[[#This Row],[15_vzpl]]-Tabulka[[#This Row],[14_vzsk]])</f>
        <v/>
      </c>
    </row>
    <row r="19" spans="1:19" x14ac:dyDescent="0.3">
      <c r="A19" s="286">
        <v>642</v>
      </c>
      <c r="B19" s="285" t="s">
        <v>879</v>
      </c>
      <c r="C19" s="279">
        <f ca="1" xml:space="preserve">
IF($A$4&lt;13,
SUMIFS(INDIRECT("ONData["&amp;Tabulka[#Headers]&amp;"]"),ONData[mesic],$A$4,ONData[kat],Tabulka[[#This Row],[kat]]),
SUMIFS(INDIRECT("ONData["&amp;Tabulka[#Headers]&amp;"]"),ONData[kat],Tabulka[[#This Row],[kat]])/MAX(ONData[mesic]))</f>
        <v>1</v>
      </c>
      <c r="D19" s="284">
        <f ca="1" xml:space="preserve">
IF($A$4&lt;13,
SUMIFS(INDIRECT("ONData["&amp;Tabulka[#Headers]&amp;"]"),ONData[mesic],$A$4,ONData[kat],Tabulka[[#This Row],[kat]]),
SUMIFS(INDIRECT("ONData["&amp;Tabulka[#Headers]&amp;"]"),ONData[kat],Tabulka[[#This Row],[kat]])/MAX(ONData[mesic]))</f>
        <v>0</v>
      </c>
      <c r="E19" s="284">
        <f ca="1" xml:space="preserve">
IF($A$4&lt;13,
SUMIFS(INDIRECT("ONData["&amp;Tabulka[#Headers]&amp;"]"),ONData[mesic],$A$4,ONData[kat],Tabulka[[#This Row],[kat]]),
SUMIFS(INDIRECT("ONData["&amp;Tabulka[#Headers]&amp;"]"),ONData[kat],Tabulka[[#This Row],[kat]])/MAX(ONData[mesic]))</f>
        <v>0</v>
      </c>
      <c r="F19" s="284">
        <f ca="1" xml:space="preserve">
IF($A$4&lt;13,
SUMIFS(INDIRECT("ONData["&amp;Tabulka[#Headers]&amp;"]"),ONData[mesic],$A$4,ONData[kat],Tabulka[[#This Row],[kat]]),
SUMIFS(INDIRECT("ONData["&amp;Tabulka[#Headers]&amp;"]"),ONData[kat],Tabulka[[#This Row],[kat]])/MAX(ONData[mesic]))</f>
        <v>0</v>
      </c>
      <c r="G19" s="283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460</v>
      </c>
      <c r="H19" s="282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I19" s="282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J19" s="281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K19" s="282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L19" s="282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M19" s="282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N19" s="281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O19" s="280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55418</v>
      </c>
      <c r="P19" s="287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Q19" s="287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R19" s="288" t="str">
        <f ca="1">IF(Tabulka[[#This Row],[15_vzpl]]=0,"",Tabulka[[#This Row],[14_vzsk]]/Tabulka[[#This Row],[15_vzpl]])</f>
        <v/>
      </c>
      <c r="S19" s="287" t="str">
        <f ca="1">IF(Tabulka[[#This Row],[15_vzpl]]-Tabulka[[#This Row],[14_vzsk]]=0,"",Tabulka[[#This Row],[15_vzpl]]-Tabulka[[#This Row],[14_vzsk]])</f>
        <v/>
      </c>
    </row>
    <row r="20" spans="1:19" x14ac:dyDescent="0.3">
      <c r="A20" s="286" t="s">
        <v>864</v>
      </c>
      <c r="B20" s="285"/>
      <c r="C20" s="279">
        <f ca="1" xml:space="preserve">
IF($A$4&lt;13,
SUMIFS(INDIRECT("ONData["&amp;Tabulka[#Headers]&amp;"]"),ONData[mesic],$A$4,ONData[kat],Tabulka[[#This Row],[kat]]),
SUMIFS(INDIRECT("ONData["&amp;Tabulka[#Headers]&amp;"]"),ONData[kat],Tabulka[[#This Row],[kat]])/MAX(ONData[mesic]))</f>
        <v>1.8</v>
      </c>
      <c r="D20" s="284">
        <f ca="1" xml:space="preserve">
IF($A$4&lt;13,
SUMIFS(INDIRECT("ONData["&amp;Tabulka[#Headers]&amp;"]"),ONData[mesic],$A$4,ONData[kat],Tabulka[[#This Row],[kat]]),
SUMIFS(INDIRECT("ONData["&amp;Tabulka[#Headers]&amp;"]"),ONData[kat],Tabulka[[#This Row],[kat]])/MAX(ONData[mesic]))</f>
        <v>0</v>
      </c>
      <c r="E20" s="284">
        <f ca="1" xml:space="preserve">
IF($A$4&lt;13,
SUMIFS(INDIRECT("ONData["&amp;Tabulka[#Headers]&amp;"]"),ONData[mesic],$A$4,ONData[kat],Tabulka[[#This Row],[kat]]),
SUMIFS(INDIRECT("ONData["&amp;Tabulka[#Headers]&amp;"]"),ONData[kat],Tabulka[[#This Row],[kat]])/MAX(ONData[mesic]))</f>
        <v>0</v>
      </c>
      <c r="F20" s="284">
        <f ca="1" xml:space="preserve">
IF($A$4&lt;13,
SUMIFS(INDIRECT("ONData["&amp;Tabulka[#Headers]&amp;"]"),ONData[mesic],$A$4,ONData[kat],Tabulka[[#This Row],[kat]]),
SUMIFS(INDIRECT("ONData["&amp;Tabulka[#Headers]&amp;"]"),ONData[kat],Tabulka[[#This Row],[kat]])/MAX(ONData[mesic]))</f>
        <v>0</v>
      </c>
      <c r="G20" s="283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1108.8000000000002</v>
      </c>
      <c r="H20" s="282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I20" s="282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J20" s="281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K20" s="282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L20" s="282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M20" s="282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594</v>
      </c>
      <c r="N20" s="281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594</v>
      </c>
      <c r="O20" s="280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194338</v>
      </c>
      <c r="P20" s="287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Q20" s="287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R20" s="288" t="str">
        <f ca="1">IF(Tabulka[[#This Row],[15_vzpl]]=0,"",Tabulka[[#This Row],[14_vzsk]]/Tabulka[[#This Row],[15_vzpl]])</f>
        <v/>
      </c>
      <c r="S20" s="287" t="str">
        <f ca="1">IF(Tabulka[[#This Row],[15_vzpl]]-Tabulka[[#This Row],[14_vzsk]]=0,"",Tabulka[[#This Row],[15_vzpl]]-Tabulka[[#This Row],[14_vzsk]])</f>
        <v/>
      </c>
    </row>
    <row r="21" spans="1:19" x14ac:dyDescent="0.3">
      <c r="A21" s="286">
        <v>30</v>
      </c>
      <c r="B21" s="285" t="s">
        <v>880</v>
      </c>
      <c r="C21" s="279">
        <f ca="1" xml:space="preserve">
IF($A$4&lt;13,
SUMIFS(INDIRECT("ONData["&amp;Tabulka[#Headers]&amp;"]"),ONData[mesic],$A$4,ONData[kat],Tabulka[[#This Row],[kat]]),
SUMIFS(INDIRECT("ONData["&amp;Tabulka[#Headers]&amp;"]"),ONData[kat],Tabulka[[#This Row],[kat]])/MAX(ONData[mesic]))</f>
        <v>1.8</v>
      </c>
      <c r="D21" s="284">
        <f ca="1" xml:space="preserve">
IF($A$4&lt;13,
SUMIFS(INDIRECT("ONData["&amp;Tabulka[#Headers]&amp;"]"),ONData[mesic],$A$4,ONData[kat],Tabulka[[#This Row],[kat]]),
SUMIFS(INDIRECT("ONData["&amp;Tabulka[#Headers]&amp;"]"),ONData[kat],Tabulka[[#This Row],[kat]])/MAX(ONData[mesic]))</f>
        <v>0</v>
      </c>
      <c r="E21" s="284">
        <f ca="1" xml:space="preserve">
IF($A$4&lt;13,
SUMIFS(INDIRECT("ONData["&amp;Tabulka[#Headers]&amp;"]"),ONData[mesic],$A$4,ONData[kat],Tabulka[[#This Row],[kat]]),
SUMIFS(INDIRECT("ONData["&amp;Tabulka[#Headers]&amp;"]"),ONData[kat],Tabulka[[#This Row],[kat]])/MAX(ONData[mesic]))</f>
        <v>0</v>
      </c>
      <c r="F21" s="284">
        <f ca="1" xml:space="preserve">
IF($A$4&lt;13,
SUMIFS(INDIRECT("ONData["&amp;Tabulka[#Headers]&amp;"]"),ONData[mesic],$A$4,ONData[kat],Tabulka[[#This Row],[kat]]),
SUMIFS(INDIRECT("ONData["&amp;Tabulka[#Headers]&amp;"]"),ONData[kat],Tabulka[[#This Row],[kat]])/MAX(ONData[mesic]))</f>
        <v>0</v>
      </c>
      <c r="G21" s="283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1108.8000000000002</v>
      </c>
      <c r="H21" s="282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I21" s="282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J21" s="281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K21" s="282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L21" s="282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M21" s="282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594</v>
      </c>
      <c r="N21" s="281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594</v>
      </c>
      <c r="O21" s="280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194338</v>
      </c>
      <c r="P21" s="287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Q21" s="287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R21" s="288" t="str">
        <f ca="1">IF(Tabulka[[#This Row],[15_vzpl]]=0,"",Tabulka[[#This Row],[14_vzsk]]/Tabulka[[#This Row],[15_vzpl]])</f>
        <v/>
      </c>
      <c r="S21" s="287" t="str">
        <f ca="1">IF(Tabulka[[#This Row],[15_vzpl]]-Tabulka[[#This Row],[14_vzsk]]=0,"",Tabulka[[#This Row],[15_vzpl]]-Tabulka[[#This Row],[14_vzsk]])</f>
        <v/>
      </c>
    </row>
    <row r="22" spans="1:19" x14ac:dyDescent="0.3">
      <c r="A22" s="286" t="s">
        <v>865</v>
      </c>
      <c r="B22" s="285"/>
      <c r="C22" s="279">
        <f ca="1" xml:space="preserve">
IF($A$4&lt;13,
SUMIFS(INDIRECT("ONData["&amp;Tabulka[#Headers]&amp;"]"),ONData[mesic],$A$4,ONData[kat],Tabulka[[#This Row],[kat]]),
SUMIFS(INDIRECT("ONData["&amp;Tabulka[#Headers]&amp;"]"),ONData[kat],Tabulka[[#This Row],[kat]])/MAX(ONData[mesic]))</f>
        <v>1</v>
      </c>
      <c r="D22" s="284">
        <f ca="1" xml:space="preserve">
IF($A$4&lt;13,
SUMIFS(INDIRECT("ONData["&amp;Tabulka[#Headers]&amp;"]"),ONData[mesic],$A$4,ONData[kat],Tabulka[[#This Row],[kat]]),
SUMIFS(INDIRECT("ONData["&amp;Tabulka[#Headers]&amp;"]"),ONData[kat],Tabulka[[#This Row],[kat]])/MAX(ONData[mesic]))</f>
        <v>0</v>
      </c>
      <c r="E22" s="284">
        <f ca="1" xml:space="preserve">
IF($A$4&lt;13,
SUMIFS(INDIRECT("ONData["&amp;Tabulka[#Headers]&amp;"]"),ONData[mesic],$A$4,ONData[kat],Tabulka[[#This Row],[kat]]),
SUMIFS(INDIRECT("ONData["&amp;Tabulka[#Headers]&amp;"]"),ONData[kat],Tabulka[[#This Row],[kat]])/MAX(ONData[mesic]))</f>
        <v>0</v>
      </c>
      <c r="F22" s="284">
        <f ca="1" xml:space="preserve">
IF($A$4&lt;13,
SUMIFS(INDIRECT("ONData["&amp;Tabulka[#Headers]&amp;"]"),ONData[mesic],$A$4,ONData[kat],Tabulka[[#This Row],[kat]]),
SUMIFS(INDIRECT("ONData["&amp;Tabulka[#Headers]&amp;"]"),ONData[kat],Tabulka[[#This Row],[kat]])/MAX(ONData[mesic]))</f>
        <v>0</v>
      </c>
      <c r="G22" s="283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636</v>
      </c>
      <c r="H22" s="282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I22" s="282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J22" s="281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K22" s="282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L22" s="282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M22" s="282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595</v>
      </c>
      <c r="N22" s="281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595</v>
      </c>
      <c r="O22" s="280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106021</v>
      </c>
      <c r="P22" s="287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Q22" s="287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R22" s="288" t="str">
        <f ca="1">IF(Tabulka[[#This Row],[15_vzpl]]=0,"",Tabulka[[#This Row],[14_vzsk]]/Tabulka[[#This Row],[15_vzpl]])</f>
        <v/>
      </c>
      <c r="S22" s="287" t="str">
        <f ca="1">IF(Tabulka[[#This Row],[15_vzpl]]-Tabulka[[#This Row],[14_vzsk]]=0,"",Tabulka[[#This Row],[15_vzpl]]-Tabulka[[#This Row],[14_vzsk]])</f>
        <v/>
      </c>
    </row>
    <row r="23" spans="1:19" x14ac:dyDescent="0.3">
      <c r="A23" s="286">
        <v>310</v>
      </c>
      <c r="B23" s="285" t="s">
        <v>865</v>
      </c>
      <c r="C23" s="279">
        <f ca="1" xml:space="preserve">
IF($A$4&lt;13,
SUMIFS(INDIRECT("ONData["&amp;Tabulka[#Headers]&amp;"]"),ONData[mesic],$A$4,ONData[kat],Tabulka[[#This Row],[kat]]),
SUMIFS(INDIRECT("ONData["&amp;Tabulka[#Headers]&amp;"]"),ONData[kat],Tabulka[[#This Row],[kat]])/MAX(ONData[mesic]))</f>
        <v>1</v>
      </c>
      <c r="D23" s="284">
        <f ca="1" xml:space="preserve">
IF($A$4&lt;13,
SUMIFS(INDIRECT("ONData["&amp;Tabulka[#Headers]&amp;"]"),ONData[mesic],$A$4,ONData[kat],Tabulka[[#This Row],[kat]]),
SUMIFS(INDIRECT("ONData["&amp;Tabulka[#Headers]&amp;"]"),ONData[kat],Tabulka[[#This Row],[kat]])/MAX(ONData[mesic]))</f>
        <v>0</v>
      </c>
      <c r="E23" s="284">
        <f ca="1" xml:space="preserve">
IF($A$4&lt;13,
SUMIFS(INDIRECT("ONData["&amp;Tabulka[#Headers]&amp;"]"),ONData[mesic],$A$4,ONData[kat],Tabulka[[#This Row],[kat]]),
SUMIFS(INDIRECT("ONData["&amp;Tabulka[#Headers]&amp;"]"),ONData[kat],Tabulka[[#This Row],[kat]])/MAX(ONData[mesic]))</f>
        <v>0</v>
      </c>
      <c r="F23" s="284">
        <f ca="1" xml:space="preserve">
IF($A$4&lt;13,
SUMIFS(INDIRECT("ONData["&amp;Tabulka[#Headers]&amp;"]"),ONData[mesic],$A$4,ONData[kat],Tabulka[[#This Row],[kat]]),
SUMIFS(INDIRECT("ONData["&amp;Tabulka[#Headers]&amp;"]"),ONData[kat],Tabulka[[#This Row],[kat]])/MAX(ONData[mesic]))</f>
        <v>0</v>
      </c>
      <c r="G23" s="283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636</v>
      </c>
      <c r="H23" s="282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I23" s="282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J23" s="281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K23" s="282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L23" s="282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M23" s="282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595</v>
      </c>
      <c r="N23" s="281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595</v>
      </c>
      <c r="O23" s="280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106021</v>
      </c>
      <c r="P23" s="287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Q23" s="287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R23" s="288" t="str">
        <f ca="1">IF(Tabulka[[#This Row],[15_vzpl]]=0,"",Tabulka[[#This Row],[14_vzsk]]/Tabulka[[#This Row],[15_vzpl]])</f>
        <v/>
      </c>
      <c r="S23" s="287" t="str">
        <f ca="1">IF(Tabulka[[#This Row],[15_vzpl]]-Tabulka[[#This Row],[14_vzsk]]=0,"",Tabulka[[#This Row],[15_vzpl]]-Tabulka[[#This Row],[14_vzsk]])</f>
        <v/>
      </c>
    </row>
    <row r="24" spans="1:19" x14ac:dyDescent="0.3">
      <c r="A24" t="s">
        <v>242</v>
      </c>
    </row>
    <row r="25" spans="1:19" x14ac:dyDescent="0.3">
      <c r="A25" s="113" t="s">
        <v>156</v>
      </c>
    </row>
    <row r="26" spans="1:19" x14ac:dyDescent="0.3">
      <c r="A26" s="114" t="s">
        <v>212</v>
      </c>
    </row>
    <row r="27" spans="1:19" x14ac:dyDescent="0.3">
      <c r="A27" s="278" t="s">
        <v>211</v>
      </c>
    </row>
    <row r="28" spans="1:19" x14ac:dyDescent="0.3">
      <c r="A28" s="235" t="s">
        <v>184</v>
      </c>
    </row>
    <row r="29" spans="1:19" x14ac:dyDescent="0.3">
      <c r="A29" s="237" t="s">
        <v>189</v>
      </c>
    </row>
  </sheetData>
  <mergeCells count="23">
    <mergeCell ref="A6:B6"/>
    <mergeCell ref="G4:G5"/>
    <mergeCell ref="H4:H5"/>
    <mergeCell ref="I4:I5"/>
    <mergeCell ref="J4:J5"/>
    <mergeCell ref="A4:B4"/>
    <mergeCell ref="C4:C5"/>
    <mergeCell ref="D4:D5"/>
    <mergeCell ref="E4:E5"/>
    <mergeCell ref="F4:F5"/>
    <mergeCell ref="A1:S1"/>
    <mergeCell ref="P4:P5"/>
    <mergeCell ref="Q4:Q5"/>
    <mergeCell ref="R4:R5"/>
    <mergeCell ref="S4:S5"/>
    <mergeCell ref="A5:B5"/>
    <mergeCell ref="K4:N4"/>
    <mergeCell ref="O4:O5"/>
    <mergeCell ref="A3:B3"/>
    <mergeCell ref="C3:F3"/>
    <mergeCell ref="G3:J3"/>
    <mergeCell ref="K3:O3"/>
    <mergeCell ref="P3:S3"/>
  </mergeCells>
  <conditionalFormatting sqref="S6:S23">
    <cfRule type="cellIs" dxfId="4" priority="3" operator="lessThan">
      <formula>0</formula>
    </cfRule>
  </conditionalFormatting>
  <conditionalFormatting sqref="R6:R23">
    <cfRule type="cellIs" dxfId="3" priority="4" operator="greaterThan">
      <formula>1</formula>
    </cfRule>
  </conditionalFormatting>
  <conditionalFormatting sqref="A8:S23">
    <cfRule type="expression" dxfId="2" priority="2">
      <formula>$B8=""</formula>
    </cfRule>
  </conditionalFormatting>
  <conditionalFormatting sqref="P8:S23">
    <cfRule type="expression" dxfId="1" priority="1">
      <formula>$B8&lt;&gt;""</formula>
    </cfRule>
  </conditionalFormatting>
  <dataValidations count="1">
    <dataValidation type="list" allowBlank="1" showInputMessage="1" showErrorMessage="1" sqref="A4:B4">
      <formula1>Obdobi</formula1>
    </dataValidation>
  </dataValidations>
  <hyperlinks>
    <hyperlink ref="A2" location="Obsah!A1" display="Zpět na Obsah  KL 01  1.-4.měsíc"/>
  </hyperlinks>
  <pageMargins left="0.25" right="0.25" top="0.75" bottom="0.75" header="0.3" footer="0.3"/>
  <pageSetup paperSize="9" orientation="landscape" r:id="rId1"/>
  <legacyDrawing r:id="rId2"/>
  <tableParts count="1">
    <tablePart r:id="rId3"/>
  </tableParts>
</worksheet>
</file>

<file path=xl/worksheets/sheet1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List16">
    <tabColor theme="7" tint="0.39997558519241921"/>
  </sheetPr>
  <dimension ref="A1:S71"/>
  <sheetViews>
    <sheetView workbookViewId="0"/>
  </sheetViews>
  <sheetFormatPr defaultRowHeight="14.4" x14ac:dyDescent="0.3"/>
  <cols>
    <col min="1" max="1" width="9.44140625" customWidth="1"/>
    <col min="5" max="5" width="10.21875" customWidth="1"/>
    <col min="6" max="6" width="11" customWidth="1"/>
    <col min="7" max="7" width="11.109375" customWidth="1"/>
    <col min="8" max="8" width="12.109375" customWidth="1"/>
    <col min="9" max="9" width="11.77734375" customWidth="1"/>
    <col min="10" max="10" width="12.77734375" customWidth="1"/>
    <col min="11" max="11" width="12.44140625" customWidth="1"/>
    <col min="12" max="12" width="10.77734375" customWidth="1"/>
    <col min="13" max="13" width="9.44140625" customWidth="1"/>
    <col min="14" max="15" width="9.6640625" customWidth="1"/>
    <col min="16" max="16" width="10" customWidth="1"/>
    <col min="17" max="17" width="9.77734375" customWidth="1"/>
    <col min="18" max="18" width="9.44140625" customWidth="1"/>
    <col min="19" max="19" width="9.21875" customWidth="1"/>
  </cols>
  <sheetData>
    <row r="1" spans="1:19" x14ac:dyDescent="0.3">
      <c r="A1" t="s">
        <v>870</v>
      </c>
    </row>
    <row r="2" spans="1:19" x14ac:dyDescent="0.3">
      <c r="A2" s="232" t="s">
        <v>265</v>
      </c>
    </row>
    <row r="3" spans="1:19" x14ac:dyDescent="0.3">
      <c r="A3" s="324" t="s">
        <v>161</v>
      </c>
      <c r="B3" s="323">
        <v>2018</v>
      </c>
      <c r="C3" t="s">
        <v>241</v>
      </c>
      <c r="D3" t="s">
        <v>232</v>
      </c>
      <c r="E3" t="s">
        <v>230</v>
      </c>
      <c r="F3" t="s">
        <v>229</v>
      </c>
      <c r="G3" t="s">
        <v>228</v>
      </c>
      <c r="H3" t="s">
        <v>227</v>
      </c>
      <c r="I3" t="s">
        <v>226</v>
      </c>
      <c r="J3" t="s">
        <v>225</v>
      </c>
      <c r="K3" t="s">
        <v>224</v>
      </c>
      <c r="L3" t="s">
        <v>223</v>
      </c>
      <c r="M3" t="s">
        <v>222</v>
      </c>
      <c r="N3" t="s">
        <v>221</v>
      </c>
      <c r="O3" t="s">
        <v>220</v>
      </c>
      <c r="P3" t="s">
        <v>219</v>
      </c>
      <c r="Q3" t="s">
        <v>218</v>
      </c>
      <c r="R3" t="s">
        <v>217</v>
      </c>
      <c r="S3" t="s">
        <v>216</v>
      </c>
    </row>
    <row r="4" spans="1:19" x14ac:dyDescent="0.3">
      <c r="A4" s="322" t="s">
        <v>162</v>
      </c>
      <c r="B4" s="321">
        <v>1</v>
      </c>
      <c r="C4" s="316">
        <v>1</v>
      </c>
      <c r="D4" s="316" t="s">
        <v>213</v>
      </c>
      <c r="E4" s="315">
        <v>6.0500000000000007</v>
      </c>
      <c r="F4" s="315"/>
      <c r="G4" s="315"/>
      <c r="H4" s="315"/>
      <c r="I4" s="315">
        <v>1059.2</v>
      </c>
      <c r="J4" s="315"/>
      <c r="K4" s="315"/>
      <c r="L4" s="315">
        <v>25</v>
      </c>
      <c r="M4" s="315"/>
      <c r="N4" s="315"/>
      <c r="O4" s="315"/>
      <c r="P4" s="315"/>
      <c r="Q4" s="315">
        <v>368209</v>
      </c>
      <c r="R4" s="315">
        <v>4550</v>
      </c>
      <c r="S4" s="315">
        <v>1171.206266234112</v>
      </c>
    </row>
    <row r="5" spans="1:19" x14ac:dyDescent="0.3">
      <c r="A5" s="320" t="s">
        <v>163</v>
      </c>
      <c r="B5" s="319">
        <v>2</v>
      </c>
      <c r="C5">
        <v>1</v>
      </c>
      <c r="D5">
        <v>99</v>
      </c>
      <c r="E5">
        <v>3.2</v>
      </c>
      <c r="I5">
        <v>571.20000000000005</v>
      </c>
      <c r="Q5">
        <v>135585</v>
      </c>
      <c r="R5">
        <v>4550</v>
      </c>
      <c r="S5">
        <v>1171.206266234112</v>
      </c>
    </row>
    <row r="6" spans="1:19" x14ac:dyDescent="0.3">
      <c r="A6" s="322" t="s">
        <v>164</v>
      </c>
      <c r="B6" s="321">
        <v>3</v>
      </c>
      <c r="C6">
        <v>1</v>
      </c>
      <c r="D6">
        <v>101</v>
      </c>
      <c r="E6">
        <v>2.85</v>
      </c>
      <c r="I6">
        <v>488</v>
      </c>
      <c r="L6">
        <v>25</v>
      </c>
      <c r="Q6">
        <v>232624</v>
      </c>
    </row>
    <row r="7" spans="1:19" x14ac:dyDescent="0.3">
      <c r="A7" s="320" t="s">
        <v>165</v>
      </c>
      <c r="B7" s="319">
        <v>4</v>
      </c>
      <c r="C7">
        <v>1</v>
      </c>
      <c r="D7" t="s">
        <v>862</v>
      </c>
      <c r="E7">
        <v>10.8</v>
      </c>
      <c r="I7">
        <v>1884</v>
      </c>
      <c r="L7">
        <v>44</v>
      </c>
      <c r="O7">
        <v>3338</v>
      </c>
      <c r="P7">
        <v>3338</v>
      </c>
      <c r="Q7">
        <v>488304</v>
      </c>
      <c r="R7">
        <v>4350</v>
      </c>
      <c r="S7">
        <v>4415.2309320972627</v>
      </c>
    </row>
    <row r="8" spans="1:19" x14ac:dyDescent="0.3">
      <c r="A8" s="322" t="s">
        <v>166</v>
      </c>
      <c r="B8" s="321">
        <v>5</v>
      </c>
      <c r="C8">
        <v>1</v>
      </c>
      <c r="D8">
        <v>526</v>
      </c>
      <c r="E8">
        <v>10.4</v>
      </c>
      <c r="I8">
        <v>1828</v>
      </c>
      <c r="O8">
        <v>3338</v>
      </c>
      <c r="P8">
        <v>3338</v>
      </c>
      <c r="Q8">
        <v>468038</v>
      </c>
      <c r="R8">
        <v>4350</v>
      </c>
      <c r="S8">
        <v>4415.2309320972627</v>
      </c>
    </row>
    <row r="9" spans="1:19" x14ac:dyDescent="0.3">
      <c r="A9" s="320" t="s">
        <v>167</v>
      </c>
      <c r="B9" s="319">
        <v>6</v>
      </c>
      <c r="C9">
        <v>1</v>
      </c>
      <c r="D9">
        <v>746</v>
      </c>
      <c r="E9">
        <v>0.4</v>
      </c>
      <c r="I9">
        <v>56</v>
      </c>
      <c r="L9">
        <v>44</v>
      </c>
      <c r="Q9">
        <v>20266</v>
      </c>
    </row>
    <row r="10" spans="1:19" x14ac:dyDescent="0.3">
      <c r="A10" s="322" t="s">
        <v>168</v>
      </c>
      <c r="B10" s="321">
        <v>7</v>
      </c>
      <c r="C10">
        <v>1</v>
      </c>
      <c r="D10" t="s">
        <v>863</v>
      </c>
      <c r="E10">
        <v>8.6</v>
      </c>
      <c r="I10">
        <v>1328</v>
      </c>
      <c r="K10">
        <v>12</v>
      </c>
      <c r="O10">
        <v>8706</v>
      </c>
      <c r="P10">
        <v>8706</v>
      </c>
      <c r="Q10">
        <v>301118</v>
      </c>
      <c r="S10">
        <v>833.33333333333337</v>
      </c>
    </row>
    <row r="11" spans="1:19" x14ac:dyDescent="0.3">
      <c r="A11" s="320" t="s">
        <v>169</v>
      </c>
      <c r="B11" s="319">
        <v>8</v>
      </c>
      <c r="C11">
        <v>1</v>
      </c>
      <c r="D11">
        <v>303</v>
      </c>
      <c r="S11">
        <v>833.33333333333337</v>
      </c>
    </row>
    <row r="12" spans="1:19" x14ac:dyDescent="0.3">
      <c r="A12" s="322" t="s">
        <v>170</v>
      </c>
      <c r="B12" s="321">
        <v>9</v>
      </c>
      <c r="C12">
        <v>1</v>
      </c>
      <c r="D12">
        <v>304</v>
      </c>
      <c r="E12">
        <v>1.8</v>
      </c>
      <c r="I12">
        <v>316</v>
      </c>
      <c r="K12">
        <v>12</v>
      </c>
      <c r="Q12">
        <v>71246</v>
      </c>
    </row>
    <row r="13" spans="1:19" x14ac:dyDescent="0.3">
      <c r="A13" s="320" t="s">
        <v>171</v>
      </c>
      <c r="B13" s="319">
        <v>10</v>
      </c>
      <c r="C13">
        <v>1</v>
      </c>
      <c r="D13">
        <v>305</v>
      </c>
      <c r="E13">
        <v>1</v>
      </c>
      <c r="I13">
        <v>184</v>
      </c>
      <c r="Q13">
        <v>54960</v>
      </c>
    </row>
    <row r="14" spans="1:19" x14ac:dyDescent="0.3">
      <c r="A14" s="322" t="s">
        <v>172</v>
      </c>
      <c r="B14" s="321">
        <v>11</v>
      </c>
      <c r="C14">
        <v>1</v>
      </c>
      <c r="D14">
        <v>409</v>
      </c>
      <c r="E14">
        <v>4.8</v>
      </c>
      <c r="I14">
        <v>828</v>
      </c>
      <c r="O14">
        <v>8706</v>
      </c>
      <c r="P14">
        <v>8706</v>
      </c>
      <c r="Q14">
        <v>174912</v>
      </c>
    </row>
    <row r="15" spans="1:19" x14ac:dyDescent="0.3">
      <c r="A15" s="320" t="s">
        <v>173</v>
      </c>
      <c r="B15" s="319">
        <v>12</v>
      </c>
      <c r="C15">
        <v>1</v>
      </c>
      <c r="D15">
        <v>642</v>
      </c>
      <c r="E15">
        <v>1</v>
      </c>
    </row>
    <row r="16" spans="1:19" x14ac:dyDescent="0.3">
      <c r="A16" s="318" t="s">
        <v>161</v>
      </c>
      <c r="B16" s="317">
        <v>2018</v>
      </c>
      <c r="C16">
        <v>1</v>
      </c>
      <c r="D16" t="s">
        <v>864</v>
      </c>
      <c r="E16">
        <v>1.8</v>
      </c>
      <c r="I16">
        <v>267.2</v>
      </c>
      <c r="O16">
        <v>594</v>
      </c>
      <c r="P16">
        <v>594</v>
      </c>
      <c r="Q16">
        <v>47153</v>
      </c>
    </row>
    <row r="17" spans="3:19" x14ac:dyDescent="0.3">
      <c r="C17">
        <v>1</v>
      </c>
      <c r="D17">
        <v>30</v>
      </c>
      <c r="E17">
        <v>1.8</v>
      </c>
      <c r="I17">
        <v>267.2</v>
      </c>
      <c r="O17">
        <v>594</v>
      </c>
      <c r="P17">
        <v>594</v>
      </c>
      <c r="Q17">
        <v>47153</v>
      </c>
    </row>
    <row r="18" spans="3:19" x14ac:dyDescent="0.3">
      <c r="C18">
        <v>1</v>
      </c>
      <c r="D18" t="s">
        <v>865</v>
      </c>
      <c r="O18">
        <v>595</v>
      </c>
      <c r="P18">
        <v>595</v>
      </c>
    </row>
    <row r="19" spans="3:19" x14ac:dyDescent="0.3">
      <c r="C19">
        <v>1</v>
      </c>
      <c r="D19">
        <v>310</v>
      </c>
      <c r="O19">
        <v>595</v>
      </c>
      <c r="P19">
        <v>595</v>
      </c>
    </row>
    <row r="20" spans="3:19" x14ac:dyDescent="0.3">
      <c r="C20" t="s">
        <v>866</v>
      </c>
      <c r="E20">
        <v>27.250000000000004</v>
      </c>
      <c r="I20">
        <v>4538.3999999999996</v>
      </c>
      <c r="K20">
        <v>12</v>
      </c>
      <c r="L20">
        <v>69</v>
      </c>
      <c r="O20">
        <v>13233</v>
      </c>
      <c r="P20">
        <v>13233</v>
      </c>
      <c r="Q20">
        <v>1204784</v>
      </c>
      <c r="R20">
        <v>8900</v>
      </c>
      <c r="S20">
        <v>6419.770531664708</v>
      </c>
    </row>
    <row r="21" spans="3:19" x14ac:dyDescent="0.3">
      <c r="C21">
        <v>2</v>
      </c>
      <c r="D21" t="s">
        <v>213</v>
      </c>
      <c r="E21">
        <v>5.25</v>
      </c>
      <c r="I21">
        <v>748</v>
      </c>
      <c r="L21">
        <v>25</v>
      </c>
      <c r="Q21">
        <v>338600</v>
      </c>
      <c r="S21">
        <v>1171.206266234112</v>
      </c>
    </row>
    <row r="22" spans="3:19" x14ac:dyDescent="0.3">
      <c r="C22">
        <v>2</v>
      </c>
      <c r="D22">
        <v>99</v>
      </c>
      <c r="E22">
        <v>2.4</v>
      </c>
      <c r="I22">
        <v>352</v>
      </c>
      <c r="Q22">
        <v>105164</v>
      </c>
      <c r="S22">
        <v>1171.206266234112</v>
      </c>
    </row>
    <row r="23" spans="3:19" x14ac:dyDescent="0.3">
      <c r="C23">
        <v>2</v>
      </c>
      <c r="D23">
        <v>101</v>
      </c>
      <c r="E23">
        <v>2.85</v>
      </c>
      <c r="I23">
        <v>396</v>
      </c>
      <c r="L23">
        <v>25</v>
      </c>
      <c r="Q23">
        <v>233436</v>
      </c>
    </row>
    <row r="24" spans="3:19" x14ac:dyDescent="0.3">
      <c r="C24">
        <v>2</v>
      </c>
      <c r="D24" t="s">
        <v>862</v>
      </c>
      <c r="E24">
        <v>10.8</v>
      </c>
      <c r="I24">
        <v>1440</v>
      </c>
      <c r="L24">
        <v>32</v>
      </c>
      <c r="Q24">
        <v>408972</v>
      </c>
      <c r="S24">
        <v>4415.2309320972627</v>
      </c>
    </row>
    <row r="25" spans="3:19" x14ac:dyDescent="0.3">
      <c r="C25">
        <v>2</v>
      </c>
      <c r="D25">
        <v>526</v>
      </c>
      <c r="E25">
        <v>10.8</v>
      </c>
      <c r="I25">
        <v>1440</v>
      </c>
      <c r="Q25">
        <v>404172</v>
      </c>
      <c r="S25">
        <v>4415.2309320972627</v>
      </c>
    </row>
    <row r="26" spans="3:19" x14ac:dyDescent="0.3">
      <c r="C26">
        <v>2</v>
      </c>
      <c r="D26">
        <v>746</v>
      </c>
      <c r="L26">
        <v>32</v>
      </c>
      <c r="Q26">
        <v>4800</v>
      </c>
    </row>
    <row r="27" spans="3:19" x14ac:dyDescent="0.3">
      <c r="C27">
        <v>2</v>
      </c>
      <c r="D27" t="s">
        <v>863</v>
      </c>
      <c r="E27">
        <v>6.8</v>
      </c>
      <c r="I27">
        <v>972</v>
      </c>
      <c r="K27">
        <v>12</v>
      </c>
      <c r="Q27">
        <v>245450</v>
      </c>
      <c r="R27">
        <v>110</v>
      </c>
      <c r="S27">
        <v>833.33333333333337</v>
      </c>
    </row>
    <row r="28" spans="3:19" x14ac:dyDescent="0.3">
      <c r="C28">
        <v>2</v>
      </c>
      <c r="D28">
        <v>303</v>
      </c>
      <c r="R28">
        <v>110</v>
      </c>
      <c r="S28">
        <v>833.33333333333337</v>
      </c>
    </row>
    <row r="29" spans="3:19" x14ac:dyDescent="0.3">
      <c r="C29">
        <v>2</v>
      </c>
      <c r="D29">
        <v>304</v>
      </c>
      <c r="K29">
        <v>12</v>
      </c>
      <c r="Q29">
        <v>35150</v>
      </c>
    </row>
    <row r="30" spans="3:19" x14ac:dyDescent="0.3">
      <c r="C30">
        <v>2</v>
      </c>
      <c r="D30">
        <v>305</v>
      </c>
      <c r="E30">
        <v>1</v>
      </c>
      <c r="I30">
        <v>160</v>
      </c>
      <c r="Q30">
        <v>54960</v>
      </c>
    </row>
    <row r="31" spans="3:19" x14ac:dyDescent="0.3">
      <c r="C31">
        <v>2</v>
      </c>
      <c r="D31">
        <v>409</v>
      </c>
      <c r="E31">
        <v>4.8</v>
      </c>
      <c r="I31">
        <v>656</v>
      </c>
      <c r="Q31">
        <v>137168</v>
      </c>
    </row>
    <row r="32" spans="3:19" x14ac:dyDescent="0.3">
      <c r="C32">
        <v>2</v>
      </c>
      <c r="D32">
        <v>642</v>
      </c>
      <c r="E32">
        <v>1</v>
      </c>
      <c r="I32">
        <v>156</v>
      </c>
      <c r="Q32">
        <v>18172</v>
      </c>
    </row>
    <row r="33" spans="3:19" x14ac:dyDescent="0.3">
      <c r="C33">
        <v>2</v>
      </c>
      <c r="D33" t="s">
        <v>864</v>
      </c>
      <c r="E33">
        <v>1.8</v>
      </c>
      <c r="I33">
        <v>272</v>
      </c>
      <c r="Q33">
        <v>48165</v>
      </c>
    </row>
    <row r="34" spans="3:19" x14ac:dyDescent="0.3">
      <c r="C34">
        <v>2</v>
      </c>
      <c r="D34">
        <v>30</v>
      </c>
      <c r="E34">
        <v>1.8</v>
      </c>
      <c r="I34">
        <v>272</v>
      </c>
      <c r="Q34">
        <v>48165</v>
      </c>
    </row>
    <row r="35" spans="3:19" x14ac:dyDescent="0.3">
      <c r="C35">
        <v>2</v>
      </c>
      <c r="D35" t="s">
        <v>865</v>
      </c>
      <c r="E35">
        <v>2</v>
      </c>
      <c r="I35">
        <v>316</v>
      </c>
      <c r="Q35">
        <v>35043</v>
      </c>
    </row>
    <row r="36" spans="3:19" x14ac:dyDescent="0.3">
      <c r="C36">
        <v>2</v>
      </c>
      <c r="D36">
        <v>310</v>
      </c>
      <c r="E36">
        <v>2</v>
      </c>
      <c r="I36">
        <v>316</v>
      </c>
      <c r="Q36">
        <v>35043</v>
      </c>
    </row>
    <row r="37" spans="3:19" x14ac:dyDescent="0.3">
      <c r="C37" t="s">
        <v>867</v>
      </c>
      <c r="E37">
        <v>26.650000000000002</v>
      </c>
      <c r="I37">
        <v>3748</v>
      </c>
      <c r="K37">
        <v>12</v>
      </c>
      <c r="L37">
        <v>57</v>
      </c>
      <c r="Q37">
        <v>1076230</v>
      </c>
      <c r="R37">
        <v>110</v>
      </c>
      <c r="S37">
        <v>6419.770531664708</v>
      </c>
    </row>
    <row r="38" spans="3:19" x14ac:dyDescent="0.3">
      <c r="C38">
        <v>3</v>
      </c>
      <c r="D38" t="s">
        <v>213</v>
      </c>
      <c r="E38">
        <v>5.25</v>
      </c>
      <c r="I38">
        <v>847.2</v>
      </c>
      <c r="K38">
        <v>10</v>
      </c>
      <c r="L38">
        <v>25</v>
      </c>
      <c r="Q38">
        <v>330124</v>
      </c>
      <c r="R38">
        <v>5050</v>
      </c>
      <c r="S38">
        <v>1171.206266234112</v>
      </c>
    </row>
    <row r="39" spans="3:19" x14ac:dyDescent="0.3">
      <c r="C39">
        <v>3</v>
      </c>
      <c r="D39">
        <v>99</v>
      </c>
      <c r="E39">
        <v>2.4</v>
      </c>
      <c r="I39">
        <v>379.2</v>
      </c>
      <c r="Q39">
        <v>97881</v>
      </c>
      <c r="R39">
        <v>5050</v>
      </c>
      <c r="S39">
        <v>1171.206266234112</v>
      </c>
    </row>
    <row r="40" spans="3:19" x14ac:dyDescent="0.3">
      <c r="C40">
        <v>3</v>
      </c>
      <c r="D40">
        <v>101</v>
      </c>
      <c r="E40">
        <v>2.85</v>
      </c>
      <c r="I40">
        <v>468</v>
      </c>
      <c r="K40">
        <v>10</v>
      </c>
      <c r="L40">
        <v>25</v>
      </c>
      <c r="Q40">
        <v>232243</v>
      </c>
    </row>
    <row r="41" spans="3:19" x14ac:dyDescent="0.3">
      <c r="C41">
        <v>3</v>
      </c>
      <c r="D41" t="s">
        <v>862</v>
      </c>
      <c r="E41">
        <v>10.8</v>
      </c>
      <c r="I41">
        <v>1716</v>
      </c>
      <c r="L41">
        <v>36</v>
      </c>
      <c r="O41">
        <v>10932</v>
      </c>
      <c r="P41">
        <v>10932</v>
      </c>
      <c r="Q41">
        <v>452342</v>
      </c>
      <c r="R41">
        <v>4650</v>
      </c>
      <c r="S41">
        <v>4415.2309320972627</v>
      </c>
    </row>
    <row r="42" spans="3:19" x14ac:dyDescent="0.3">
      <c r="C42">
        <v>3</v>
      </c>
      <c r="D42">
        <v>526</v>
      </c>
      <c r="E42">
        <v>10.8</v>
      </c>
      <c r="I42">
        <v>1716</v>
      </c>
      <c r="O42">
        <v>10932</v>
      </c>
      <c r="P42">
        <v>10932</v>
      </c>
      <c r="Q42">
        <v>446942</v>
      </c>
      <c r="R42">
        <v>4650</v>
      </c>
      <c r="S42">
        <v>4415.2309320972627</v>
      </c>
    </row>
    <row r="43" spans="3:19" x14ac:dyDescent="0.3">
      <c r="C43">
        <v>3</v>
      </c>
      <c r="D43">
        <v>746</v>
      </c>
      <c r="L43">
        <v>36</v>
      </c>
      <c r="Q43">
        <v>5400</v>
      </c>
    </row>
    <row r="44" spans="3:19" x14ac:dyDescent="0.3">
      <c r="C44">
        <v>3</v>
      </c>
      <c r="D44" t="s">
        <v>863</v>
      </c>
      <c r="E44">
        <v>7.8</v>
      </c>
      <c r="I44">
        <v>1171.2</v>
      </c>
      <c r="O44">
        <v>2000</v>
      </c>
      <c r="P44">
        <v>2000</v>
      </c>
      <c r="Q44">
        <v>270096</v>
      </c>
      <c r="R44">
        <v>300</v>
      </c>
      <c r="S44">
        <v>833.33333333333337</v>
      </c>
    </row>
    <row r="45" spans="3:19" x14ac:dyDescent="0.3">
      <c r="C45">
        <v>3</v>
      </c>
      <c r="D45">
        <v>303</v>
      </c>
      <c r="R45">
        <v>300</v>
      </c>
      <c r="S45">
        <v>833.33333333333337</v>
      </c>
    </row>
    <row r="46" spans="3:19" x14ac:dyDescent="0.3">
      <c r="C46">
        <v>3</v>
      </c>
      <c r="D46">
        <v>304</v>
      </c>
      <c r="E46">
        <v>0.8</v>
      </c>
      <c r="I46">
        <v>112</v>
      </c>
      <c r="Q46">
        <v>32783</v>
      </c>
    </row>
    <row r="47" spans="3:19" x14ac:dyDescent="0.3">
      <c r="C47">
        <v>3</v>
      </c>
      <c r="D47">
        <v>305</v>
      </c>
      <c r="E47">
        <v>1</v>
      </c>
      <c r="I47">
        <v>160</v>
      </c>
      <c r="Q47">
        <v>55582</v>
      </c>
    </row>
    <row r="48" spans="3:19" x14ac:dyDescent="0.3">
      <c r="C48">
        <v>3</v>
      </c>
      <c r="D48">
        <v>409</v>
      </c>
      <c r="E48">
        <v>5</v>
      </c>
      <c r="I48">
        <v>731.2</v>
      </c>
      <c r="O48">
        <v>2000</v>
      </c>
      <c r="P48">
        <v>2000</v>
      </c>
      <c r="Q48">
        <v>163515</v>
      </c>
    </row>
    <row r="49" spans="3:19" x14ac:dyDescent="0.3">
      <c r="C49">
        <v>3</v>
      </c>
      <c r="D49">
        <v>642</v>
      </c>
      <c r="E49">
        <v>1</v>
      </c>
      <c r="I49">
        <v>168</v>
      </c>
      <c r="Q49">
        <v>18216</v>
      </c>
    </row>
    <row r="50" spans="3:19" x14ac:dyDescent="0.3">
      <c r="C50">
        <v>3</v>
      </c>
      <c r="D50" t="s">
        <v>864</v>
      </c>
      <c r="E50">
        <v>1.8</v>
      </c>
      <c r="I50">
        <v>273.60000000000002</v>
      </c>
      <c r="Q50">
        <v>49608</v>
      </c>
    </row>
    <row r="51" spans="3:19" x14ac:dyDescent="0.3">
      <c r="C51">
        <v>3</v>
      </c>
      <c r="D51">
        <v>30</v>
      </c>
      <c r="E51">
        <v>1.8</v>
      </c>
      <c r="I51">
        <v>273.60000000000002</v>
      </c>
      <c r="Q51">
        <v>49608</v>
      </c>
    </row>
    <row r="52" spans="3:19" x14ac:dyDescent="0.3">
      <c r="C52">
        <v>3</v>
      </c>
      <c r="D52" t="s">
        <v>865</v>
      </c>
      <c r="E52">
        <v>1</v>
      </c>
      <c r="I52">
        <v>160</v>
      </c>
      <c r="Q52">
        <v>35501</v>
      </c>
    </row>
    <row r="53" spans="3:19" x14ac:dyDescent="0.3">
      <c r="C53">
        <v>3</v>
      </c>
      <c r="D53">
        <v>310</v>
      </c>
      <c r="E53">
        <v>1</v>
      </c>
      <c r="I53">
        <v>160</v>
      </c>
      <c r="Q53">
        <v>35501</v>
      </c>
    </row>
    <row r="54" spans="3:19" x14ac:dyDescent="0.3">
      <c r="C54" t="s">
        <v>868</v>
      </c>
      <c r="E54">
        <v>26.650000000000002</v>
      </c>
      <c r="I54">
        <v>4168</v>
      </c>
      <c r="K54">
        <v>10</v>
      </c>
      <c r="L54">
        <v>61</v>
      </c>
      <c r="O54">
        <v>12932</v>
      </c>
      <c r="P54">
        <v>12932</v>
      </c>
      <c r="Q54">
        <v>1137671</v>
      </c>
      <c r="R54">
        <v>10000</v>
      </c>
      <c r="S54">
        <v>6419.770531664708</v>
      </c>
    </row>
    <row r="55" spans="3:19" x14ac:dyDescent="0.3">
      <c r="C55">
        <v>4</v>
      </c>
      <c r="D55" t="s">
        <v>213</v>
      </c>
      <c r="E55">
        <v>5.25</v>
      </c>
      <c r="I55">
        <v>846.4</v>
      </c>
      <c r="L55">
        <v>25</v>
      </c>
      <c r="Q55">
        <v>335233</v>
      </c>
      <c r="S55">
        <v>1171.206266234112</v>
      </c>
    </row>
    <row r="56" spans="3:19" x14ac:dyDescent="0.3">
      <c r="C56">
        <v>4</v>
      </c>
      <c r="D56">
        <v>99</v>
      </c>
      <c r="E56">
        <v>2.4</v>
      </c>
      <c r="I56">
        <v>382.4</v>
      </c>
      <c r="Q56">
        <v>105793</v>
      </c>
      <c r="S56">
        <v>1171.206266234112</v>
      </c>
    </row>
    <row r="57" spans="3:19" x14ac:dyDescent="0.3">
      <c r="C57">
        <v>4</v>
      </c>
      <c r="D57">
        <v>101</v>
      </c>
      <c r="E57">
        <v>2.85</v>
      </c>
      <c r="I57">
        <v>464</v>
      </c>
      <c r="L57">
        <v>25</v>
      </c>
      <c r="Q57">
        <v>229440</v>
      </c>
    </row>
    <row r="58" spans="3:19" x14ac:dyDescent="0.3">
      <c r="C58">
        <v>4</v>
      </c>
      <c r="D58" t="s">
        <v>862</v>
      </c>
      <c r="E58">
        <v>10.8</v>
      </c>
      <c r="I58">
        <v>1628</v>
      </c>
      <c r="L58">
        <v>48</v>
      </c>
      <c r="Q58">
        <v>455628</v>
      </c>
      <c r="S58">
        <v>4415.2309320972627</v>
      </c>
    </row>
    <row r="59" spans="3:19" x14ac:dyDescent="0.3">
      <c r="C59">
        <v>4</v>
      </c>
      <c r="D59">
        <v>526</v>
      </c>
      <c r="E59">
        <v>10.8</v>
      </c>
      <c r="I59">
        <v>1628</v>
      </c>
      <c r="Q59">
        <v>448428</v>
      </c>
      <c r="S59">
        <v>4415.2309320972627</v>
      </c>
    </row>
    <row r="60" spans="3:19" x14ac:dyDescent="0.3">
      <c r="C60">
        <v>4</v>
      </c>
      <c r="D60">
        <v>746</v>
      </c>
      <c r="L60">
        <v>48</v>
      </c>
      <c r="Q60">
        <v>7200</v>
      </c>
    </row>
    <row r="61" spans="3:19" x14ac:dyDescent="0.3">
      <c r="C61">
        <v>4</v>
      </c>
      <c r="D61" t="s">
        <v>863</v>
      </c>
      <c r="E61">
        <v>7.8</v>
      </c>
      <c r="I61">
        <v>1208</v>
      </c>
      <c r="K61">
        <v>24</v>
      </c>
      <c r="Q61">
        <v>272310</v>
      </c>
      <c r="S61">
        <v>833.33333333333337</v>
      </c>
    </row>
    <row r="62" spans="3:19" x14ac:dyDescent="0.3">
      <c r="C62">
        <v>4</v>
      </c>
      <c r="D62">
        <v>303</v>
      </c>
      <c r="S62">
        <v>833.33333333333337</v>
      </c>
    </row>
    <row r="63" spans="3:19" x14ac:dyDescent="0.3">
      <c r="C63">
        <v>4</v>
      </c>
      <c r="D63">
        <v>304</v>
      </c>
      <c r="E63">
        <v>0.8</v>
      </c>
      <c r="I63">
        <v>116</v>
      </c>
      <c r="K63">
        <v>24</v>
      </c>
      <c r="Q63">
        <v>38223</v>
      </c>
    </row>
    <row r="64" spans="3:19" x14ac:dyDescent="0.3">
      <c r="C64">
        <v>4</v>
      </c>
      <c r="D64">
        <v>305</v>
      </c>
      <c r="E64">
        <v>1</v>
      </c>
      <c r="I64">
        <v>152</v>
      </c>
      <c r="Q64">
        <v>55240</v>
      </c>
    </row>
    <row r="65" spans="3:19" x14ac:dyDescent="0.3">
      <c r="C65">
        <v>4</v>
      </c>
      <c r="D65">
        <v>409</v>
      </c>
      <c r="E65">
        <v>5</v>
      </c>
      <c r="I65">
        <v>804</v>
      </c>
      <c r="Q65">
        <v>159817</v>
      </c>
    </row>
    <row r="66" spans="3:19" x14ac:dyDescent="0.3">
      <c r="C66">
        <v>4</v>
      </c>
      <c r="D66">
        <v>642</v>
      </c>
      <c r="E66">
        <v>1</v>
      </c>
      <c r="I66">
        <v>136</v>
      </c>
      <c r="Q66">
        <v>19030</v>
      </c>
    </row>
    <row r="67" spans="3:19" x14ac:dyDescent="0.3">
      <c r="C67">
        <v>4</v>
      </c>
      <c r="D67" t="s">
        <v>864</v>
      </c>
      <c r="E67">
        <v>1.8</v>
      </c>
      <c r="I67">
        <v>296</v>
      </c>
      <c r="Q67">
        <v>49412</v>
      </c>
    </row>
    <row r="68" spans="3:19" x14ac:dyDescent="0.3">
      <c r="C68">
        <v>4</v>
      </c>
      <c r="D68">
        <v>30</v>
      </c>
      <c r="E68">
        <v>1.8</v>
      </c>
      <c r="I68">
        <v>296</v>
      </c>
      <c r="Q68">
        <v>49412</v>
      </c>
    </row>
    <row r="69" spans="3:19" x14ac:dyDescent="0.3">
      <c r="C69">
        <v>4</v>
      </c>
      <c r="D69" t="s">
        <v>865</v>
      </c>
      <c r="E69">
        <v>1</v>
      </c>
      <c r="I69">
        <v>160</v>
      </c>
      <c r="Q69">
        <v>35477</v>
      </c>
    </row>
    <row r="70" spans="3:19" x14ac:dyDescent="0.3">
      <c r="C70">
        <v>4</v>
      </c>
      <c r="D70">
        <v>310</v>
      </c>
      <c r="E70">
        <v>1</v>
      </c>
      <c r="I70">
        <v>160</v>
      </c>
      <c r="Q70">
        <v>35477</v>
      </c>
    </row>
    <row r="71" spans="3:19" x14ac:dyDescent="0.3">
      <c r="C71" t="s">
        <v>869</v>
      </c>
      <c r="E71">
        <v>26.650000000000002</v>
      </c>
      <c r="I71">
        <v>4138.3999999999996</v>
      </c>
      <c r="K71">
        <v>24</v>
      </c>
      <c r="L71">
        <v>73</v>
      </c>
      <c r="Q71">
        <v>1148060</v>
      </c>
      <c r="S71">
        <v>6419.770531664708</v>
      </c>
    </row>
  </sheetData>
  <hyperlinks>
    <hyperlink ref="A2" location="Obsah!A1" display="Zpět na Obsah  KL 01  1.-4.měsíc"/>
  </hyperlinks>
  <pageMargins left="0.7" right="0.7" top="0.78740157499999996" bottom="0.78740157499999996" header="0.3" footer="0.3"/>
  <tableParts count="1">
    <tablePart r:id="rId1"/>
  </tableParts>
</worksheet>
</file>

<file path=xl/worksheets/sheet1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List3">
    <tabColor theme="5" tint="0.39997558519241921"/>
    <outlinePr summaryRight="0"/>
    <pageSetUpPr fitToPage="1"/>
  </sheetPr>
  <dimension ref="A1:AB19"/>
  <sheetViews>
    <sheetView showGridLines="0" showRowColHeaders="0" workbookViewId="0">
      <pane ySplit="5" topLeftCell="A6" activePane="bottomLeft" state="frozen"/>
      <selection activeCell="A2" sqref="A2:M2"/>
      <selection pane="bottomLeft" sqref="A1:AB1"/>
    </sheetView>
  </sheetViews>
  <sheetFormatPr defaultRowHeight="14.4" customHeight="1" outlineLevelCol="1" x14ac:dyDescent="0.3"/>
  <cols>
    <col min="1" max="1" width="50" style="129" customWidth="1" collapsed="1"/>
    <col min="2" max="2" width="7.77734375" style="106" hidden="1" customWidth="1" outlineLevel="1"/>
    <col min="3" max="4" width="5.44140625" style="129" hidden="1" customWidth="1"/>
    <col min="5" max="5" width="7.77734375" style="106" customWidth="1"/>
    <col min="6" max="6" width="7.77734375" style="106" hidden="1" customWidth="1"/>
    <col min="7" max="7" width="5.44140625" style="129" hidden="1" customWidth="1"/>
    <col min="8" max="8" width="7.77734375" style="106" customWidth="1" collapsed="1"/>
    <col min="9" max="9" width="7.77734375" style="210" hidden="1" customWidth="1" outlineLevel="1"/>
    <col min="10" max="10" width="7.77734375" style="210" customWidth="1" collapsed="1"/>
    <col min="11" max="12" width="7.77734375" style="106" hidden="1" customWidth="1"/>
    <col min="13" max="13" width="5.44140625" style="129" hidden="1" customWidth="1"/>
    <col min="14" max="14" width="7.77734375" style="106" customWidth="1"/>
    <col min="15" max="15" width="7.77734375" style="106" hidden="1" customWidth="1"/>
    <col min="16" max="16" width="5.44140625" style="129" hidden="1" customWidth="1"/>
    <col min="17" max="17" width="7.77734375" style="106" customWidth="1" collapsed="1"/>
    <col min="18" max="18" width="7.77734375" style="210" hidden="1" customWidth="1" outlineLevel="1"/>
    <col min="19" max="19" width="7.77734375" style="210" customWidth="1" collapsed="1"/>
    <col min="20" max="21" width="7.77734375" style="106" hidden="1" customWidth="1"/>
    <col min="22" max="22" width="5" style="129" hidden="1" customWidth="1"/>
    <col min="23" max="23" width="7.77734375" style="106" customWidth="1"/>
    <col min="24" max="24" width="7.77734375" style="106" hidden="1" customWidth="1"/>
    <col min="25" max="25" width="5" style="129" hidden="1" customWidth="1"/>
    <col min="26" max="26" width="7.77734375" style="106" customWidth="1" collapsed="1"/>
    <col min="27" max="27" width="7.77734375" style="210" hidden="1" customWidth="1" outlineLevel="1"/>
    <col min="28" max="28" width="7.77734375" style="210" customWidth="1" collapsed="1"/>
    <col min="29" max="16384" width="8.88671875" style="129"/>
  </cols>
  <sheetData>
    <row r="1" spans="1:28" ht="18.600000000000001" customHeight="1" thickBot="1" x14ac:dyDescent="0.4">
      <c r="A1" s="438" t="s">
        <v>885</v>
      </c>
      <c r="B1" s="329"/>
      <c r="C1" s="329"/>
      <c r="D1" s="329"/>
      <c r="E1" s="329"/>
      <c r="F1" s="329"/>
      <c r="G1" s="329"/>
      <c r="H1" s="329"/>
      <c r="I1" s="329"/>
      <c r="J1" s="329"/>
      <c r="K1" s="329"/>
      <c r="L1" s="329"/>
      <c r="M1" s="329"/>
      <c r="N1" s="329"/>
      <c r="O1" s="329"/>
      <c r="P1" s="329"/>
      <c r="Q1" s="329"/>
      <c r="R1" s="329"/>
      <c r="S1" s="329"/>
      <c r="T1" s="329"/>
      <c r="U1" s="329"/>
      <c r="V1" s="329"/>
      <c r="W1" s="329"/>
      <c r="X1" s="329"/>
      <c r="Y1" s="329"/>
      <c r="Z1" s="329"/>
      <c r="AA1" s="329"/>
      <c r="AB1" s="329"/>
    </row>
    <row r="2" spans="1:28" ht="14.4" customHeight="1" thickBot="1" x14ac:dyDescent="0.35">
      <c r="A2" s="232" t="s">
        <v>265</v>
      </c>
      <c r="B2" s="111"/>
      <c r="C2" s="111"/>
      <c r="D2" s="111"/>
      <c r="E2" s="111"/>
      <c r="F2" s="111"/>
      <c r="G2" s="111"/>
      <c r="H2" s="111"/>
      <c r="I2" s="227"/>
      <c r="J2" s="227"/>
      <c r="K2" s="111"/>
      <c r="L2" s="111"/>
      <c r="M2" s="111"/>
      <c r="N2" s="111"/>
      <c r="O2" s="111"/>
      <c r="P2" s="111"/>
      <c r="Q2" s="111"/>
      <c r="R2" s="227"/>
      <c r="S2" s="227"/>
      <c r="T2" s="111"/>
      <c r="U2" s="111"/>
      <c r="V2" s="111"/>
      <c r="W2" s="111"/>
      <c r="X2" s="111"/>
      <c r="Y2" s="111"/>
      <c r="Z2" s="111"/>
      <c r="AA2" s="227"/>
      <c r="AB2" s="227"/>
    </row>
    <row r="3" spans="1:28" ht="14.4" customHeight="1" thickBot="1" x14ac:dyDescent="0.35">
      <c r="A3" s="220" t="s">
        <v>127</v>
      </c>
      <c r="B3" s="221">
        <f>SUBTOTAL(9,B6:B1048576)/4</f>
        <v>39621542.829999998</v>
      </c>
      <c r="C3" s="222">
        <f t="shared" ref="C3:Z3" si="0">SUBTOTAL(9,C6:C1048576)</f>
        <v>9</v>
      </c>
      <c r="D3" s="222"/>
      <c r="E3" s="222">
        <f>SUBTOTAL(9,E6:E1048576)/4</f>
        <v>27285144.410000004</v>
      </c>
      <c r="F3" s="222"/>
      <c r="G3" s="222">
        <f t="shared" si="0"/>
        <v>9</v>
      </c>
      <c r="H3" s="222">
        <f>SUBTOTAL(9,H6:H1048576)/4</f>
        <v>13975544.200000001</v>
      </c>
      <c r="I3" s="225">
        <f>IF(B3&lt;&gt;0,H3/B3,"")</f>
        <v>0.35272589611069421</v>
      </c>
      <c r="J3" s="223">
        <f>IF(E3&lt;&gt;0,H3/E3,"")</f>
        <v>0.5122034169948525</v>
      </c>
      <c r="K3" s="224">
        <f t="shared" si="0"/>
        <v>0</v>
      </c>
      <c r="L3" s="224"/>
      <c r="M3" s="222">
        <f t="shared" si="0"/>
        <v>0</v>
      </c>
      <c r="N3" s="222">
        <f t="shared" si="0"/>
        <v>0</v>
      </c>
      <c r="O3" s="222"/>
      <c r="P3" s="222">
        <f t="shared" si="0"/>
        <v>0</v>
      </c>
      <c r="Q3" s="222">
        <f t="shared" si="0"/>
        <v>0</v>
      </c>
      <c r="R3" s="225" t="str">
        <f>IF(K3&lt;&gt;0,Q3/K3,"")</f>
        <v/>
      </c>
      <c r="S3" s="225" t="str">
        <f>IF(N3&lt;&gt;0,Q3/N3,"")</f>
        <v/>
      </c>
      <c r="T3" s="221">
        <f t="shared" si="0"/>
        <v>0</v>
      </c>
      <c r="U3" s="224"/>
      <c r="V3" s="222">
        <f t="shared" si="0"/>
        <v>0</v>
      </c>
      <c r="W3" s="222">
        <f t="shared" si="0"/>
        <v>0</v>
      </c>
      <c r="X3" s="222"/>
      <c r="Y3" s="222">
        <f t="shared" si="0"/>
        <v>0</v>
      </c>
      <c r="Z3" s="222">
        <f t="shared" si="0"/>
        <v>0</v>
      </c>
      <c r="AA3" s="225" t="str">
        <f>IF(T3&lt;&gt;0,Z3/T3,"")</f>
        <v/>
      </c>
      <c r="AB3" s="223" t="str">
        <f>IF(W3&lt;&gt;0,Z3/W3,"")</f>
        <v/>
      </c>
    </row>
    <row r="4" spans="1:28" ht="14.4" customHeight="1" x14ac:dyDescent="0.3">
      <c r="A4" s="439" t="s">
        <v>205</v>
      </c>
      <c r="B4" s="440" t="s">
        <v>98</v>
      </c>
      <c r="C4" s="441"/>
      <c r="D4" s="442"/>
      <c r="E4" s="441"/>
      <c r="F4" s="442"/>
      <c r="G4" s="441"/>
      <c r="H4" s="441"/>
      <c r="I4" s="442"/>
      <c r="J4" s="443"/>
      <c r="K4" s="440" t="s">
        <v>99</v>
      </c>
      <c r="L4" s="442"/>
      <c r="M4" s="441"/>
      <c r="N4" s="441"/>
      <c r="O4" s="442"/>
      <c r="P4" s="441"/>
      <c r="Q4" s="441"/>
      <c r="R4" s="442"/>
      <c r="S4" s="443"/>
      <c r="T4" s="440" t="s">
        <v>100</v>
      </c>
      <c r="U4" s="442"/>
      <c r="V4" s="441"/>
      <c r="W4" s="441"/>
      <c r="X4" s="442"/>
      <c r="Y4" s="441"/>
      <c r="Z4" s="441"/>
      <c r="AA4" s="442"/>
      <c r="AB4" s="443"/>
    </row>
    <row r="5" spans="1:28" ht="14.4" customHeight="1" thickBot="1" x14ac:dyDescent="0.35">
      <c r="A5" s="615"/>
      <c r="B5" s="616">
        <v>2015</v>
      </c>
      <c r="C5" s="617"/>
      <c r="D5" s="617"/>
      <c r="E5" s="617">
        <v>2017</v>
      </c>
      <c r="F5" s="617"/>
      <c r="G5" s="617"/>
      <c r="H5" s="617">
        <v>2018</v>
      </c>
      <c r="I5" s="618" t="s">
        <v>206</v>
      </c>
      <c r="J5" s="619" t="s">
        <v>2</v>
      </c>
      <c r="K5" s="616">
        <v>2015</v>
      </c>
      <c r="L5" s="617"/>
      <c r="M5" s="617"/>
      <c r="N5" s="617">
        <v>2017</v>
      </c>
      <c r="O5" s="617"/>
      <c r="P5" s="617"/>
      <c r="Q5" s="617">
        <v>2018</v>
      </c>
      <c r="R5" s="618" t="s">
        <v>206</v>
      </c>
      <c r="S5" s="619" t="s">
        <v>2</v>
      </c>
      <c r="T5" s="616">
        <v>2015</v>
      </c>
      <c r="U5" s="617"/>
      <c r="V5" s="617"/>
      <c r="W5" s="617">
        <v>2017</v>
      </c>
      <c r="X5" s="617"/>
      <c r="Y5" s="617"/>
      <c r="Z5" s="617">
        <v>2018</v>
      </c>
      <c r="AA5" s="618" t="s">
        <v>206</v>
      </c>
      <c r="AB5" s="619" t="s">
        <v>2</v>
      </c>
    </row>
    <row r="6" spans="1:28" ht="14.4" customHeight="1" x14ac:dyDescent="0.3">
      <c r="A6" s="620" t="s">
        <v>881</v>
      </c>
      <c r="B6" s="621">
        <v>39621542.829999998</v>
      </c>
      <c r="C6" s="622">
        <v>1</v>
      </c>
      <c r="D6" s="622">
        <v>1.4521287567559549</v>
      </c>
      <c r="E6" s="621">
        <v>27285144.410000004</v>
      </c>
      <c r="F6" s="622">
        <v>0.68864416832705166</v>
      </c>
      <c r="G6" s="622">
        <v>1</v>
      </c>
      <c r="H6" s="621">
        <v>13975544.200000003</v>
      </c>
      <c r="I6" s="622">
        <v>0.35272589611069427</v>
      </c>
      <c r="J6" s="622">
        <v>0.51220341699485261</v>
      </c>
      <c r="K6" s="621"/>
      <c r="L6" s="622"/>
      <c r="M6" s="622"/>
      <c r="N6" s="621"/>
      <c r="O6" s="622"/>
      <c r="P6" s="622"/>
      <c r="Q6" s="621"/>
      <c r="R6" s="622"/>
      <c r="S6" s="622"/>
      <c r="T6" s="621"/>
      <c r="U6" s="622"/>
      <c r="V6" s="622"/>
      <c r="W6" s="621"/>
      <c r="X6" s="622"/>
      <c r="Y6" s="622"/>
      <c r="Z6" s="621"/>
      <c r="AA6" s="622"/>
      <c r="AB6" s="623"/>
    </row>
    <row r="7" spans="1:28" ht="14.4" customHeight="1" x14ac:dyDescent="0.3">
      <c r="A7" s="630" t="s">
        <v>882</v>
      </c>
      <c r="B7" s="624">
        <v>74</v>
      </c>
      <c r="C7" s="625">
        <v>1</v>
      </c>
      <c r="D7" s="625">
        <v>2</v>
      </c>
      <c r="E7" s="624">
        <v>37</v>
      </c>
      <c r="F7" s="625">
        <v>0.5</v>
      </c>
      <c r="G7" s="625">
        <v>1</v>
      </c>
      <c r="H7" s="624"/>
      <c r="I7" s="625"/>
      <c r="J7" s="625"/>
      <c r="K7" s="624"/>
      <c r="L7" s="625"/>
      <c r="M7" s="625"/>
      <c r="N7" s="624"/>
      <c r="O7" s="625"/>
      <c r="P7" s="625"/>
      <c r="Q7" s="624"/>
      <c r="R7" s="625"/>
      <c r="S7" s="625"/>
      <c r="T7" s="624"/>
      <c r="U7" s="625"/>
      <c r="V7" s="625"/>
      <c r="W7" s="624"/>
      <c r="X7" s="625"/>
      <c r="Y7" s="625"/>
      <c r="Z7" s="624"/>
      <c r="AA7" s="625"/>
      <c r="AB7" s="626"/>
    </row>
    <row r="8" spans="1:28" ht="14.4" customHeight="1" x14ac:dyDescent="0.3">
      <c r="A8" s="630" t="s">
        <v>883</v>
      </c>
      <c r="B8" s="624">
        <v>2232170.8300000015</v>
      </c>
      <c r="C8" s="625">
        <v>1</v>
      </c>
      <c r="D8" s="625">
        <v>0.94546195647420339</v>
      </c>
      <c r="E8" s="624">
        <v>2360931.410000002</v>
      </c>
      <c r="F8" s="625">
        <v>1.0576840169531292</v>
      </c>
      <c r="G8" s="625">
        <v>1</v>
      </c>
      <c r="H8" s="624">
        <v>2674364.3600000031</v>
      </c>
      <c r="I8" s="625">
        <v>1.1981002188797536</v>
      </c>
      <c r="J8" s="625">
        <v>1.1327581769942232</v>
      </c>
      <c r="K8" s="624"/>
      <c r="L8" s="625"/>
      <c r="M8" s="625"/>
      <c r="N8" s="624"/>
      <c r="O8" s="625"/>
      <c r="P8" s="625"/>
      <c r="Q8" s="624"/>
      <c r="R8" s="625"/>
      <c r="S8" s="625"/>
      <c r="T8" s="624"/>
      <c r="U8" s="625"/>
      <c r="V8" s="625"/>
      <c r="W8" s="624"/>
      <c r="X8" s="625"/>
      <c r="Y8" s="625"/>
      <c r="Z8" s="624"/>
      <c r="AA8" s="625"/>
      <c r="AB8" s="626"/>
    </row>
    <row r="9" spans="1:28" ht="14.4" customHeight="1" thickBot="1" x14ac:dyDescent="0.35">
      <c r="A9" s="631" t="s">
        <v>884</v>
      </c>
      <c r="B9" s="627">
        <v>37389298</v>
      </c>
      <c r="C9" s="628">
        <v>1</v>
      </c>
      <c r="D9" s="628">
        <v>1.5001217291997937</v>
      </c>
      <c r="E9" s="627">
        <v>24924176</v>
      </c>
      <c r="F9" s="628">
        <v>0.66661256919025336</v>
      </c>
      <c r="G9" s="628">
        <v>1</v>
      </c>
      <c r="H9" s="627">
        <v>11301179.84</v>
      </c>
      <c r="I9" s="628">
        <v>0.30225707473833824</v>
      </c>
      <c r="J9" s="628">
        <v>0.45342240561934727</v>
      </c>
      <c r="K9" s="627"/>
      <c r="L9" s="628"/>
      <c r="M9" s="628"/>
      <c r="N9" s="627"/>
      <c r="O9" s="628"/>
      <c r="P9" s="628"/>
      <c r="Q9" s="627"/>
      <c r="R9" s="628"/>
      <c r="S9" s="628"/>
      <c r="T9" s="627"/>
      <c r="U9" s="628"/>
      <c r="V9" s="628"/>
      <c r="W9" s="627"/>
      <c r="X9" s="628"/>
      <c r="Y9" s="628"/>
      <c r="Z9" s="627"/>
      <c r="AA9" s="628"/>
      <c r="AB9" s="629"/>
    </row>
    <row r="10" spans="1:28" ht="14.4" customHeight="1" thickBot="1" x14ac:dyDescent="0.35"/>
    <row r="11" spans="1:28" ht="14.4" customHeight="1" x14ac:dyDescent="0.3">
      <c r="A11" s="620" t="s">
        <v>449</v>
      </c>
      <c r="B11" s="621">
        <v>2232318.8300000015</v>
      </c>
      <c r="C11" s="622">
        <v>1</v>
      </c>
      <c r="D11" s="622">
        <v>0.94550982577526299</v>
      </c>
      <c r="E11" s="621">
        <v>2360968.410000002</v>
      </c>
      <c r="F11" s="622">
        <v>1.0576304684936069</v>
      </c>
      <c r="G11" s="622">
        <v>1</v>
      </c>
      <c r="H11" s="621">
        <v>2674364.3600000031</v>
      </c>
      <c r="I11" s="622">
        <v>1.1980207863049748</v>
      </c>
      <c r="J11" s="623">
        <v>1.1327404249343602</v>
      </c>
    </row>
    <row r="12" spans="1:28" ht="14.4" customHeight="1" x14ac:dyDescent="0.3">
      <c r="A12" s="630" t="s">
        <v>886</v>
      </c>
      <c r="B12" s="624">
        <v>2232096.8300000015</v>
      </c>
      <c r="C12" s="625">
        <v>1</v>
      </c>
      <c r="D12" s="625">
        <v>0.94584565932097797</v>
      </c>
      <c r="E12" s="624">
        <v>2359895.410000002</v>
      </c>
      <c r="F12" s="625">
        <v>1.0572549444461155</v>
      </c>
      <c r="G12" s="625">
        <v>1</v>
      </c>
      <c r="H12" s="624">
        <v>2673883.3600000031</v>
      </c>
      <c r="I12" s="625">
        <v>1.1979244466737589</v>
      </c>
      <c r="J12" s="626">
        <v>1.1330516380808593</v>
      </c>
    </row>
    <row r="13" spans="1:28" ht="14.4" customHeight="1" x14ac:dyDescent="0.3">
      <c r="A13" s="630" t="s">
        <v>887</v>
      </c>
      <c r="B13" s="624">
        <v>222</v>
      </c>
      <c r="C13" s="625">
        <v>1</v>
      </c>
      <c r="D13" s="625">
        <v>0.20689655172413793</v>
      </c>
      <c r="E13" s="624">
        <v>1073</v>
      </c>
      <c r="F13" s="625">
        <v>4.833333333333333</v>
      </c>
      <c r="G13" s="625">
        <v>1</v>
      </c>
      <c r="H13" s="624">
        <v>481</v>
      </c>
      <c r="I13" s="625">
        <v>2.1666666666666665</v>
      </c>
      <c r="J13" s="626">
        <v>0.44827586206896552</v>
      </c>
    </row>
    <row r="14" spans="1:28" ht="14.4" customHeight="1" x14ac:dyDescent="0.3">
      <c r="A14" s="632" t="s">
        <v>454</v>
      </c>
      <c r="B14" s="633">
        <v>37389224</v>
      </c>
      <c r="C14" s="634">
        <v>1</v>
      </c>
      <c r="D14" s="634">
        <v>1.5001187601949209</v>
      </c>
      <c r="E14" s="633">
        <v>24924176</v>
      </c>
      <c r="F14" s="634">
        <v>0.66661388853644032</v>
      </c>
      <c r="G14" s="634">
        <v>1</v>
      </c>
      <c r="H14" s="633">
        <v>11301179.839999998</v>
      </c>
      <c r="I14" s="634">
        <v>0.30225767295946016</v>
      </c>
      <c r="J14" s="635">
        <v>0.45342240561934716</v>
      </c>
    </row>
    <row r="15" spans="1:28" ht="14.4" customHeight="1" thickBot="1" x14ac:dyDescent="0.35">
      <c r="A15" s="631" t="s">
        <v>886</v>
      </c>
      <c r="B15" s="627">
        <v>37389224</v>
      </c>
      <c r="C15" s="628">
        <v>1</v>
      </c>
      <c r="D15" s="628">
        <v>1.5001187601949209</v>
      </c>
      <c r="E15" s="627">
        <v>24924176</v>
      </c>
      <c r="F15" s="628">
        <v>0.66661388853644032</v>
      </c>
      <c r="G15" s="628">
        <v>1</v>
      </c>
      <c r="H15" s="627">
        <v>11301179.839999998</v>
      </c>
      <c r="I15" s="628">
        <v>0.30225767295946016</v>
      </c>
      <c r="J15" s="629">
        <v>0.45342240561934716</v>
      </c>
    </row>
    <row r="16" spans="1:28" ht="14.4" customHeight="1" x14ac:dyDescent="0.3">
      <c r="A16" s="544" t="s">
        <v>242</v>
      </c>
    </row>
    <row r="17" spans="1:1" ht="14.4" customHeight="1" x14ac:dyDescent="0.3">
      <c r="A17" s="545" t="s">
        <v>474</v>
      </c>
    </row>
    <row r="18" spans="1:1" ht="14.4" customHeight="1" x14ac:dyDescent="0.3">
      <c r="A18" s="544" t="s">
        <v>888</v>
      </c>
    </row>
    <row r="19" spans="1:1" ht="14.4" customHeight="1" x14ac:dyDescent="0.3">
      <c r="A19" s="544" t="s">
        <v>889</v>
      </c>
    </row>
  </sheetData>
  <mergeCells count="5">
    <mergeCell ref="A1:AB1"/>
    <mergeCell ref="A4:A5"/>
    <mergeCell ref="B4:J4"/>
    <mergeCell ref="K4:S4"/>
    <mergeCell ref="T4:AB4"/>
  </mergeCells>
  <conditionalFormatting sqref="J4:J1048576">
    <cfRule type="cellIs" dxfId="0" priority="4" stopIfTrue="1" operator="lessThan">
      <formula>0.95</formula>
    </cfRule>
  </conditionalFormatting>
  <hyperlinks>
    <hyperlink ref="A2" location="Obsah!A1" display="Zpět na Obsah  KL 01  1.-4.měsíc"/>
  </hyperlinks>
  <pageMargins left="0.25" right="0.25" top="0.75" bottom="0.75" header="0.3" footer="0.3"/>
  <pageSetup paperSize="9" fitToHeight="0" orientation="landscape" r:id="rId1"/>
  <ignoredErrors>
    <ignoredError sqref="K3 N3 Q3 T3 W3 Z3 B3 E3 H3" formulaRange="1"/>
  </ignoredErrors>
</worksheet>
</file>

<file path=xl/worksheets/sheet2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List57">
    <tabColor theme="0" tint="-0.249977111117893"/>
    <pageSetUpPr fitToPage="1"/>
  </sheetPr>
  <dimension ref="A1:G10"/>
  <sheetViews>
    <sheetView showGridLines="0" showRowColHeaders="0" workbookViewId="0">
      <pane ySplit="5" topLeftCell="A6" activePane="bottomLeft" state="frozen"/>
      <selection activeCell="A2" sqref="A2:M2"/>
      <selection pane="bottomLeft" sqref="A1:G1"/>
    </sheetView>
  </sheetViews>
  <sheetFormatPr defaultRowHeight="14.4" customHeight="1" outlineLevelCol="1" x14ac:dyDescent="0.3"/>
  <cols>
    <col min="1" max="1" width="46.6640625" style="129" bestFit="1" customWidth="1"/>
    <col min="2" max="2" width="7.77734375" style="207" hidden="1" customWidth="1" outlineLevel="1"/>
    <col min="3" max="3" width="7.77734375" style="207" customWidth="1" collapsed="1"/>
    <col min="4" max="4" width="7.77734375" style="207" customWidth="1"/>
    <col min="5" max="5" width="7.77734375" style="106" hidden="1" customWidth="1" outlineLevel="1"/>
    <col min="6" max="6" width="7.77734375" style="106" customWidth="1" collapsed="1"/>
    <col min="7" max="7" width="7.77734375" style="106" customWidth="1"/>
    <col min="8" max="16384" width="8.88671875" style="129"/>
  </cols>
  <sheetData>
    <row r="1" spans="1:7" ht="18.600000000000001" customHeight="1" thickBot="1" x14ac:dyDescent="0.4">
      <c r="A1" s="438" t="s">
        <v>891</v>
      </c>
      <c r="B1" s="329"/>
      <c r="C1" s="329"/>
      <c r="D1" s="329"/>
      <c r="E1" s="329"/>
      <c r="F1" s="329"/>
      <c r="G1" s="329"/>
    </row>
    <row r="2" spans="1:7" ht="14.4" customHeight="1" thickBot="1" x14ac:dyDescent="0.35">
      <c r="A2" s="232" t="s">
        <v>265</v>
      </c>
      <c r="B2" s="111"/>
      <c r="C2" s="111"/>
      <c r="D2" s="111"/>
      <c r="E2" s="111"/>
      <c r="F2" s="111"/>
      <c r="G2" s="111"/>
    </row>
    <row r="3" spans="1:7" ht="14.4" customHeight="1" thickBot="1" x14ac:dyDescent="0.35">
      <c r="A3" s="273" t="s">
        <v>127</v>
      </c>
      <c r="B3" s="259">
        <f t="shared" ref="B3:G3" si="0">SUBTOTAL(9,B6:B1048576)</f>
        <v>21692</v>
      </c>
      <c r="C3" s="260">
        <f t="shared" si="0"/>
        <v>14475</v>
      </c>
      <c r="D3" s="272">
        <f t="shared" si="0"/>
        <v>7396</v>
      </c>
      <c r="E3" s="224">
        <f t="shared" si="0"/>
        <v>39621542.829999954</v>
      </c>
      <c r="F3" s="222">
        <f t="shared" si="0"/>
        <v>27285144.409999989</v>
      </c>
      <c r="G3" s="261">
        <f t="shared" si="0"/>
        <v>13975544.200000005</v>
      </c>
    </row>
    <row r="4" spans="1:7" ht="14.4" customHeight="1" x14ac:dyDescent="0.3">
      <c r="A4" s="439" t="s">
        <v>134</v>
      </c>
      <c r="B4" s="444" t="s">
        <v>203</v>
      </c>
      <c r="C4" s="442"/>
      <c r="D4" s="445"/>
      <c r="E4" s="444" t="s">
        <v>98</v>
      </c>
      <c r="F4" s="442"/>
      <c r="G4" s="445"/>
    </row>
    <row r="5" spans="1:7" ht="14.4" customHeight="1" thickBot="1" x14ac:dyDescent="0.35">
      <c r="A5" s="615"/>
      <c r="B5" s="616">
        <v>2015</v>
      </c>
      <c r="C5" s="617">
        <v>2017</v>
      </c>
      <c r="D5" s="636">
        <v>2018</v>
      </c>
      <c r="E5" s="616">
        <v>2015</v>
      </c>
      <c r="F5" s="617">
        <v>2017</v>
      </c>
      <c r="G5" s="636">
        <v>2018</v>
      </c>
    </row>
    <row r="6" spans="1:7" ht="14.4" customHeight="1" x14ac:dyDescent="0.3">
      <c r="A6" s="603" t="s">
        <v>886</v>
      </c>
      <c r="B6" s="116">
        <v>21689</v>
      </c>
      <c r="C6" s="116">
        <v>14451</v>
      </c>
      <c r="D6" s="116">
        <v>7389</v>
      </c>
      <c r="E6" s="637">
        <v>39621320.829999954</v>
      </c>
      <c r="F6" s="637">
        <v>27284071.409999989</v>
      </c>
      <c r="G6" s="638">
        <v>13975063.200000005</v>
      </c>
    </row>
    <row r="7" spans="1:7" ht="14.4" customHeight="1" thickBot="1" x14ac:dyDescent="0.35">
      <c r="A7" s="641" t="s">
        <v>890</v>
      </c>
      <c r="B7" s="594">
        <v>3</v>
      </c>
      <c r="C7" s="594">
        <v>24</v>
      </c>
      <c r="D7" s="594">
        <v>7</v>
      </c>
      <c r="E7" s="639">
        <v>222</v>
      </c>
      <c r="F7" s="639">
        <v>1073</v>
      </c>
      <c r="G7" s="640">
        <v>481</v>
      </c>
    </row>
    <row r="8" spans="1:7" ht="14.4" customHeight="1" x14ac:dyDescent="0.3">
      <c r="A8" s="544" t="s">
        <v>242</v>
      </c>
    </row>
    <row r="9" spans="1:7" ht="14.4" customHeight="1" x14ac:dyDescent="0.3">
      <c r="A9" s="545" t="s">
        <v>474</v>
      </c>
    </row>
    <row r="10" spans="1:7" ht="14.4" customHeight="1" x14ac:dyDescent="0.3">
      <c r="A10" s="544" t="s">
        <v>888</v>
      </c>
    </row>
  </sheetData>
  <autoFilter ref="A4:A5"/>
  <mergeCells count="4">
    <mergeCell ref="A1:G1"/>
    <mergeCell ref="A4:A5"/>
    <mergeCell ref="B4:D4"/>
    <mergeCell ref="E4:G4"/>
  </mergeCells>
  <conditionalFormatting sqref="D6:D1048576">
    <cfRule type="dataBar" priority="3">
      <dataBar>
        <cfvo type="min"/>
        <cfvo type="max"/>
        <color theme="3" tint="0.39997558519241921"/>
      </dataBar>
      <extLst>
        <ext xmlns:x14="http://schemas.microsoft.com/office/spreadsheetml/2009/9/main" uri="{B025F937-C7B1-47D3-B67F-A62EFF666E3E}">
          <x14:id>{F3BF975A-B032-4C58-A0E0-75CB633454E1}</x14:id>
        </ext>
      </extLst>
    </cfRule>
  </conditionalFormatting>
  <conditionalFormatting sqref="G6:G1048576">
    <cfRule type="dataBar" priority="2">
      <dataBar>
        <cfvo type="min"/>
        <cfvo type="max"/>
        <color theme="3" tint="0.39997558519241921"/>
      </dataBar>
      <extLst>
        <ext xmlns:x14="http://schemas.microsoft.com/office/spreadsheetml/2009/9/main" uri="{B025F937-C7B1-47D3-B67F-A62EFF666E3E}">
          <x14:id>{7FB33817-9FF7-418A-9ACC-D9997C12EA29}</x14:id>
        </ext>
      </extLst>
    </cfRule>
  </conditionalFormatting>
  <hyperlinks>
    <hyperlink ref="A2" location="Obsah!A1" display="Zpět na Obsah  KL 01  1.-4.měsíc"/>
  </hyperlinks>
  <pageMargins left="0.25" right="0.25" top="0.75" bottom="0.75" header="0.3" footer="0.3"/>
  <pageSetup paperSize="9" fitToHeight="0" orientation="landscape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dataBar" id="{F3BF975A-B032-4C58-A0E0-75CB633454E1}">
            <x14:dataBar minLength="0" maxLength="100">
              <x14:cfvo type="autoMin"/>
              <x14:cfvo type="autoMax"/>
              <x14:negativeFillColor rgb="FFFF0000"/>
              <x14:axisColor rgb="FF000000"/>
            </x14:dataBar>
          </x14:cfRule>
          <xm:sqref>D6:D1048576</xm:sqref>
        </x14:conditionalFormatting>
        <x14:conditionalFormatting xmlns:xm="http://schemas.microsoft.com/office/excel/2006/main">
          <x14:cfRule type="dataBar" id="{7FB33817-9FF7-418A-9ACC-D9997C12EA29}">
            <x14:dataBar minLength="0" maxLength="100">
              <x14:cfvo type="autoMin"/>
              <x14:cfvo type="autoMax"/>
              <x14:negativeFillColor rgb="FFFF0000"/>
              <x14:axisColor rgb="FF000000"/>
            </x14:dataBar>
          </x14:cfRule>
          <xm:sqref>G6:G1048576</xm:sqref>
        </x14:conditionalFormatting>
      </x14:conditionalFormattings>
    </ext>
  </extLst>
</worksheet>
</file>

<file path=xl/worksheets/sheet2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List2">
    <tabColor theme="0" tint="-0.249977111117893"/>
    <outlinePr summaryRight="0"/>
    <pageSetUpPr fitToPage="1"/>
  </sheetPr>
  <dimension ref="A1:R57"/>
  <sheetViews>
    <sheetView showGridLines="0" showRowColHeaders="0" workbookViewId="0">
      <pane ySplit="5" topLeftCell="A6" activePane="bottomLeft" state="frozen"/>
      <selection activeCell="U26" sqref="U26"/>
      <selection pane="bottomLeft" sqref="A1:R1"/>
    </sheetView>
  </sheetViews>
  <sheetFormatPr defaultRowHeight="14.4" customHeight="1" outlineLevelCol="1" x14ac:dyDescent="0.3"/>
  <cols>
    <col min="1" max="1" width="3.33203125" style="129" customWidth="1"/>
    <col min="2" max="2" width="8.6640625" style="129" bestFit="1" customWidth="1"/>
    <col min="3" max="3" width="6.109375" style="129" customWidth="1"/>
    <col min="4" max="4" width="2.109375" style="129" bestFit="1" customWidth="1"/>
    <col min="5" max="5" width="8" style="129" customWidth="1"/>
    <col min="6" max="6" width="50.88671875" style="129" bestFit="1" customWidth="1" collapsed="1"/>
    <col min="7" max="8" width="11.109375" style="207" hidden="1" customWidth="1" outlineLevel="1"/>
    <col min="9" max="10" width="9.33203125" style="129" hidden="1" customWidth="1"/>
    <col min="11" max="12" width="11.109375" style="207" customWidth="1"/>
    <col min="13" max="14" width="9.33203125" style="129" hidden="1" customWidth="1"/>
    <col min="15" max="16" width="11.109375" style="207" customWidth="1"/>
    <col min="17" max="17" width="11.109375" style="210" customWidth="1"/>
    <col min="18" max="18" width="11.109375" style="207" customWidth="1"/>
    <col min="19" max="16384" width="8.88671875" style="129"/>
  </cols>
  <sheetData>
    <row r="1" spans="1:18" ht="18.600000000000001" customHeight="1" thickBot="1" x14ac:dyDescent="0.4">
      <c r="A1" s="329" t="s">
        <v>992</v>
      </c>
      <c r="B1" s="361"/>
      <c r="C1" s="361"/>
      <c r="D1" s="361"/>
      <c r="E1" s="361"/>
      <c r="F1" s="361"/>
      <c r="G1" s="361"/>
      <c r="H1" s="361"/>
      <c r="I1" s="361"/>
      <c r="J1" s="361"/>
      <c r="K1" s="361"/>
      <c r="L1" s="361"/>
      <c r="M1" s="361"/>
      <c r="N1" s="361"/>
      <c r="O1" s="361"/>
      <c r="P1" s="361"/>
      <c r="Q1" s="361"/>
      <c r="R1" s="361"/>
    </row>
    <row r="2" spans="1:18" ht="14.4" customHeight="1" thickBot="1" x14ac:dyDescent="0.35">
      <c r="A2" s="232" t="s">
        <v>265</v>
      </c>
      <c r="B2" s="197"/>
      <c r="C2" s="197"/>
      <c r="D2" s="111"/>
      <c r="E2" s="111"/>
      <c r="F2" s="111"/>
      <c r="G2" s="230"/>
      <c r="H2" s="230"/>
      <c r="I2" s="111"/>
      <c r="J2" s="111"/>
      <c r="K2" s="230"/>
      <c r="L2" s="230"/>
      <c r="M2" s="111"/>
      <c r="N2" s="111"/>
      <c r="O2" s="230"/>
      <c r="P2" s="230"/>
      <c r="Q2" s="227"/>
      <c r="R2" s="230"/>
    </row>
    <row r="3" spans="1:18" ht="14.4" customHeight="1" thickBot="1" x14ac:dyDescent="0.35">
      <c r="F3" s="87" t="s">
        <v>127</v>
      </c>
      <c r="G3" s="102">
        <f t="shared" ref="G3:P3" si="0">SUBTOTAL(9,G6:G1048576)</f>
        <v>21692</v>
      </c>
      <c r="H3" s="103">
        <f t="shared" si="0"/>
        <v>39621542.829999998</v>
      </c>
      <c r="I3" s="74"/>
      <c r="J3" s="74"/>
      <c r="K3" s="103">
        <f t="shared" si="0"/>
        <v>14475</v>
      </c>
      <c r="L3" s="103">
        <f t="shared" si="0"/>
        <v>27285144.41</v>
      </c>
      <c r="M3" s="74"/>
      <c r="N3" s="74"/>
      <c r="O3" s="103">
        <f t="shared" si="0"/>
        <v>7396</v>
      </c>
      <c r="P3" s="103">
        <f t="shared" si="0"/>
        <v>13975544.199999999</v>
      </c>
      <c r="Q3" s="75">
        <f>IF(L3=0,0,P3/L3)</f>
        <v>0.5122034169948525</v>
      </c>
      <c r="R3" s="104">
        <f>IF(O3=0,0,P3/O3)</f>
        <v>1889.6084640346132</v>
      </c>
    </row>
    <row r="4" spans="1:18" ht="14.4" customHeight="1" x14ac:dyDescent="0.3">
      <c r="A4" s="446" t="s">
        <v>207</v>
      </c>
      <c r="B4" s="446" t="s">
        <v>94</v>
      </c>
      <c r="C4" s="454" t="s">
        <v>0</v>
      </c>
      <c r="D4" s="448" t="s">
        <v>95</v>
      </c>
      <c r="E4" s="453" t="s">
        <v>70</v>
      </c>
      <c r="F4" s="449" t="s">
        <v>69</v>
      </c>
      <c r="G4" s="450">
        <v>2015</v>
      </c>
      <c r="H4" s="451"/>
      <c r="I4" s="101"/>
      <c r="J4" s="101"/>
      <c r="K4" s="450">
        <v>2017</v>
      </c>
      <c r="L4" s="451"/>
      <c r="M4" s="101"/>
      <c r="N4" s="101"/>
      <c r="O4" s="450">
        <v>2018</v>
      </c>
      <c r="P4" s="451"/>
      <c r="Q4" s="452" t="s">
        <v>2</v>
      </c>
      <c r="R4" s="447" t="s">
        <v>97</v>
      </c>
    </row>
    <row r="5" spans="1:18" ht="14.4" customHeight="1" thickBot="1" x14ac:dyDescent="0.35">
      <c r="A5" s="642"/>
      <c r="B5" s="642"/>
      <c r="C5" s="643"/>
      <c r="D5" s="644"/>
      <c r="E5" s="645"/>
      <c r="F5" s="646"/>
      <c r="G5" s="647" t="s">
        <v>71</v>
      </c>
      <c r="H5" s="648" t="s">
        <v>14</v>
      </c>
      <c r="I5" s="649"/>
      <c r="J5" s="649"/>
      <c r="K5" s="647" t="s">
        <v>71</v>
      </c>
      <c r="L5" s="648" t="s">
        <v>14</v>
      </c>
      <c r="M5" s="649"/>
      <c r="N5" s="649"/>
      <c r="O5" s="647" t="s">
        <v>71</v>
      </c>
      <c r="P5" s="648" t="s">
        <v>14</v>
      </c>
      <c r="Q5" s="650"/>
      <c r="R5" s="651"/>
    </row>
    <row r="6" spans="1:18" ht="14.4" customHeight="1" x14ac:dyDescent="0.3">
      <c r="A6" s="564" t="s">
        <v>892</v>
      </c>
      <c r="B6" s="565" t="s">
        <v>893</v>
      </c>
      <c r="C6" s="565" t="s">
        <v>449</v>
      </c>
      <c r="D6" s="565" t="s">
        <v>894</v>
      </c>
      <c r="E6" s="565" t="s">
        <v>895</v>
      </c>
      <c r="F6" s="565" t="s">
        <v>896</v>
      </c>
      <c r="G6" s="116"/>
      <c r="H6" s="116"/>
      <c r="I6" s="565"/>
      <c r="J6" s="565"/>
      <c r="K6" s="116">
        <v>1</v>
      </c>
      <c r="L6" s="116">
        <v>37</v>
      </c>
      <c r="M6" s="565">
        <v>1</v>
      </c>
      <c r="N6" s="565">
        <v>37</v>
      </c>
      <c r="O6" s="116"/>
      <c r="P6" s="116"/>
      <c r="Q6" s="570"/>
      <c r="R6" s="591"/>
    </row>
    <row r="7" spans="1:18" ht="14.4" customHeight="1" x14ac:dyDescent="0.3">
      <c r="A7" s="571" t="s">
        <v>892</v>
      </c>
      <c r="B7" s="572" t="s">
        <v>893</v>
      </c>
      <c r="C7" s="572" t="s">
        <v>449</v>
      </c>
      <c r="D7" s="572" t="s">
        <v>894</v>
      </c>
      <c r="E7" s="572" t="s">
        <v>897</v>
      </c>
      <c r="F7" s="572" t="s">
        <v>898</v>
      </c>
      <c r="G7" s="592">
        <v>1</v>
      </c>
      <c r="H7" s="592">
        <v>74</v>
      </c>
      <c r="I7" s="572"/>
      <c r="J7" s="572">
        <v>74</v>
      </c>
      <c r="K7" s="592"/>
      <c r="L7" s="592"/>
      <c r="M7" s="572"/>
      <c r="N7" s="572"/>
      <c r="O7" s="592"/>
      <c r="P7" s="592"/>
      <c r="Q7" s="577"/>
      <c r="R7" s="593"/>
    </row>
    <row r="8" spans="1:18" ht="14.4" customHeight="1" x14ac:dyDescent="0.3">
      <c r="A8" s="571" t="s">
        <v>892</v>
      </c>
      <c r="B8" s="572" t="s">
        <v>899</v>
      </c>
      <c r="C8" s="572" t="s">
        <v>449</v>
      </c>
      <c r="D8" s="572" t="s">
        <v>894</v>
      </c>
      <c r="E8" s="572" t="s">
        <v>900</v>
      </c>
      <c r="F8" s="572" t="s">
        <v>901</v>
      </c>
      <c r="G8" s="592">
        <v>50</v>
      </c>
      <c r="H8" s="592">
        <v>3300</v>
      </c>
      <c r="I8" s="572">
        <v>1.3157894736842106</v>
      </c>
      <c r="J8" s="572">
        <v>66</v>
      </c>
      <c r="K8" s="592">
        <v>38</v>
      </c>
      <c r="L8" s="592">
        <v>2508</v>
      </c>
      <c r="M8" s="572">
        <v>1</v>
      </c>
      <c r="N8" s="572">
        <v>66</v>
      </c>
      <c r="O8" s="592">
        <v>35</v>
      </c>
      <c r="P8" s="592">
        <v>2310</v>
      </c>
      <c r="Q8" s="577">
        <v>0.92105263157894735</v>
      </c>
      <c r="R8" s="593">
        <v>66</v>
      </c>
    </row>
    <row r="9" spans="1:18" ht="14.4" customHeight="1" x14ac:dyDescent="0.3">
      <c r="A9" s="571" t="s">
        <v>892</v>
      </c>
      <c r="B9" s="572" t="s">
        <v>899</v>
      </c>
      <c r="C9" s="572" t="s">
        <v>449</v>
      </c>
      <c r="D9" s="572" t="s">
        <v>894</v>
      </c>
      <c r="E9" s="572" t="s">
        <v>895</v>
      </c>
      <c r="F9" s="572" t="s">
        <v>896</v>
      </c>
      <c r="G9" s="592">
        <v>116</v>
      </c>
      <c r="H9" s="592">
        <v>4292</v>
      </c>
      <c r="I9" s="572">
        <v>1.1717171717171717</v>
      </c>
      <c r="J9" s="572">
        <v>37</v>
      </c>
      <c r="K9" s="592">
        <v>99</v>
      </c>
      <c r="L9" s="592">
        <v>3663</v>
      </c>
      <c r="M9" s="572">
        <v>1</v>
      </c>
      <c r="N9" s="572">
        <v>37</v>
      </c>
      <c r="O9" s="592">
        <v>95</v>
      </c>
      <c r="P9" s="592">
        <v>3515</v>
      </c>
      <c r="Q9" s="577">
        <v>0.95959595959595956</v>
      </c>
      <c r="R9" s="593">
        <v>37</v>
      </c>
    </row>
    <row r="10" spans="1:18" ht="14.4" customHeight="1" x14ac:dyDescent="0.3">
      <c r="A10" s="571" t="s">
        <v>892</v>
      </c>
      <c r="B10" s="572" t="s">
        <v>899</v>
      </c>
      <c r="C10" s="572" t="s">
        <v>449</v>
      </c>
      <c r="D10" s="572" t="s">
        <v>894</v>
      </c>
      <c r="E10" s="572" t="s">
        <v>902</v>
      </c>
      <c r="F10" s="572" t="s">
        <v>903</v>
      </c>
      <c r="G10" s="592">
        <v>320</v>
      </c>
      <c r="H10" s="592">
        <v>792960</v>
      </c>
      <c r="I10" s="572">
        <v>0.8931338979996396</v>
      </c>
      <c r="J10" s="572">
        <v>2478</v>
      </c>
      <c r="K10" s="592">
        <v>358</v>
      </c>
      <c r="L10" s="592">
        <v>887840</v>
      </c>
      <c r="M10" s="572">
        <v>1</v>
      </c>
      <c r="N10" s="572">
        <v>2480</v>
      </c>
      <c r="O10" s="592">
        <v>382</v>
      </c>
      <c r="P10" s="592">
        <v>948506</v>
      </c>
      <c r="Q10" s="577">
        <v>1.068329879257524</v>
      </c>
      <c r="R10" s="593">
        <v>2483</v>
      </c>
    </row>
    <row r="11" spans="1:18" ht="14.4" customHeight="1" x14ac:dyDescent="0.3">
      <c r="A11" s="571" t="s">
        <v>892</v>
      </c>
      <c r="B11" s="572" t="s">
        <v>899</v>
      </c>
      <c r="C11" s="572" t="s">
        <v>449</v>
      </c>
      <c r="D11" s="572" t="s">
        <v>894</v>
      </c>
      <c r="E11" s="572" t="s">
        <v>904</v>
      </c>
      <c r="F11" s="572" t="s">
        <v>905</v>
      </c>
      <c r="G11" s="592">
        <v>8</v>
      </c>
      <c r="H11" s="592">
        <v>2768</v>
      </c>
      <c r="I11" s="572">
        <v>1.994236311239193</v>
      </c>
      <c r="J11" s="572">
        <v>346</v>
      </c>
      <c r="K11" s="592">
        <v>4</v>
      </c>
      <c r="L11" s="592">
        <v>1388</v>
      </c>
      <c r="M11" s="572">
        <v>1</v>
      </c>
      <c r="N11" s="572">
        <v>347</v>
      </c>
      <c r="O11" s="592">
        <v>73</v>
      </c>
      <c r="P11" s="592">
        <v>25331</v>
      </c>
      <c r="Q11" s="577">
        <v>18.25</v>
      </c>
      <c r="R11" s="593">
        <v>347</v>
      </c>
    </row>
    <row r="12" spans="1:18" ht="14.4" customHeight="1" x14ac:dyDescent="0.3">
      <c r="A12" s="571" t="s">
        <v>892</v>
      </c>
      <c r="B12" s="572" t="s">
        <v>899</v>
      </c>
      <c r="C12" s="572" t="s">
        <v>449</v>
      </c>
      <c r="D12" s="572" t="s">
        <v>894</v>
      </c>
      <c r="E12" s="572" t="s">
        <v>906</v>
      </c>
      <c r="F12" s="572" t="s">
        <v>907</v>
      </c>
      <c r="G12" s="592">
        <v>682</v>
      </c>
      <c r="H12" s="592">
        <v>238700</v>
      </c>
      <c r="I12" s="572">
        <v>1.0119895536562202</v>
      </c>
      <c r="J12" s="572">
        <v>350</v>
      </c>
      <c r="K12" s="592">
        <v>672</v>
      </c>
      <c r="L12" s="592">
        <v>235872</v>
      </c>
      <c r="M12" s="572">
        <v>1</v>
      </c>
      <c r="N12" s="572">
        <v>351</v>
      </c>
      <c r="O12" s="592">
        <v>773</v>
      </c>
      <c r="P12" s="592">
        <v>271323</v>
      </c>
      <c r="Q12" s="577">
        <v>1.1502976190476191</v>
      </c>
      <c r="R12" s="593">
        <v>351</v>
      </c>
    </row>
    <row r="13" spans="1:18" ht="14.4" customHeight="1" x14ac:dyDescent="0.3">
      <c r="A13" s="571" t="s">
        <v>892</v>
      </c>
      <c r="B13" s="572" t="s">
        <v>899</v>
      </c>
      <c r="C13" s="572" t="s">
        <v>449</v>
      </c>
      <c r="D13" s="572" t="s">
        <v>894</v>
      </c>
      <c r="E13" s="572" t="s">
        <v>908</v>
      </c>
      <c r="F13" s="572" t="s">
        <v>909</v>
      </c>
      <c r="G13" s="592">
        <v>660</v>
      </c>
      <c r="H13" s="592">
        <v>21999.830000000013</v>
      </c>
      <c r="I13" s="572">
        <v>0.44654826686174132</v>
      </c>
      <c r="J13" s="572">
        <v>33.333075757575777</v>
      </c>
      <c r="K13" s="592">
        <v>1478</v>
      </c>
      <c r="L13" s="592">
        <v>49266.410000000113</v>
      </c>
      <c r="M13" s="572">
        <v>1</v>
      </c>
      <c r="N13" s="572">
        <v>33.333159675236885</v>
      </c>
      <c r="O13" s="592">
        <v>1682</v>
      </c>
      <c r="P13" s="592">
        <v>56066.36000000011</v>
      </c>
      <c r="Q13" s="577">
        <v>1.1380240614244062</v>
      </c>
      <c r="R13" s="593">
        <v>33.333151010701613</v>
      </c>
    </row>
    <row r="14" spans="1:18" ht="14.4" customHeight="1" x14ac:dyDescent="0.3">
      <c r="A14" s="571" t="s">
        <v>892</v>
      </c>
      <c r="B14" s="572" t="s">
        <v>899</v>
      </c>
      <c r="C14" s="572" t="s">
        <v>449</v>
      </c>
      <c r="D14" s="572" t="s">
        <v>894</v>
      </c>
      <c r="E14" s="572" t="s">
        <v>910</v>
      </c>
      <c r="F14" s="572" t="s">
        <v>911</v>
      </c>
      <c r="G14" s="592">
        <v>748</v>
      </c>
      <c r="H14" s="592">
        <v>1136212</v>
      </c>
      <c r="I14" s="572">
        <v>0.98746089133004245</v>
      </c>
      <c r="J14" s="572">
        <v>1519</v>
      </c>
      <c r="K14" s="592">
        <v>757</v>
      </c>
      <c r="L14" s="592">
        <v>1150640</v>
      </c>
      <c r="M14" s="572">
        <v>1</v>
      </c>
      <c r="N14" s="572">
        <v>1520</v>
      </c>
      <c r="O14" s="592">
        <v>875</v>
      </c>
      <c r="P14" s="592">
        <v>1331750</v>
      </c>
      <c r="Q14" s="577">
        <v>1.1573993603559758</v>
      </c>
      <c r="R14" s="593">
        <v>1522</v>
      </c>
    </row>
    <row r="15" spans="1:18" ht="14.4" customHeight="1" x14ac:dyDescent="0.3">
      <c r="A15" s="571" t="s">
        <v>892</v>
      </c>
      <c r="B15" s="572" t="s">
        <v>899</v>
      </c>
      <c r="C15" s="572" t="s">
        <v>449</v>
      </c>
      <c r="D15" s="572" t="s">
        <v>894</v>
      </c>
      <c r="E15" s="572" t="s">
        <v>912</v>
      </c>
      <c r="F15" s="572" t="s">
        <v>913</v>
      </c>
      <c r="G15" s="592">
        <v>160</v>
      </c>
      <c r="H15" s="592">
        <v>18560</v>
      </c>
      <c r="I15" s="572">
        <v>1.2598425196850394</v>
      </c>
      <c r="J15" s="572">
        <v>116</v>
      </c>
      <c r="K15" s="592">
        <v>127</v>
      </c>
      <c r="L15" s="592">
        <v>14732</v>
      </c>
      <c r="M15" s="572">
        <v>1</v>
      </c>
      <c r="N15" s="572">
        <v>116</v>
      </c>
      <c r="O15" s="592">
        <v>164</v>
      </c>
      <c r="P15" s="592">
        <v>19024</v>
      </c>
      <c r="Q15" s="577">
        <v>1.2913385826771653</v>
      </c>
      <c r="R15" s="593">
        <v>116</v>
      </c>
    </row>
    <row r="16" spans="1:18" ht="14.4" customHeight="1" x14ac:dyDescent="0.3">
      <c r="A16" s="571" t="s">
        <v>892</v>
      </c>
      <c r="B16" s="572" t="s">
        <v>899</v>
      </c>
      <c r="C16" s="572" t="s">
        <v>449</v>
      </c>
      <c r="D16" s="572" t="s">
        <v>894</v>
      </c>
      <c r="E16" s="572" t="s">
        <v>914</v>
      </c>
      <c r="F16" s="572" t="s">
        <v>915</v>
      </c>
      <c r="G16" s="592">
        <v>356</v>
      </c>
      <c r="H16" s="592">
        <v>13172</v>
      </c>
      <c r="I16" s="572">
        <v>0.93684210526315792</v>
      </c>
      <c r="J16" s="572">
        <v>37</v>
      </c>
      <c r="K16" s="592">
        <v>380</v>
      </c>
      <c r="L16" s="592">
        <v>14060</v>
      </c>
      <c r="M16" s="572">
        <v>1</v>
      </c>
      <c r="N16" s="572">
        <v>37</v>
      </c>
      <c r="O16" s="592">
        <v>413</v>
      </c>
      <c r="P16" s="592">
        <v>15281</v>
      </c>
      <c r="Q16" s="577">
        <v>1.0868421052631578</v>
      </c>
      <c r="R16" s="593">
        <v>37</v>
      </c>
    </row>
    <row r="17" spans="1:18" ht="14.4" customHeight="1" x14ac:dyDescent="0.3">
      <c r="A17" s="571" t="s">
        <v>892</v>
      </c>
      <c r="B17" s="572" t="s">
        <v>899</v>
      </c>
      <c r="C17" s="572" t="s">
        <v>449</v>
      </c>
      <c r="D17" s="572" t="s">
        <v>894</v>
      </c>
      <c r="E17" s="572" t="s">
        <v>897</v>
      </c>
      <c r="F17" s="572" t="s">
        <v>898</v>
      </c>
      <c r="G17" s="592">
        <v>2</v>
      </c>
      <c r="H17" s="592">
        <v>148</v>
      </c>
      <c r="I17" s="572">
        <v>0.15384615384615385</v>
      </c>
      <c r="J17" s="572">
        <v>74</v>
      </c>
      <c r="K17" s="592">
        <v>13</v>
      </c>
      <c r="L17" s="592">
        <v>962</v>
      </c>
      <c r="M17" s="572">
        <v>1</v>
      </c>
      <c r="N17" s="572">
        <v>74</v>
      </c>
      <c r="O17" s="592">
        <v>17</v>
      </c>
      <c r="P17" s="592">
        <v>1258</v>
      </c>
      <c r="Q17" s="577">
        <v>1.3076923076923077</v>
      </c>
      <c r="R17" s="593">
        <v>74</v>
      </c>
    </row>
    <row r="18" spans="1:18" ht="14.4" customHeight="1" x14ac:dyDescent="0.3">
      <c r="A18" s="571" t="s">
        <v>892</v>
      </c>
      <c r="B18" s="572" t="s">
        <v>899</v>
      </c>
      <c r="C18" s="572" t="s">
        <v>449</v>
      </c>
      <c r="D18" s="572" t="s">
        <v>894</v>
      </c>
      <c r="E18" s="572" t="s">
        <v>916</v>
      </c>
      <c r="F18" s="572" t="s">
        <v>917</v>
      </c>
      <c r="G18" s="592">
        <v>1</v>
      </c>
      <c r="H18" s="592">
        <v>59</v>
      </c>
      <c r="I18" s="572"/>
      <c r="J18" s="572">
        <v>59</v>
      </c>
      <c r="K18" s="592"/>
      <c r="L18" s="592"/>
      <c r="M18" s="572"/>
      <c r="N18" s="572"/>
      <c r="O18" s="592"/>
      <c r="P18" s="592"/>
      <c r="Q18" s="577"/>
      <c r="R18" s="593"/>
    </row>
    <row r="19" spans="1:18" ht="14.4" customHeight="1" x14ac:dyDescent="0.3">
      <c r="A19" s="571" t="s">
        <v>918</v>
      </c>
      <c r="B19" s="572" t="s">
        <v>919</v>
      </c>
      <c r="C19" s="572" t="s">
        <v>449</v>
      </c>
      <c r="D19" s="572" t="s">
        <v>894</v>
      </c>
      <c r="E19" s="572" t="s">
        <v>897</v>
      </c>
      <c r="F19" s="572" t="s">
        <v>898</v>
      </c>
      <c r="G19" s="592">
        <v>1</v>
      </c>
      <c r="H19" s="592">
        <v>74</v>
      </c>
      <c r="I19" s="572"/>
      <c r="J19" s="572">
        <v>74</v>
      </c>
      <c r="K19" s="592"/>
      <c r="L19" s="592"/>
      <c r="M19" s="572"/>
      <c r="N19" s="572"/>
      <c r="O19" s="592"/>
      <c r="P19" s="592"/>
      <c r="Q19" s="577"/>
      <c r="R19" s="593"/>
    </row>
    <row r="20" spans="1:18" ht="14.4" customHeight="1" x14ac:dyDescent="0.3">
      <c r="A20" s="571" t="s">
        <v>918</v>
      </c>
      <c r="B20" s="572" t="s">
        <v>919</v>
      </c>
      <c r="C20" s="572" t="s">
        <v>454</v>
      </c>
      <c r="D20" s="572" t="s">
        <v>894</v>
      </c>
      <c r="E20" s="572" t="s">
        <v>920</v>
      </c>
      <c r="F20" s="572" t="s">
        <v>921</v>
      </c>
      <c r="G20" s="592">
        <v>30</v>
      </c>
      <c r="H20" s="592">
        <v>334980</v>
      </c>
      <c r="I20" s="572">
        <v>1.2491050653302309</v>
      </c>
      <c r="J20" s="572">
        <v>11166</v>
      </c>
      <c r="K20" s="592">
        <v>24</v>
      </c>
      <c r="L20" s="592">
        <v>268176</v>
      </c>
      <c r="M20" s="572">
        <v>1</v>
      </c>
      <c r="N20" s="572">
        <v>11174</v>
      </c>
      <c r="O20" s="592">
        <v>43</v>
      </c>
      <c r="P20" s="592">
        <v>535006</v>
      </c>
      <c r="Q20" s="577">
        <v>1.9949809080603782</v>
      </c>
      <c r="R20" s="593">
        <v>12442</v>
      </c>
    </row>
    <row r="21" spans="1:18" ht="14.4" customHeight="1" x14ac:dyDescent="0.3">
      <c r="A21" s="571" t="s">
        <v>918</v>
      </c>
      <c r="B21" s="572" t="s">
        <v>919</v>
      </c>
      <c r="C21" s="572" t="s">
        <v>454</v>
      </c>
      <c r="D21" s="572" t="s">
        <v>894</v>
      </c>
      <c r="E21" s="572" t="s">
        <v>922</v>
      </c>
      <c r="F21" s="572" t="s">
        <v>923</v>
      </c>
      <c r="G21" s="592">
        <v>243</v>
      </c>
      <c r="H21" s="592">
        <v>76302</v>
      </c>
      <c r="I21" s="572">
        <v>0.75933721450962832</v>
      </c>
      <c r="J21" s="572">
        <v>314</v>
      </c>
      <c r="K21" s="592">
        <v>319</v>
      </c>
      <c r="L21" s="592">
        <v>100485</v>
      </c>
      <c r="M21" s="572">
        <v>1</v>
      </c>
      <c r="N21" s="572">
        <v>315</v>
      </c>
      <c r="O21" s="592">
        <v>865</v>
      </c>
      <c r="P21" s="592">
        <v>258635</v>
      </c>
      <c r="Q21" s="577">
        <v>2.5738667462805394</v>
      </c>
      <c r="R21" s="593">
        <v>299</v>
      </c>
    </row>
    <row r="22" spans="1:18" ht="14.4" customHeight="1" x14ac:dyDescent="0.3">
      <c r="A22" s="571" t="s">
        <v>918</v>
      </c>
      <c r="B22" s="572" t="s">
        <v>919</v>
      </c>
      <c r="C22" s="572" t="s">
        <v>454</v>
      </c>
      <c r="D22" s="572" t="s">
        <v>894</v>
      </c>
      <c r="E22" s="572" t="s">
        <v>924</v>
      </c>
      <c r="F22" s="572" t="s">
        <v>925</v>
      </c>
      <c r="G22" s="592">
        <v>583</v>
      </c>
      <c r="H22" s="592">
        <v>747989</v>
      </c>
      <c r="I22" s="572">
        <v>0.92689905573868003</v>
      </c>
      <c r="J22" s="572">
        <v>1283</v>
      </c>
      <c r="K22" s="592">
        <v>628</v>
      </c>
      <c r="L22" s="592">
        <v>806980</v>
      </c>
      <c r="M22" s="572">
        <v>1</v>
      </c>
      <c r="N22" s="572">
        <v>1285</v>
      </c>
      <c r="O22" s="592"/>
      <c r="P22" s="592"/>
      <c r="Q22" s="577"/>
      <c r="R22" s="593"/>
    </row>
    <row r="23" spans="1:18" ht="14.4" customHeight="1" x14ac:dyDescent="0.3">
      <c r="A23" s="571" t="s">
        <v>918</v>
      </c>
      <c r="B23" s="572" t="s">
        <v>919</v>
      </c>
      <c r="C23" s="572" t="s">
        <v>454</v>
      </c>
      <c r="D23" s="572" t="s">
        <v>894</v>
      </c>
      <c r="E23" s="572" t="s">
        <v>926</v>
      </c>
      <c r="F23" s="572" t="s">
        <v>927</v>
      </c>
      <c r="G23" s="592">
        <v>36</v>
      </c>
      <c r="H23" s="592">
        <v>351108</v>
      </c>
      <c r="I23" s="572">
        <v>2.1156947105824506</v>
      </c>
      <c r="J23" s="572">
        <v>9753</v>
      </c>
      <c r="K23" s="592">
        <v>17</v>
      </c>
      <c r="L23" s="592">
        <v>165954</v>
      </c>
      <c r="M23" s="572">
        <v>1</v>
      </c>
      <c r="N23" s="572">
        <v>9762</v>
      </c>
      <c r="O23" s="592">
        <v>25</v>
      </c>
      <c r="P23" s="592">
        <v>261675</v>
      </c>
      <c r="Q23" s="577">
        <v>1.5767923641491015</v>
      </c>
      <c r="R23" s="593">
        <v>10467</v>
      </c>
    </row>
    <row r="24" spans="1:18" ht="14.4" customHeight="1" x14ac:dyDescent="0.3">
      <c r="A24" s="571" t="s">
        <v>918</v>
      </c>
      <c r="B24" s="572" t="s">
        <v>919</v>
      </c>
      <c r="C24" s="572" t="s">
        <v>454</v>
      </c>
      <c r="D24" s="572" t="s">
        <v>894</v>
      </c>
      <c r="E24" s="572" t="s">
        <v>928</v>
      </c>
      <c r="F24" s="572" t="s">
        <v>929</v>
      </c>
      <c r="G24" s="592">
        <v>2921</v>
      </c>
      <c r="H24" s="592">
        <v>1270635</v>
      </c>
      <c r="I24" s="572"/>
      <c r="J24" s="572">
        <v>435</v>
      </c>
      <c r="K24" s="592"/>
      <c r="L24" s="592"/>
      <c r="M24" s="572"/>
      <c r="N24" s="572"/>
      <c r="O24" s="592"/>
      <c r="P24" s="592"/>
      <c r="Q24" s="577"/>
      <c r="R24" s="593"/>
    </row>
    <row r="25" spans="1:18" ht="14.4" customHeight="1" x14ac:dyDescent="0.3">
      <c r="A25" s="571" t="s">
        <v>918</v>
      </c>
      <c r="B25" s="572" t="s">
        <v>919</v>
      </c>
      <c r="C25" s="572" t="s">
        <v>454</v>
      </c>
      <c r="D25" s="572" t="s">
        <v>894</v>
      </c>
      <c r="E25" s="572" t="s">
        <v>930</v>
      </c>
      <c r="F25" s="572" t="s">
        <v>931</v>
      </c>
      <c r="G25" s="592">
        <v>145</v>
      </c>
      <c r="H25" s="592">
        <v>146595</v>
      </c>
      <c r="I25" s="572">
        <v>4.5267724802371543</v>
      </c>
      <c r="J25" s="572">
        <v>1011</v>
      </c>
      <c r="K25" s="592">
        <v>32</v>
      </c>
      <c r="L25" s="592">
        <v>32384</v>
      </c>
      <c r="M25" s="572">
        <v>1</v>
      </c>
      <c r="N25" s="572">
        <v>1012</v>
      </c>
      <c r="O25" s="592"/>
      <c r="P25" s="592"/>
      <c r="Q25" s="577"/>
      <c r="R25" s="593"/>
    </row>
    <row r="26" spans="1:18" ht="14.4" customHeight="1" x14ac:dyDescent="0.3">
      <c r="A26" s="571" t="s">
        <v>918</v>
      </c>
      <c r="B26" s="572" t="s">
        <v>919</v>
      </c>
      <c r="C26" s="572" t="s">
        <v>454</v>
      </c>
      <c r="D26" s="572" t="s">
        <v>894</v>
      </c>
      <c r="E26" s="572" t="s">
        <v>932</v>
      </c>
      <c r="F26" s="572" t="s">
        <v>933</v>
      </c>
      <c r="G26" s="592">
        <v>14310</v>
      </c>
      <c r="H26" s="592">
        <v>32827140</v>
      </c>
      <c r="I26" s="572">
        <v>1.5523908760456142</v>
      </c>
      <c r="J26" s="572">
        <v>2294</v>
      </c>
      <c r="K26" s="592">
        <v>9206</v>
      </c>
      <c r="L26" s="592">
        <v>21146182</v>
      </c>
      <c r="M26" s="572">
        <v>1</v>
      </c>
      <c r="N26" s="572">
        <v>2297</v>
      </c>
      <c r="O26" s="592"/>
      <c r="P26" s="592"/>
      <c r="Q26" s="577"/>
      <c r="R26" s="593"/>
    </row>
    <row r="27" spans="1:18" ht="14.4" customHeight="1" x14ac:dyDescent="0.3">
      <c r="A27" s="571" t="s">
        <v>918</v>
      </c>
      <c r="B27" s="572" t="s">
        <v>919</v>
      </c>
      <c r="C27" s="572" t="s">
        <v>454</v>
      </c>
      <c r="D27" s="572" t="s">
        <v>894</v>
      </c>
      <c r="E27" s="572" t="s">
        <v>934</v>
      </c>
      <c r="F27" s="572" t="s">
        <v>935</v>
      </c>
      <c r="G27" s="592">
        <v>30</v>
      </c>
      <c r="H27" s="592">
        <v>15840</v>
      </c>
      <c r="I27" s="572">
        <v>1.2</v>
      </c>
      <c r="J27" s="572">
        <v>528</v>
      </c>
      <c r="K27" s="592">
        <v>25</v>
      </c>
      <c r="L27" s="592">
        <v>13200</v>
      </c>
      <c r="M27" s="572">
        <v>1</v>
      </c>
      <c r="N27" s="572">
        <v>528</v>
      </c>
      <c r="O27" s="592">
        <v>44</v>
      </c>
      <c r="P27" s="592">
        <v>29040</v>
      </c>
      <c r="Q27" s="577">
        <v>2.2000000000000002</v>
      </c>
      <c r="R27" s="593">
        <v>660</v>
      </c>
    </row>
    <row r="28" spans="1:18" ht="14.4" customHeight="1" x14ac:dyDescent="0.3">
      <c r="A28" s="571" t="s">
        <v>918</v>
      </c>
      <c r="B28" s="572" t="s">
        <v>919</v>
      </c>
      <c r="C28" s="572" t="s">
        <v>454</v>
      </c>
      <c r="D28" s="572" t="s">
        <v>894</v>
      </c>
      <c r="E28" s="572" t="s">
        <v>936</v>
      </c>
      <c r="F28" s="572" t="s">
        <v>937</v>
      </c>
      <c r="G28" s="592">
        <v>55</v>
      </c>
      <c r="H28" s="592">
        <v>51480</v>
      </c>
      <c r="I28" s="572">
        <v>1.0366283401461911</v>
      </c>
      <c r="J28" s="572">
        <v>936</v>
      </c>
      <c r="K28" s="592">
        <v>53</v>
      </c>
      <c r="L28" s="592">
        <v>49661</v>
      </c>
      <c r="M28" s="572">
        <v>1</v>
      </c>
      <c r="N28" s="572">
        <v>937</v>
      </c>
      <c r="O28" s="592">
        <v>84</v>
      </c>
      <c r="P28" s="592">
        <v>80808</v>
      </c>
      <c r="Q28" s="577">
        <v>1.6271923642294759</v>
      </c>
      <c r="R28" s="593">
        <v>962</v>
      </c>
    </row>
    <row r="29" spans="1:18" ht="14.4" customHeight="1" x14ac:dyDescent="0.3">
      <c r="A29" s="571" t="s">
        <v>918</v>
      </c>
      <c r="B29" s="572" t="s">
        <v>919</v>
      </c>
      <c r="C29" s="572" t="s">
        <v>454</v>
      </c>
      <c r="D29" s="572" t="s">
        <v>894</v>
      </c>
      <c r="E29" s="572" t="s">
        <v>938</v>
      </c>
      <c r="F29" s="572" t="s">
        <v>939</v>
      </c>
      <c r="G29" s="592">
        <v>187</v>
      </c>
      <c r="H29" s="592">
        <v>1295910</v>
      </c>
      <c r="I29" s="572">
        <v>1.0799897993879632</v>
      </c>
      <c r="J29" s="572">
        <v>6930</v>
      </c>
      <c r="K29" s="592">
        <v>173</v>
      </c>
      <c r="L29" s="592">
        <v>1199928</v>
      </c>
      <c r="M29" s="572">
        <v>1</v>
      </c>
      <c r="N29" s="572">
        <v>6936</v>
      </c>
      <c r="O29" s="592">
        <v>175</v>
      </c>
      <c r="P29" s="592">
        <v>1321075</v>
      </c>
      <c r="Q29" s="577">
        <v>1.1009618910467962</v>
      </c>
      <c r="R29" s="593">
        <v>7549</v>
      </c>
    </row>
    <row r="30" spans="1:18" ht="14.4" customHeight="1" x14ac:dyDescent="0.3">
      <c r="A30" s="571" t="s">
        <v>918</v>
      </c>
      <c r="B30" s="572" t="s">
        <v>919</v>
      </c>
      <c r="C30" s="572" t="s">
        <v>454</v>
      </c>
      <c r="D30" s="572" t="s">
        <v>894</v>
      </c>
      <c r="E30" s="572" t="s">
        <v>940</v>
      </c>
      <c r="F30" s="572" t="s">
        <v>941</v>
      </c>
      <c r="G30" s="592">
        <v>6</v>
      </c>
      <c r="H30" s="592">
        <v>21354</v>
      </c>
      <c r="I30" s="572">
        <v>1.1989893318360472</v>
      </c>
      <c r="J30" s="572">
        <v>3559</v>
      </c>
      <c r="K30" s="592">
        <v>5</v>
      </c>
      <c r="L30" s="592">
        <v>17810</v>
      </c>
      <c r="M30" s="572">
        <v>1</v>
      </c>
      <c r="N30" s="572">
        <v>3562</v>
      </c>
      <c r="O30" s="592">
        <v>22</v>
      </c>
      <c r="P30" s="592">
        <v>115984</v>
      </c>
      <c r="Q30" s="577">
        <v>6.5122964626614266</v>
      </c>
      <c r="R30" s="593">
        <v>5272</v>
      </c>
    </row>
    <row r="31" spans="1:18" ht="14.4" customHeight="1" x14ac:dyDescent="0.3">
      <c r="A31" s="571" t="s">
        <v>918</v>
      </c>
      <c r="B31" s="572" t="s">
        <v>919</v>
      </c>
      <c r="C31" s="572" t="s">
        <v>454</v>
      </c>
      <c r="D31" s="572" t="s">
        <v>894</v>
      </c>
      <c r="E31" s="572" t="s">
        <v>942</v>
      </c>
      <c r="F31" s="572" t="s">
        <v>943</v>
      </c>
      <c r="G31" s="592">
        <v>24</v>
      </c>
      <c r="H31" s="592">
        <v>214488</v>
      </c>
      <c r="I31" s="572">
        <v>0.85647201635573733</v>
      </c>
      <c r="J31" s="572">
        <v>8937</v>
      </c>
      <c r="K31" s="592">
        <v>28</v>
      </c>
      <c r="L31" s="592">
        <v>250432</v>
      </c>
      <c r="M31" s="572">
        <v>1</v>
      </c>
      <c r="N31" s="572">
        <v>8944</v>
      </c>
      <c r="O31" s="592">
        <v>44</v>
      </c>
      <c r="P31" s="592">
        <v>463056</v>
      </c>
      <c r="Q31" s="577">
        <v>1.8490288780986455</v>
      </c>
      <c r="R31" s="593">
        <v>10524</v>
      </c>
    </row>
    <row r="32" spans="1:18" ht="14.4" customHeight="1" x14ac:dyDescent="0.3">
      <c r="A32" s="571" t="s">
        <v>918</v>
      </c>
      <c r="B32" s="572" t="s">
        <v>919</v>
      </c>
      <c r="C32" s="572" t="s">
        <v>454</v>
      </c>
      <c r="D32" s="572" t="s">
        <v>894</v>
      </c>
      <c r="E32" s="572" t="s">
        <v>944</v>
      </c>
      <c r="F32" s="572" t="s">
        <v>945</v>
      </c>
      <c r="G32" s="592">
        <v>2</v>
      </c>
      <c r="H32" s="592">
        <v>21858</v>
      </c>
      <c r="I32" s="572">
        <v>1.9985370759806163</v>
      </c>
      <c r="J32" s="572">
        <v>10929</v>
      </c>
      <c r="K32" s="592">
        <v>1</v>
      </c>
      <c r="L32" s="592">
        <v>10937</v>
      </c>
      <c r="M32" s="572">
        <v>1</v>
      </c>
      <c r="N32" s="572">
        <v>10937</v>
      </c>
      <c r="O32" s="592">
        <v>1</v>
      </c>
      <c r="P32" s="592">
        <v>12442</v>
      </c>
      <c r="Q32" s="577">
        <v>1.1376062905732833</v>
      </c>
      <c r="R32" s="593">
        <v>12442</v>
      </c>
    </row>
    <row r="33" spans="1:18" ht="14.4" customHeight="1" x14ac:dyDescent="0.3">
      <c r="A33" s="571" t="s">
        <v>918</v>
      </c>
      <c r="B33" s="572" t="s">
        <v>919</v>
      </c>
      <c r="C33" s="572" t="s">
        <v>454</v>
      </c>
      <c r="D33" s="572" t="s">
        <v>894</v>
      </c>
      <c r="E33" s="572" t="s">
        <v>946</v>
      </c>
      <c r="F33" s="572" t="s">
        <v>947</v>
      </c>
      <c r="G33" s="592">
        <v>9</v>
      </c>
      <c r="H33" s="592">
        <v>9927</v>
      </c>
      <c r="I33" s="572">
        <v>4.4959239130434785</v>
      </c>
      <c r="J33" s="572">
        <v>1103</v>
      </c>
      <c r="K33" s="592">
        <v>2</v>
      </c>
      <c r="L33" s="592">
        <v>2208</v>
      </c>
      <c r="M33" s="572">
        <v>1</v>
      </c>
      <c r="N33" s="572">
        <v>1104</v>
      </c>
      <c r="O33" s="592">
        <v>0</v>
      </c>
      <c r="P33" s="592">
        <v>0</v>
      </c>
      <c r="Q33" s="577">
        <v>0</v>
      </c>
      <c r="R33" s="593"/>
    </row>
    <row r="34" spans="1:18" ht="14.4" customHeight="1" x14ac:dyDescent="0.3">
      <c r="A34" s="571" t="s">
        <v>918</v>
      </c>
      <c r="B34" s="572" t="s">
        <v>919</v>
      </c>
      <c r="C34" s="572" t="s">
        <v>454</v>
      </c>
      <c r="D34" s="572" t="s">
        <v>894</v>
      </c>
      <c r="E34" s="572" t="s">
        <v>948</v>
      </c>
      <c r="F34" s="572" t="s">
        <v>949</v>
      </c>
      <c r="G34" s="592">
        <v>6</v>
      </c>
      <c r="H34" s="592">
        <v>3618</v>
      </c>
      <c r="I34" s="572">
        <v>6</v>
      </c>
      <c r="J34" s="572">
        <v>603</v>
      </c>
      <c r="K34" s="592">
        <v>1</v>
      </c>
      <c r="L34" s="592">
        <v>603</v>
      </c>
      <c r="M34" s="572">
        <v>1</v>
      </c>
      <c r="N34" s="572">
        <v>603</v>
      </c>
      <c r="O34" s="592">
        <v>2</v>
      </c>
      <c r="P34" s="592">
        <v>1248</v>
      </c>
      <c r="Q34" s="577">
        <v>2.0696517412935322</v>
      </c>
      <c r="R34" s="593">
        <v>624</v>
      </c>
    </row>
    <row r="35" spans="1:18" ht="14.4" customHeight="1" x14ac:dyDescent="0.3">
      <c r="A35" s="571" t="s">
        <v>918</v>
      </c>
      <c r="B35" s="572" t="s">
        <v>919</v>
      </c>
      <c r="C35" s="572" t="s">
        <v>454</v>
      </c>
      <c r="D35" s="572" t="s">
        <v>894</v>
      </c>
      <c r="E35" s="572" t="s">
        <v>950</v>
      </c>
      <c r="F35" s="572"/>
      <c r="G35" s="592"/>
      <c r="H35" s="592"/>
      <c r="I35" s="572"/>
      <c r="J35" s="572"/>
      <c r="K35" s="592">
        <v>13</v>
      </c>
      <c r="L35" s="592">
        <v>0</v>
      </c>
      <c r="M35" s="572"/>
      <c r="N35" s="572">
        <v>0</v>
      </c>
      <c r="O35" s="592"/>
      <c r="P35" s="592"/>
      <c r="Q35" s="577"/>
      <c r="R35" s="593"/>
    </row>
    <row r="36" spans="1:18" ht="14.4" customHeight="1" x14ac:dyDescent="0.3">
      <c r="A36" s="571" t="s">
        <v>918</v>
      </c>
      <c r="B36" s="572" t="s">
        <v>919</v>
      </c>
      <c r="C36" s="572" t="s">
        <v>454</v>
      </c>
      <c r="D36" s="572" t="s">
        <v>894</v>
      </c>
      <c r="E36" s="572" t="s">
        <v>951</v>
      </c>
      <c r="F36" s="572"/>
      <c r="G36" s="592"/>
      <c r="H36" s="592"/>
      <c r="I36" s="572"/>
      <c r="J36" s="572"/>
      <c r="K36" s="592">
        <v>13</v>
      </c>
      <c r="L36" s="592">
        <v>781716</v>
      </c>
      <c r="M36" s="572">
        <v>1</v>
      </c>
      <c r="N36" s="572">
        <v>60132</v>
      </c>
      <c r="O36" s="592"/>
      <c r="P36" s="592"/>
      <c r="Q36" s="577"/>
      <c r="R36" s="593"/>
    </row>
    <row r="37" spans="1:18" ht="14.4" customHeight="1" x14ac:dyDescent="0.3">
      <c r="A37" s="571" t="s">
        <v>918</v>
      </c>
      <c r="B37" s="572" t="s">
        <v>919</v>
      </c>
      <c r="C37" s="572" t="s">
        <v>454</v>
      </c>
      <c r="D37" s="572" t="s">
        <v>894</v>
      </c>
      <c r="E37" s="572" t="s">
        <v>952</v>
      </c>
      <c r="F37" s="572"/>
      <c r="G37" s="592"/>
      <c r="H37" s="592"/>
      <c r="I37" s="572"/>
      <c r="J37" s="572"/>
      <c r="K37" s="592">
        <v>4</v>
      </c>
      <c r="L37" s="592">
        <v>0</v>
      </c>
      <c r="M37" s="572"/>
      <c r="N37" s="572">
        <v>0</v>
      </c>
      <c r="O37" s="592"/>
      <c r="P37" s="592"/>
      <c r="Q37" s="577"/>
      <c r="R37" s="593"/>
    </row>
    <row r="38" spans="1:18" ht="14.4" customHeight="1" x14ac:dyDescent="0.3">
      <c r="A38" s="571" t="s">
        <v>918</v>
      </c>
      <c r="B38" s="572" t="s">
        <v>919</v>
      </c>
      <c r="C38" s="572" t="s">
        <v>454</v>
      </c>
      <c r="D38" s="572" t="s">
        <v>894</v>
      </c>
      <c r="E38" s="572" t="s">
        <v>953</v>
      </c>
      <c r="F38" s="572"/>
      <c r="G38" s="592"/>
      <c r="H38" s="592"/>
      <c r="I38" s="572"/>
      <c r="J38" s="572"/>
      <c r="K38" s="592">
        <v>4</v>
      </c>
      <c r="L38" s="592">
        <v>77520</v>
      </c>
      <c r="M38" s="572">
        <v>1</v>
      </c>
      <c r="N38" s="572">
        <v>19380</v>
      </c>
      <c r="O38" s="592"/>
      <c r="P38" s="592"/>
      <c r="Q38" s="577"/>
      <c r="R38" s="593"/>
    </row>
    <row r="39" spans="1:18" ht="14.4" customHeight="1" x14ac:dyDescent="0.3">
      <c r="A39" s="571" t="s">
        <v>918</v>
      </c>
      <c r="B39" s="572" t="s">
        <v>919</v>
      </c>
      <c r="C39" s="572" t="s">
        <v>454</v>
      </c>
      <c r="D39" s="572" t="s">
        <v>894</v>
      </c>
      <c r="E39" s="572" t="s">
        <v>954</v>
      </c>
      <c r="F39" s="572" t="s">
        <v>955</v>
      </c>
      <c r="G39" s="592"/>
      <c r="H39" s="592"/>
      <c r="I39" s="572"/>
      <c r="J39" s="572"/>
      <c r="K39" s="592"/>
      <c r="L39" s="592"/>
      <c r="M39" s="572"/>
      <c r="N39" s="572"/>
      <c r="O39" s="592">
        <v>25</v>
      </c>
      <c r="P39" s="592">
        <v>15225</v>
      </c>
      <c r="Q39" s="577"/>
      <c r="R39" s="593">
        <v>609</v>
      </c>
    </row>
    <row r="40" spans="1:18" ht="14.4" customHeight="1" x14ac:dyDescent="0.3">
      <c r="A40" s="571" t="s">
        <v>918</v>
      </c>
      <c r="B40" s="572" t="s">
        <v>919</v>
      </c>
      <c r="C40" s="572" t="s">
        <v>454</v>
      </c>
      <c r="D40" s="572" t="s">
        <v>894</v>
      </c>
      <c r="E40" s="572" t="s">
        <v>956</v>
      </c>
      <c r="F40" s="572" t="s">
        <v>957</v>
      </c>
      <c r="G40" s="592"/>
      <c r="H40" s="592"/>
      <c r="I40" s="572"/>
      <c r="J40" s="572"/>
      <c r="K40" s="592"/>
      <c r="L40" s="592"/>
      <c r="M40" s="572"/>
      <c r="N40" s="572"/>
      <c r="O40" s="592">
        <v>75</v>
      </c>
      <c r="P40" s="592">
        <v>336000</v>
      </c>
      <c r="Q40" s="577"/>
      <c r="R40" s="593">
        <v>4480</v>
      </c>
    </row>
    <row r="41" spans="1:18" ht="14.4" customHeight="1" x14ac:dyDescent="0.3">
      <c r="A41" s="571" t="s">
        <v>918</v>
      </c>
      <c r="B41" s="572" t="s">
        <v>919</v>
      </c>
      <c r="C41" s="572" t="s">
        <v>454</v>
      </c>
      <c r="D41" s="572" t="s">
        <v>894</v>
      </c>
      <c r="E41" s="572" t="s">
        <v>958</v>
      </c>
      <c r="F41" s="572" t="s">
        <v>959</v>
      </c>
      <c r="G41" s="592"/>
      <c r="H41" s="592"/>
      <c r="I41" s="572"/>
      <c r="J41" s="572"/>
      <c r="K41" s="592"/>
      <c r="L41" s="592"/>
      <c r="M41" s="572"/>
      <c r="N41" s="572"/>
      <c r="O41" s="592">
        <v>411</v>
      </c>
      <c r="P41" s="592">
        <v>454977</v>
      </c>
      <c r="Q41" s="577"/>
      <c r="R41" s="593">
        <v>1107</v>
      </c>
    </row>
    <row r="42" spans="1:18" ht="14.4" customHeight="1" x14ac:dyDescent="0.3">
      <c r="A42" s="571" t="s">
        <v>918</v>
      </c>
      <c r="B42" s="572" t="s">
        <v>919</v>
      </c>
      <c r="C42" s="572" t="s">
        <v>454</v>
      </c>
      <c r="D42" s="572" t="s">
        <v>894</v>
      </c>
      <c r="E42" s="572" t="s">
        <v>960</v>
      </c>
      <c r="F42" s="572" t="s">
        <v>961</v>
      </c>
      <c r="G42" s="592"/>
      <c r="H42" s="592"/>
      <c r="I42" s="572"/>
      <c r="J42" s="572"/>
      <c r="K42" s="592"/>
      <c r="L42" s="592"/>
      <c r="M42" s="572"/>
      <c r="N42" s="572"/>
      <c r="O42" s="592">
        <v>269</v>
      </c>
      <c r="P42" s="592">
        <v>1998670</v>
      </c>
      <c r="Q42" s="577"/>
      <c r="R42" s="593">
        <v>7430</v>
      </c>
    </row>
    <row r="43" spans="1:18" ht="14.4" customHeight="1" x14ac:dyDescent="0.3">
      <c r="A43" s="571" t="s">
        <v>918</v>
      </c>
      <c r="B43" s="572" t="s">
        <v>919</v>
      </c>
      <c r="C43" s="572" t="s">
        <v>454</v>
      </c>
      <c r="D43" s="572" t="s">
        <v>894</v>
      </c>
      <c r="E43" s="572" t="s">
        <v>962</v>
      </c>
      <c r="F43" s="572" t="s">
        <v>963</v>
      </c>
      <c r="G43" s="592"/>
      <c r="H43" s="592"/>
      <c r="I43" s="572"/>
      <c r="J43" s="572"/>
      <c r="K43" s="592"/>
      <c r="L43" s="592"/>
      <c r="M43" s="572"/>
      <c r="N43" s="572"/>
      <c r="O43" s="592">
        <v>520</v>
      </c>
      <c r="P43" s="592">
        <v>1994200</v>
      </c>
      <c r="Q43" s="577"/>
      <c r="R43" s="593">
        <v>3835</v>
      </c>
    </row>
    <row r="44" spans="1:18" ht="14.4" customHeight="1" x14ac:dyDescent="0.3">
      <c r="A44" s="571" t="s">
        <v>918</v>
      </c>
      <c r="B44" s="572" t="s">
        <v>919</v>
      </c>
      <c r="C44" s="572" t="s">
        <v>454</v>
      </c>
      <c r="D44" s="572" t="s">
        <v>894</v>
      </c>
      <c r="E44" s="572" t="s">
        <v>964</v>
      </c>
      <c r="F44" s="572" t="s">
        <v>965</v>
      </c>
      <c r="G44" s="592"/>
      <c r="H44" s="592"/>
      <c r="I44" s="572"/>
      <c r="J44" s="572"/>
      <c r="K44" s="592"/>
      <c r="L44" s="592"/>
      <c r="M44" s="572"/>
      <c r="N44" s="572"/>
      <c r="O44" s="592">
        <v>35</v>
      </c>
      <c r="P44" s="592">
        <v>83825</v>
      </c>
      <c r="Q44" s="577"/>
      <c r="R44" s="593">
        <v>2395</v>
      </c>
    </row>
    <row r="45" spans="1:18" ht="14.4" customHeight="1" x14ac:dyDescent="0.3">
      <c r="A45" s="571" t="s">
        <v>918</v>
      </c>
      <c r="B45" s="572" t="s">
        <v>919</v>
      </c>
      <c r="C45" s="572" t="s">
        <v>454</v>
      </c>
      <c r="D45" s="572" t="s">
        <v>894</v>
      </c>
      <c r="E45" s="572" t="s">
        <v>966</v>
      </c>
      <c r="F45" s="572" t="s">
        <v>967</v>
      </c>
      <c r="G45" s="592"/>
      <c r="H45" s="592"/>
      <c r="I45" s="572"/>
      <c r="J45" s="572"/>
      <c r="K45" s="592"/>
      <c r="L45" s="592"/>
      <c r="M45" s="572"/>
      <c r="N45" s="572"/>
      <c r="O45" s="592">
        <v>26</v>
      </c>
      <c r="P45" s="592">
        <v>922974</v>
      </c>
      <c r="Q45" s="577"/>
      <c r="R45" s="593">
        <v>35499</v>
      </c>
    </row>
    <row r="46" spans="1:18" ht="14.4" customHeight="1" x14ac:dyDescent="0.3">
      <c r="A46" s="571" t="s">
        <v>918</v>
      </c>
      <c r="B46" s="572" t="s">
        <v>919</v>
      </c>
      <c r="C46" s="572" t="s">
        <v>454</v>
      </c>
      <c r="D46" s="572" t="s">
        <v>894</v>
      </c>
      <c r="E46" s="572" t="s">
        <v>968</v>
      </c>
      <c r="F46" s="572" t="s">
        <v>969</v>
      </c>
      <c r="G46" s="592"/>
      <c r="H46" s="592"/>
      <c r="I46" s="572"/>
      <c r="J46" s="572"/>
      <c r="K46" s="592"/>
      <c r="L46" s="592"/>
      <c r="M46" s="572"/>
      <c r="N46" s="572"/>
      <c r="O46" s="592">
        <v>7</v>
      </c>
      <c r="P46" s="592">
        <v>61642</v>
      </c>
      <c r="Q46" s="577"/>
      <c r="R46" s="593">
        <v>8806</v>
      </c>
    </row>
    <row r="47" spans="1:18" ht="14.4" customHeight="1" x14ac:dyDescent="0.3">
      <c r="A47" s="571" t="s">
        <v>918</v>
      </c>
      <c r="B47" s="572" t="s">
        <v>919</v>
      </c>
      <c r="C47" s="572" t="s">
        <v>454</v>
      </c>
      <c r="D47" s="572" t="s">
        <v>894</v>
      </c>
      <c r="E47" s="572" t="s">
        <v>970</v>
      </c>
      <c r="F47" s="572" t="s">
        <v>971</v>
      </c>
      <c r="G47" s="592"/>
      <c r="H47" s="592"/>
      <c r="I47" s="572"/>
      <c r="J47" s="572"/>
      <c r="K47" s="592"/>
      <c r="L47" s="592"/>
      <c r="M47" s="572"/>
      <c r="N47" s="572"/>
      <c r="O47" s="592">
        <v>7</v>
      </c>
      <c r="P47" s="592">
        <v>70000</v>
      </c>
      <c r="Q47" s="577"/>
      <c r="R47" s="593">
        <v>10000</v>
      </c>
    </row>
    <row r="48" spans="1:18" ht="14.4" customHeight="1" x14ac:dyDescent="0.3">
      <c r="A48" s="571" t="s">
        <v>918</v>
      </c>
      <c r="B48" s="572" t="s">
        <v>919</v>
      </c>
      <c r="C48" s="572" t="s">
        <v>454</v>
      </c>
      <c r="D48" s="572" t="s">
        <v>894</v>
      </c>
      <c r="E48" s="572" t="s">
        <v>972</v>
      </c>
      <c r="F48" s="572" t="s">
        <v>973</v>
      </c>
      <c r="G48" s="592"/>
      <c r="H48" s="592"/>
      <c r="I48" s="572"/>
      <c r="J48" s="572"/>
      <c r="K48" s="592"/>
      <c r="L48" s="592"/>
      <c r="M48" s="572"/>
      <c r="N48" s="572"/>
      <c r="O48" s="592">
        <v>56</v>
      </c>
      <c r="P48" s="592">
        <v>602933.35</v>
      </c>
      <c r="Q48" s="577"/>
      <c r="R48" s="593">
        <v>10766.666964285714</v>
      </c>
    </row>
    <row r="49" spans="1:18" ht="14.4" customHeight="1" x14ac:dyDescent="0.3">
      <c r="A49" s="571" t="s">
        <v>918</v>
      </c>
      <c r="B49" s="572" t="s">
        <v>919</v>
      </c>
      <c r="C49" s="572" t="s">
        <v>454</v>
      </c>
      <c r="D49" s="572" t="s">
        <v>894</v>
      </c>
      <c r="E49" s="572" t="s">
        <v>974</v>
      </c>
      <c r="F49" s="572" t="s">
        <v>975</v>
      </c>
      <c r="G49" s="592"/>
      <c r="H49" s="592"/>
      <c r="I49" s="572"/>
      <c r="J49" s="572"/>
      <c r="K49" s="592"/>
      <c r="L49" s="592"/>
      <c r="M49" s="572"/>
      <c r="N49" s="572"/>
      <c r="O49" s="592">
        <v>32</v>
      </c>
      <c r="P49" s="592">
        <v>266666.67000000004</v>
      </c>
      <c r="Q49" s="577"/>
      <c r="R49" s="593">
        <v>8333.3334375000013</v>
      </c>
    </row>
    <row r="50" spans="1:18" ht="14.4" customHeight="1" x14ac:dyDescent="0.3">
      <c r="A50" s="571" t="s">
        <v>918</v>
      </c>
      <c r="B50" s="572" t="s">
        <v>919</v>
      </c>
      <c r="C50" s="572" t="s">
        <v>454</v>
      </c>
      <c r="D50" s="572" t="s">
        <v>894</v>
      </c>
      <c r="E50" s="572" t="s">
        <v>976</v>
      </c>
      <c r="F50" s="572" t="s">
        <v>977</v>
      </c>
      <c r="G50" s="592"/>
      <c r="H50" s="592"/>
      <c r="I50" s="572"/>
      <c r="J50" s="572"/>
      <c r="K50" s="592"/>
      <c r="L50" s="592"/>
      <c r="M50" s="572"/>
      <c r="N50" s="572"/>
      <c r="O50" s="592">
        <v>50</v>
      </c>
      <c r="P50" s="592">
        <v>0</v>
      </c>
      <c r="Q50" s="577"/>
      <c r="R50" s="593">
        <v>0</v>
      </c>
    </row>
    <row r="51" spans="1:18" ht="14.4" customHeight="1" x14ac:dyDescent="0.3">
      <c r="A51" s="571" t="s">
        <v>918</v>
      </c>
      <c r="B51" s="572" t="s">
        <v>919</v>
      </c>
      <c r="C51" s="572" t="s">
        <v>454</v>
      </c>
      <c r="D51" s="572" t="s">
        <v>894</v>
      </c>
      <c r="E51" s="572" t="s">
        <v>978</v>
      </c>
      <c r="F51" s="572" t="s">
        <v>979</v>
      </c>
      <c r="G51" s="592"/>
      <c r="H51" s="592"/>
      <c r="I51" s="572"/>
      <c r="J51" s="572"/>
      <c r="K51" s="592"/>
      <c r="L51" s="592"/>
      <c r="M51" s="572"/>
      <c r="N51" s="572"/>
      <c r="O51" s="592">
        <v>6</v>
      </c>
      <c r="P51" s="592">
        <v>49500</v>
      </c>
      <c r="Q51" s="577"/>
      <c r="R51" s="593">
        <v>8250</v>
      </c>
    </row>
    <row r="52" spans="1:18" ht="14.4" customHeight="1" x14ac:dyDescent="0.3">
      <c r="A52" s="571" t="s">
        <v>918</v>
      </c>
      <c r="B52" s="572" t="s">
        <v>919</v>
      </c>
      <c r="C52" s="572" t="s">
        <v>454</v>
      </c>
      <c r="D52" s="572" t="s">
        <v>894</v>
      </c>
      <c r="E52" s="572" t="s">
        <v>980</v>
      </c>
      <c r="F52" s="572" t="s">
        <v>981</v>
      </c>
      <c r="G52" s="592"/>
      <c r="H52" s="592"/>
      <c r="I52" s="572"/>
      <c r="J52" s="572"/>
      <c r="K52" s="592"/>
      <c r="L52" s="592"/>
      <c r="M52" s="572"/>
      <c r="N52" s="572"/>
      <c r="O52" s="592">
        <v>11</v>
      </c>
      <c r="P52" s="592">
        <v>0</v>
      </c>
      <c r="Q52" s="577"/>
      <c r="R52" s="593">
        <v>0</v>
      </c>
    </row>
    <row r="53" spans="1:18" ht="14.4" customHeight="1" x14ac:dyDescent="0.3">
      <c r="A53" s="571" t="s">
        <v>918</v>
      </c>
      <c r="B53" s="572" t="s">
        <v>919</v>
      </c>
      <c r="C53" s="572" t="s">
        <v>454</v>
      </c>
      <c r="D53" s="572" t="s">
        <v>894</v>
      </c>
      <c r="E53" s="572" t="s">
        <v>982</v>
      </c>
      <c r="F53" s="572" t="s">
        <v>983</v>
      </c>
      <c r="G53" s="592"/>
      <c r="H53" s="592"/>
      <c r="I53" s="572"/>
      <c r="J53" s="572"/>
      <c r="K53" s="592"/>
      <c r="L53" s="592"/>
      <c r="M53" s="572"/>
      <c r="N53" s="572"/>
      <c r="O53" s="592">
        <v>0</v>
      </c>
      <c r="P53" s="592">
        <v>0</v>
      </c>
      <c r="Q53" s="577"/>
      <c r="R53" s="593"/>
    </row>
    <row r="54" spans="1:18" ht="14.4" customHeight="1" x14ac:dyDescent="0.3">
      <c r="A54" s="571" t="s">
        <v>918</v>
      </c>
      <c r="B54" s="572" t="s">
        <v>919</v>
      </c>
      <c r="C54" s="572" t="s">
        <v>454</v>
      </c>
      <c r="D54" s="572" t="s">
        <v>894</v>
      </c>
      <c r="E54" s="572" t="s">
        <v>984</v>
      </c>
      <c r="F54" s="572" t="s">
        <v>985</v>
      </c>
      <c r="G54" s="592"/>
      <c r="H54" s="592"/>
      <c r="I54" s="572"/>
      <c r="J54" s="572"/>
      <c r="K54" s="592"/>
      <c r="L54" s="592"/>
      <c r="M54" s="572"/>
      <c r="N54" s="572"/>
      <c r="O54" s="592">
        <v>13</v>
      </c>
      <c r="P54" s="592">
        <v>397222.26</v>
      </c>
      <c r="Q54" s="577"/>
      <c r="R54" s="593">
        <v>30555.558461538461</v>
      </c>
    </row>
    <row r="55" spans="1:18" ht="14.4" customHeight="1" x14ac:dyDescent="0.3">
      <c r="A55" s="571" t="s">
        <v>918</v>
      </c>
      <c r="B55" s="572" t="s">
        <v>919</v>
      </c>
      <c r="C55" s="572" t="s">
        <v>454</v>
      </c>
      <c r="D55" s="572" t="s">
        <v>894</v>
      </c>
      <c r="E55" s="572" t="s">
        <v>986</v>
      </c>
      <c r="F55" s="572" t="s">
        <v>987</v>
      </c>
      <c r="G55" s="592"/>
      <c r="H55" s="592"/>
      <c r="I55" s="572"/>
      <c r="J55" s="572"/>
      <c r="K55" s="592"/>
      <c r="L55" s="592"/>
      <c r="M55" s="572"/>
      <c r="N55" s="572"/>
      <c r="O55" s="592">
        <v>12</v>
      </c>
      <c r="P55" s="592">
        <v>51120</v>
      </c>
      <c r="Q55" s="577"/>
      <c r="R55" s="593">
        <v>4260</v>
      </c>
    </row>
    <row r="56" spans="1:18" ht="14.4" customHeight="1" x14ac:dyDescent="0.3">
      <c r="A56" s="571" t="s">
        <v>918</v>
      </c>
      <c r="B56" s="572" t="s">
        <v>919</v>
      </c>
      <c r="C56" s="572" t="s">
        <v>454</v>
      </c>
      <c r="D56" s="572" t="s">
        <v>894</v>
      </c>
      <c r="E56" s="572" t="s">
        <v>988</v>
      </c>
      <c r="F56" s="572" t="s">
        <v>989</v>
      </c>
      <c r="G56" s="592"/>
      <c r="H56" s="592"/>
      <c r="I56" s="572"/>
      <c r="J56" s="572"/>
      <c r="K56" s="592"/>
      <c r="L56" s="592"/>
      <c r="M56" s="572"/>
      <c r="N56" s="572"/>
      <c r="O56" s="592">
        <v>7</v>
      </c>
      <c r="P56" s="592">
        <v>37255.56</v>
      </c>
      <c r="Q56" s="577"/>
      <c r="R56" s="593">
        <v>5322.2228571428568</v>
      </c>
    </row>
    <row r="57" spans="1:18" ht="14.4" customHeight="1" thickBot="1" x14ac:dyDescent="0.35">
      <c r="A57" s="579" t="s">
        <v>918</v>
      </c>
      <c r="B57" s="580" t="s">
        <v>919</v>
      </c>
      <c r="C57" s="580" t="s">
        <v>454</v>
      </c>
      <c r="D57" s="580" t="s">
        <v>894</v>
      </c>
      <c r="E57" s="580" t="s">
        <v>990</v>
      </c>
      <c r="F57" s="580" t="s">
        <v>991</v>
      </c>
      <c r="G57" s="594"/>
      <c r="H57" s="594"/>
      <c r="I57" s="580"/>
      <c r="J57" s="580"/>
      <c r="K57" s="594"/>
      <c r="L57" s="594"/>
      <c r="M57" s="580"/>
      <c r="N57" s="580"/>
      <c r="O57" s="594">
        <v>20</v>
      </c>
      <c r="P57" s="594">
        <v>880000</v>
      </c>
      <c r="Q57" s="585"/>
      <c r="R57" s="595">
        <v>44000</v>
      </c>
    </row>
  </sheetData>
  <autoFilter ref="A5:R5"/>
  <mergeCells count="12">
    <mergeCell ref="A1:R1"/>
    <mergeCell ref="A4:A5"/>
    <mergeCell ref="R4:R5"/>
    <mergeCell ref="B4:B5"/>
    <mergeCell ref="D4:D5"/>
    <mergeCell ref="F4:F5"/>
    <mergeCell ref="G4:H4"/>
    <mergeCell ref="K4:L4"/>
    <mergeCell ref="O4:P4"/>
    <mergeCell ref="Q4:Q5"/>
    <mergeCell ref="E4:E5"/>
    <mergeCell ref="C4:C5"/>
  </mergeCells>
  <hyperlinks>
    <hyperlink ref="A2" location="Obsah!A1" display="Zpět na Obsah  KL 01  1.-4.měsíc"/>
  </hyperlinks>
  <pageMargins left="0.25" right="0.25" top="0.75" bottom="0.75" header="0.3" footer="0.3"/>
  <pageSetup paperSize="9" scale="79" fitToHeight="0" orientation="landscape" r:id="rId1"/>
</worksheet>
</file>

<file path=xl/worksheets/sheet2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List58">
    <tabColor theme="0" tint="-0.249977111117893"/>
    <outlinePr summaryRight="0"/>
    <pageSetUpPr fitToPage="1"/>
  </sheetPr>
  <dimension ref="A1:S59"/>
  <sheetViews>
    <sheetView showGridLines="0" showRowColHeaders="0" workbookViewId="0">
      <pane ySplit="5" topLeftCell="A6" activePane="bottomLeft" state="frozen"/>
      <selection activeCell="U26" sqref="U26"/>
      <selection pane="bottomLeft" sqref="A1:S1"/>
    </sheetView>
  </sheetViews>
  <sheetFormatPr defaultRowHeight="14.4" customHeight="1" outlineLevelCol="1" x14ac:dyDescent="0.3"/>
  <cols>
    <col min="1" max="1" width="3.33203125" style="129" customWidth="1"/>
    <col min="2" max="2" width="8.6640625" style="129" bestFit="1" customWidth="1"/>
    <col min="3" max="3" width="6.109375" style="129" customWidth="1"/>
    <col min="4" max="4" width="27.77734375" style="129" customWidth="1"/>
    <col min="5" max="5" width="2.109375" style="129" bestFit="1" customWidth="1"/>
    <col min="6" max="6" width="8" style="129" customWidth="1"/>
    <col min="7" max="7" width="50.88671875" style="129" bestFit="1" customWidth="1" collapsed="1"/>
    <col min="8" max="9" width="11.109375" style="207" hidden="1" customWidth="1" outlineLevel="1"/>
    <col min="10" max="11" width="9.33203125" style="129" hidden="1" customWidth="1"/>
    <col min="12" max="13" width="11.109375" style="207" customWidth="1"/>
    <col min="14" max="15" width="9.33203125" style="129" hidden="1" customWidth="1"/>
    <col min="16" max="17" width="11.109375" style="207" customWidth="1"/>
    <col min="18" max="18" width="11.109375" style="210" customWidth="1"/>
    <col min="19" max="19" width="11.109375" style="207" customWidth="1"/>
    <col min="20" max="16384" width="8.88671875" style="129"/>
  </cols>
  <sheetData>
    <row r="1" spans="1:19" ht="18.600000000000001" customHeight="1" thickBot="1" x14ac:dyDescent="0.4">
      <c r="A1" s="329" t="s">
        <v>993</v>
      </c>
      <c r="B1" s="361"/>
      <c r="C1" s="361"/>
      <c r="D1" s="361"/>
      <c r="E1" s="361"/>
      <c r="F1" s="361"/>
      <c r="G1" s="361"/>
      <c r="H1" s="361"/>
      <c r="I1" s="361"/>
      <c r="J1" s="361"/>
      <c r="K1" s="361"/>
      <c r="L1" s="361"/>
      <c r="M1" s="361"/>
      <c r="N1" s="361"/>
      <c r="O1" s="361"/>
      <c r="P1" s="361"/>
      <c r="Q1" s="361"/>
      <c r="R1" s="361"/>
      <c r="S1" s="361"/>
    </row>
    <row r="2" spans="1:19" ht="14.4" customHeight="1" thickBot="1" x14ac:dyDescent="0.35">
      <c r="A2" s="232" t="s">
        <v>265</v>
      </c>
      <c r="B2" s="197"/>
      <c r="C2" s="197"/>
      <c r="D2" s="197"/>
      <c r="E2" s="111"/>
      <c r="F2" s="111"/>
      <c r="G2" s="111"/>
      <c r="H2" s="230"/>
      <c r="I2" s="230"/>
      <c r="J2" s="111"/>
      <c r="K2" s="111"/>
      <c r="L2" s="230"/>
      <c r="M2" s="230"/>
      <c r="N2" s="111"/>
      <c r="O2" s="111"/>
      <c r="P2" s="230"/>
      <c r="Q2" s="230"/>
      <c r="R2" s="227"/>
      <c r="S2" s="230"/>
    </row>
    <row r="3" spans="1:19" ht="14.4" customHeight="1" thickBot="1" x14ac:dyDescent="0.35">
      <c r="G3" s="87" t="s">
        <v>127</v>
      </c>
      <c r="H3" s="102">
        <f t="shared" ref="H3:Q3" si="0">SUBTOTAL(9,H6:H1048576)</f>
        <v>21692</v>
      </c>
      <c r="I3" s="103">
        <f t="shared" si="0"/>
        <v>39621542.829999998</v>
      </c>
      <c r="J3" s="74"/>
      <c r="K3" s="74"/>
      <c r="L3" s="103">
        <f t="shared" si="0"/>
        <v>14475</v>
      </c>
      <c r="M3" s="103">
        <f t="shared" si="0"/>
        <v>27285144.41</v>
      </c>
      <c r="N3" s="74"/>
      <c r="O3" s="74"/>
      <c r="P3" s="103">
        <f t="shared" si="0"/>
        <v>7396</v>
      </c>
      <c r="Q3" s="103">
        <f t="shared" si="0"/>
        <v>13975544.199999999</v>
      </c>
      <c r="R3" s="75">
        <f>IF(M3=0,0,Q3/M3)</f>
        <v>0.5122034169948525</v>
      </c>
      <c r="S3" s="104">
        <f>IF(P3=0,0,Q3/P3)</f>
        <v>1889.6084640346132</v>
      </c>
    </row>
    <row r="4" spans="1:19" ht="14.4" customHeight="1" x14ac:dyDescent="0.3">
      <c r="A4" s="446" t="s">
        <v>207</v>
      </c>
      <c r="B4" s="446" t="s">
        <v>94</v>
      </c>
      <c r="C4" s="454" t="s">
        <v>0</v>
      </c>
      <c r="D4" s="266" t="s">
        <v>134</v>
      </c>
      <c r="E4" s="448" t="s">
        <v>95</v>
      </c>
      <c r="F4" s="453" t="s">
        <v>70</v>
      </c>
      <c r="G4" s="449" t="s">
        <v>69</v>
      </c>
      <c r="H4" s="450">
        <v>2015</v>
      </c>
      <c r="I4" s="451"/>
      <c r="J4" s="101"/>
      <c r="K4" s="101"/>
      <c r="L4" s="450">
        <v>2017</v>
      </c>
      <c r="M4" s="451"/>
      <c r="N4" s="101"/>
      <c r="O4" s="101"/>
      <c r="P4" s="450">
        <v>2018</v>
      </c>
      <c r="Q4" s="451"/>
      <c r="R4" s="452" t="s">
        <v>2</v>
      </c>
      <c r="S4" s="447" t="s">
        <v>97</v>
      </c>
    </row>
    <row r="5" spans="1:19" ht="14.4" customHeight="1" thickBot="1" x14ac:dyDescent="0.35">
      <c r="A5" s="642"/>
      <c r="B5" s="642"/>
      <c r="C5" s="643"/>
      <c r="D5" s="652"/>
      <c r="E5" s="644"/>
      <c r="F5" s="645"/>
      <c r="G5" s="646"/>
      <c r="H5" s="647" t="s">
        <v>71</v>
      </c>
      <c r="I5" s="648" t="s">
        <v>14</v>
      </c>
      <c r="J5" s="649"/>
      <c r="K5" s="649"/>
      <c r="L5" s="647" t="s">
        <v>71</v>
      </c>
      <c r="M5" s="648" t="s">
        <v>14</v>
      </c>
      <c r="N5" s="649"/>
      <c r="O5" s="649"/>
      <c r="P5" s="647" t="s">
        <v>71</v>
      </c>
      <c r="Q5" s="648" t="s">
        <v>14</v>
      </c>
      <c r="R5" s="650"/>
      <c r="S5" s="651"/>
    </row>
    <row r="6" spans="1:19" ht="14.4" customHeight="1" x14ac:dyDescent="0.3">
      <c r="A6" s="564" t="s">
        <v>892</v>
      </c>
      <c r="B6" s="565" t="s">
        <v>893</v>
      </c>
      <c r="C6" s="565" t="s">
        <v>449</v>
      </c>
      <c r="D6" s="565" t="s">
        <v>890</v>
      </c>
      <c r="E6" s="565" t="s">
        <v>894</v>
      </c>
      <c r="F6" s="565" t="s">
        <v>895</v>
      </c>
      <c r="G6" s="565" t="s">
        <v>896</v>
      </c>
      <c r="H6" s="116"/>
      <c r="I6" s="116"/>
      <c r="J6" s="565"/>
      <c r="K6" s="565"/>
      <c r="L6" s="116">
        <v>1</v>
      </c>
      <c r="M6" s="116">
        <v>37</v>
      </c>
      <c r="N6" s="565">
        <v>1</v>
      </c>
      <c r="O6" s="565">
        <v>37</v>
      </c>
      <c r="P6" s="116"/>
      <c r="Q6" s="116"/>
      <c r="R6" s="570"/>
      <c r="S6" s="591"/>
    </row>
    <row r="7" spans="1:19" ht="14.4" customHeight="1" x14ac:dyDescent="0.3">
      <c r="A7" s="571" t="s">
        <v>892</v>
      </c>
      <c r="B7" s="572" t="s">
        <v>893</v>
      </c>
      <c r="C7" s="572" t="s">
        <v>449</v>
      </c>
      <c r="D7" s="572" t="s">
        <v>890</v>
      </c>
      <c r="E7" s="572" t="s">
        <v>894</v>
      </c>
      <c r="F7" s="572" t="s">
        <v>897</v>
      </c>
      <c r="G7" s="572" t="s">
        <v>898</v>
      </c>
      <c r="H7" s="592">
        <v>1</v>
      </c>
      <c r="I7" s="592">
        <v>74</v>
      </c>
      <c r="J7" s="572"/>
      <c r="K7" s="572">
        <v>74</v>
      </c>
      <c r="L7" s="592"/>
      <c r="M7" s="592"/>
      <c r="N7" s="572"/>
      <c r="O7" s="572"/>
      <c r="P7" s="592"/>
      <c r="Q7" s="592"/>
      <c r="R7" s="577"/>
      <c r="S7" s="593"/>
    </row>
    <row r="8" spans="1:19" ht="14.4" customHeight="1" x14ac:dyDescent="0.3">
      <c r="A8" s="571" t="s">
        <v>892</v>
      </c>
      <c r="B8" s="572" t="s">
        <v>899</v>
      </c>
      <c r="C8" s="572" t="s">
        <v>449</v>
      </c>
      <c r="D8" s="572" t="s">
        <v>886</v>
      </c>
      <c r="E8" s="572" t="s">
        <v>894</v>
      </c>
      <c r="F8" s="572" t="s">
        <v>900</v>
      </c>
      <c r="G8" s="572" t="s">
        <v>901</v>
      </c>
      <c r="H8" s="592">
        <v>50</v>
      </c>
      <c r="I8" s="592">
        <v>3300</v>
      </c>
      <c r="J8" s="572">
        <v>1.3157894736842106</v>
      </c>
      <c r="K8" s="572">
        <v>66</v>
      </c>
      <c r="L8" s="592">
        <v>38</v>
      </c>
      <c r="M8" s="592">
        <v>2508</v>
      </c>
      <c r="N8" s="572">
        <v>1</v>
      </c>
      <c r="O8" s="572">
        <v>66</v>
      </c>
      <c r="P8" s="592">
        <v>35</v>
      </c>
      <c r="Q8" s="592">
        <v>2310</v>
      </c>
      <c r="R8" s="577">
        <v>0.92105263157894735</v>
      </c>
      <c r="S8" s="593">
        <v>66</v>
      </c>
    </row>
    <row r="9" spans="1:19" ht="14.4" customHeight="1" x14ac:dyDescent="0.3">
      <c r="A9" s="571" t="s">
        <v>892</v>
      </c>
      <c r="B9" s="572" t="s">
        <v>899</v>
      </c>
      <c r="C9" s="572" t="s">
        <v>449</v>
      </c>
      <c r="D9" s="572" t="s">
        <v>886</v>
      </c>
      <c r="E9" s="572" t="s">
        <v>894</v>
      </c>
      <c r="F9" s="572" t="s">
        <v>895</v>
      </c>
      <c r="G9" s="572" t="s">
        <v>896</v>
      </c>
      <c r="H9" s="592">
        <v>116</v>
      </c>
      <c r="I9" s="592">
        <v>4292</v>
      </c>
      <c r="J9" s="572">
        <v>1.4320987654320987</v>
      </c>
      <c r="K9" s="572">
        <v>37</v>
      </c>
      <c r="L9" s="592">
        <v>81</v>
      </c>
      <c r="M9" s="592">
        <v>2997</v>
      </c>
      <c r="N9" s="572">
        <v>1</v>
      </c>
      <c r="O9" s="572">
        <v>37</v>
      </c>
      <c r="P9" s="592">
        <v>94</v>
      </c>
      <c r="Q9" s="592">
        <v>3478</v>
      </c>
      <c r="R9" s="577">
        <v>1.1604938271604939</v>
      </c>
      <c r="S9" s="593">
        <v>37</v>
      </c>
    </row>
    <row r="10" spans="1:19" ht="14.4" customHeight="1" x14ac:dyDescent="0.3">
      <c r="A10" s="571" t="s">
        <v>892</v>
      </c>
      <c r="B10" s="572" t="s">
        <v>899</v>
      </c>
      <c r="C10" s="572" t="s">
        <v>449</v>
      </c>
      <c r="D10" s="572" t="s">
        <v>886</v>
      </c>
      <c r="E10" s="572" t="s">
        <v>894</v>
      </c>
      <c r="F10" s="572" t="s">
        <v>902</v>
      </c>
      <c r="G10" s="572" t="s">
        <v>903</v>
      </c>
      <c r="H10" s="592">
        <v>320</v>
      </c>
      <c r="I10" s="592">
        <v>792960</v>
      </c>
      <c r="J10" s="572">
        <v>0.8931338979996396</v>
      </c>
      <c r="K10" s="572">
        <v>2478</v>
      </c>
      <c r="L10" s="592">
        <v>358</v>
      </c>
      <c r="M10" s="592">
        <v>887840</v>
      </c>
      <c r="N10" s="572">
        <v>1</v>
      </c>
      <c r="O10" s="572">
        <v>2480</v>
      </c>
      <c r="P10" s="592">
        <v>382</v>
      </c>
      <c r="Q10" s="592">
        <v>948506</v>
      </c>
      <c r="R10" s="577">
        <v>1.068329879257524</v>
      </c>
      <c r="S10" s="593">
        <v>2483</v>
      </c>
    </row>
    <row r="11" spans="1:19" ht="14.4" customHeight="1" x14ac:dyDescent="0.3">
      <c r="A11" s="571" t="s">
        <v>892</v>
      </c>
      <c r="B11" s="572" t="s">
        <v>899</v>
      </c>
      <c r="C11" s="572" t="s">
        <v>449</v>
      </c>
      <c r="D11" s="572" t="s">
        <v>886</v>
      </c>
      <c r="E11" s="572" t="s">
        <v>894</v>
      </c>
      <c r="F11" s="572" t="s">
        <v>904</v>
      </c>
      <c r="G11" s="572" t="s">
        <v>905</v>
      </c>
      <c r="H11" s="592">
        <v>8</v>
      </c>
      <c r="I11" s="592">
        <v>2768</v>
      </c>
      <c r="J11" s="572">
        <v>1.994236311239193</v>
      </c>
      <c r="K11" s="572">
        <v>346</v>
      </c>
      <c r="L11" s="592">
        <v>4</v>
      </c>
      <c r="M11" s="592">
        <v>1388</v>
      </c>
      <c r="N11" s="572">
        <v>1</v>
      </c>
      <c r="O11" s="572">
        <v>347</v>
      </c>
      <c r="P11" s="592">
        <v>73</v>
      </c>
      <c r="Q11" s="592">
        <v>25331</v>
      </c>
      <c r="R11" s="577">
        <v>18.25</v>
      </c>
      <c r="S11" s="593">
        <v>347</v>
      </c>
    </row>
    <row r="12" spans="1:19" ht="14.4" customHeight="1" x14ac:dyDescent="0.3">
      <c r="A12" s="571" t="s">
        <v>892</v>
      </c>
      <c r="B12" s="572" t="s">
        <v>899</v>
      </c>
      <c r="C12" s="572" t="s">
        <v>449</v>
      </c>
      <c r="D12" s="572" t="s">
        <v>886</v>
      </c>
      <c r="E12" s="572" t="s">
        <v>894</v>
      </c>
      <c r="F12" s="572" t="s">
        <v>906</v>
      </c>
      <c r="G12" s="572" t="s">
        <v>907</v>
      </c>
      <c r="H12" s="592">
        <v>682</v>
      </c>
      <c r="I12" s="592">
        <v>238700</v>
      </c>
      <c r="J12" s="572">
        <v>1.0119895536562202</v>
      </c>
      <c r="K12" s="572">
        <v>350</v>
      </c>
      <c r="L12" s="592">
        <v>672</v>
      </c>
      <c r="M12" s="592">
        <v>235872</v>
      </c>
      <c r="N12" s="572">
        <v>1</v>
      </c>
      <c r="O12" s="572">
        <v>351</v>
      </c>
      <c r="P12" s="592">
        <v>773</v>
      </c>
      <c r="Q12" s="592">
        <v>271323</v>
      </c>
      <c r="R12" s="577">
        <v>1.1502976190476191</v>
      </c>
      <c r="S12" s="593">
        <v>351</v>
      </c>
    </row>
    <row r="13" spans="1:19" ht="14.4" customHeight="1" x14ac:dyDescent="0.3">
      <c r="A13" s="571" t="s">
        <v>892</v>
      </c>
      <c r="B13" s="572" t="s">
        <v>899</v>
      </c>
      <c r="C13" s="572" t="s">
        <v>449</v>
      </c>
      <c r="D13" s="572" t="s">
        <v>886</v>
      </c>
      <c r="E13" s="572" t="s">
        <v>894</v>
      </c>
      <c r="F13" s="572" t="s">
        <v>908</v>
      </c>
      <c r="G13" s="572" t="s">
        <v>909</v>
      </c>
      <c r="H13" s="592">
        <v>660</v>
      </c>
      <c r="I13" s="592">
        <v>21999.830000000013</v>
      </c>
      <c r="J13" s="572">
        <v>0.44654826686174132</v>
      </c>
      <c r="K13" s="572">
        <v>33.333075757575777</v>
      </c>
      <c r="L13" s="592">
        <v>1478</v>
      </c>
      <c r="M13" s="592">
        <v>49266.410000000113</v>
      </c>
      <c r="N13" s="572">
        <v>1</v>
      </c>
      <c r="O13" s="572">
        <v>33.333159675236885</v>
      </c>
      <c r="P13" s="592">
        <v>1682</v>
      </c>
      <c r="Q13" s="592">
        <v>56066.36000000011</v>
      </c>
      <c r="R13" s="577">
        <v>1.1380240614244062</v>
      </c>
      <c r="S13" s="593">
        <v>33.333151010701613</v>
      </c>
    </row>
    <row r="14" spans="1:19" ht="14.4" customHeight="1" x14ac:dyDescent="0.3">
      <c r="A14" s="571" t="s">
        <v>892</v>
      </c>
      <c r="B14" s="572" t="s">
        <v>899</v>
      </c>
      <c r="C14" s="572" t="s">
        <v>449</v>
      </c>
      <c r="D14" s="572" t="s">
        <v>886</v>
      </c>
      <c r="E14" s="572" t="s">
        <v>894</v>
      </c>
      <c r="F14" s="572" t="s">
        <v>910</v>
      </c>
      <c r="G14" s="572" t="s">
        <v>911</v>
      </c>
      <c r="H14" s="592">
        <v>748</v>
      </c>
      <c r="I14" s="592">
        <v>1136212</v>
      </c>
      <c r="J14" s="572">
        <v>0.98746089133004245</v>
      </c>
      <c r="K14" s="572">
        <v>1519</v>
      </c>
      <c r="L14" s="592">
        <v>757</v>
      </c>
      <c r="M14" s="592">
        <v>1150640</v>
      </c>
      <c r="N14" s="572">
        <v>1</v>
      </c>
      <c r="O14" s="572">
        <v>1520</v>
      </c>
      <c r="P14" s="592">
        <v>875</v>
      </c>
      <c r="Q14" s="592">
        <v>1331750</v>
      </c>
      <c r="R14" s="577">
        <v>1.1573993603559758</v>
      </c>
      <c r="S14" s="593">
        <v>1522</v>
      </c>
    </row>
    <row r="15" spans="1:19" ht="14.4" customHeight="1" x14ac:dyDescent="0.3">
      <c r="A15" s="571" t="s">
        <v>892</v>
      </c>
      <c r="B15" s="572" t="s">
        <v>899</v>
      </c>
      <c r="C15" s="572" t="s">
        <v>449</v>
      </c>
      <c r="D15" s="572" t="s">
        <v>886</v>
      </c>
      <c r="E15" s="572" t="s">
        <v>894</v>
      </c>
      <c r="F15" s="572" t="s">
        <v>912</v>
      </c>
      <c r="G15" s="572" t="s">
        <v>913</v>
      </c>
      <c r="H15" s="592">
        <v>160</v>
      </c>
      <c r="I15" s="592">
        <v>18560</v>
      </c>
      <c r="J15" s="572">
        <v>1.2598425196850394</v>
      </c>
      <c r="K15" s="572">
        <v>116</v>
      </c>
      <c r="L15" s="592">
        <v>127</v>
      </c>
      <c r="M15" s="592">
        <v>14732</v>
      </c>
      <c r="N15" s="572">
        <v>1</v>
      </c>
      <c r="O15" s="572">
        <v>116</v>
      </c>
      <c r="P15" s="592">
        <v>164</v>
      </c>
      <c r="Q15" s="592">
        <v>19024</v>
      </c>
      <c r="R15" s="577">
        <v>1.2913385826771653</v>
      </c>
      <c r="S15" s="593">
        <v>116</v>
      </c>
    </row>
    <row r="16" spans="1:19" ht="14.4" customHeight="1" x14ac:dyDescent="0.3">
      <c r="A16" s="571" t="s">
        <v>892</v>
      </c>
      <c r="B16" s="572" t="s">
        <v>899</v>
      </c>
      <c r="C16" s="572" t="s">
        <v>449</v>
      </c>
      <c r="D16" s="572" t="s">
        <v>886</v>
      </c>
      <c r="E16" s="572" t="s">
        <v>894</v>
      </c>
      <c r="F16" s="572" t="s">
        <v>914</v>
      </c>
      <c r="G16" s="572" t="s">
        <v>915</v>
      </c>
      <c r="H16" s="592">
        <v>356</v>
      </c>
      <c r="I16" s="592">
        <v>13172</v>
      </c>
      <c r="J16" s="572">
        <v>0.93684210526315792</v>
      </c>
      <c r="K16" s="572">
        <v>37</v>
      </c>
      <c r="L16" s="592">
        <v>380</v>
      </c>
      <c r="M16" s="592">
        <v>14060</v>
      </c>
      <c r="N16" s="572">
        <v>1</v>
      </c>
      <c r="O16" s="572">
        <v>37</v>
      </c>
      <c r="P16" s="592">
        <v>413</v>
      </c>
      <c r="Q16" s="592">
        <v>15281</v>
      </c>
      <c r="R16" s="577">
        <v>1.0868421052631578</v>
      </c>
      <c r="S16" s="593">
        <v>37</v>
      </c>
    </row>
    <row r="17" spans="1:19" ht="14.4" customHeight="1" x14ac:dyDescent="0.3">
      <c r="A17" s="571" t="s">
        <v>892</v>
      </c>
      <c r="B17" s="572" t="s">
        <v>899</v>
      </c>
      <c r="C17" s="572" t="s">
        <v>449</v>
      </c>
      <c r="D17" s="572" t="s">
        <v>886</v>
      </c>
      <c r="E17" s="572" t="s">
        <v>894</v>
      </c>
      <c r="F17" s="572" t="s">
        <v>897</v>
      </c>
      <c r="G17" s="572" t="s">
        <v>898</v>
      </c>
      <c r="H17" s="592">
        <v>1</v>
      </c>
      <c r="I17" s="592">
        <v>74</v>
      </c>
      <c r="J17" s="572">
        <v>0.125</v>
      </c>
      <c r="K17" s="572">
        <v>74</v>
      </c>
      <c r="L17" s="592">
        <v>8</v>
      </c>
      <c r="M17" s="592">
        <v>592</v>
      </c>
      <c r="N17" s="572">
        <v>1</v>
      </c>
      <c r="O17" s="572">
        <v>74</v>
      </c>
      <c r="P17" s="592">
        <v>11</v>
      </c>
      <c r="Q17" s="592">
        <v>814</v>
      </c>
      <c r="R17" s="577">
        <v>1.375</v>
      </c>
      <c r="S17" s="593">
        <v>74</v>
      </c>
    </row>
    <row r="18" spans="1:19" ht="14.4" customHeight="1" x14ac:dyDescent="0.3">
      <c r="A18" s="571" t="s">
        <v>892</v>
      </c>
      <c r="B18" s="572" t="s">
        <v>899</v>
      </c>
      <c r="C18" s="572" t="s">
        <v>449</v>
      </c>
      <c r="D18" s="572" t="s">
        <v>886</v>
      </c>
      <c r="E18" s="572" t="s">
        <v>894</v>
      </c>
      <c r="F18" s="572" t="s">
        <v>916</v>
      </c>
      <c r="G18" s="572" t="s">
        <v>917</v>
      </c>
      <c r="H18" s="592">
        <v>1</v>
      </c>
      <c r="I18" s="592">
        <v>59</v>
      </c>
      <c r="J18" s="572"/>
      <c r="K18" s="572">
        <v>59</v>
      </c>
      <c r="L18" s="592"/>
      <c r="M18" s="592"/>
      <c r="N18" s="572"/>
      <c r="O18" s="572"/>
      <c r="P18" s="592"/>
      <c r="Q18" s="592"/>
      <c r="R18" s="577"/>
      <c r="S18" s="593"/>
    </row>
    <row r="19" spans="1:19" ht="14.4" customHeight="1" x14ac:dyDescent="0.3">
      <c r="A19" s="571" t="s">
        <v>892</v>
      </c>
      <c r="B19" s="572" t="s">
        <v>899</v>
      </c>
      <c r="C19" s="572" t="s">
        <v>449</v>
      </c>
      <c r="D19" s="572" t="s">
        <v>890</v>
      </c>
      <c r="E19" s="572" t="s">
        <v>894</v>
      </c>
      <c r="F19" s="572" t="s">
        <v>895</v>
      </c>
      <c r="G19" s="572" t="s">
        <v>896</v>
      </c>
      <c r="H19" s="592"/>
      <c r="I19" s="592"/>
      <c r="J19" s="572"/>
      <c r="K19" s="572"/>
      <c r="L19" s="592">
        <v>18</v>
      </c>
      <c r="M19" s="592">
        <v>666</v>
      </c>
      <c r="N19" s="572">
        <v>1</v>
      </c>
      <c r="O19" s="572">
        <v>37</v>
      </c>
      <c r="P19" s="592">
        <v>1</v>
      </c>
      <c r="Q19" s="592">
        <v>37</v>
      </c>
      <c r="R19" s="577">
        <v>5.5555555555555552E-2</v>
      </c>
      <c r="S19" s="593">
        <v>37</v>
      </c>
    </row>
    <row r="20" spans="1:19" ht="14.4" customHeight="1" x14ac:dyDescent="0.3">
      <c r="A20" s="571" t="s">
        <v>892</v>
      </c>
      <c r="B20" s="572" t="s">
        <v>899</v>
      </c>
      <c r="C20" s="572" t="s">
        <v>449</v>
      </c>
      <c r="D20" s="572" t="s">
        <v>890</v>
      </c>
      <c r="E20" s="572" t="s">
        <v>894</v>
      </c>
      <c r="F20" s="572" t="s">
        <v>897</v>
      </c>
      <c r="G20" s="572" t="s">
        <v>898</v>
      </c>
      <c r="H20" s="592">
        <v>1</v>
      </c>
      <c r="I20" s="592">
        <v>74</v>
      </c>
      <c r="J20" s="572">
        <v>0.2</v>
      </c>
      <c r="K20" s="572">
        <v>74</v>
      </c>
      <c r="L20" s="592">
        <v>5</v>
      </c>
      <c r="M20" s="592">
        <v>370</v>
      </c>
      <c r="N20" s="572">
        <v>1</v>
      </c>
      <c r="O20" s="572">
        <v>74</v>
      </c>
      <c r="P20" s="592">
        <v>6</v>
      </c>
      <c r="Q20" s="592">
        <v>444</v>
      </c>
      <c r="R20" s="577">
        <v>1.2</v>
      </c>
      <c r="S20" s="593">
        <v>74</v>
      </c>
    </row>
    <row r="21" spans="1:19" ht="14.4" customHeight="1" x14ac:dyDescent="0.3">
      <c r="A21" s="571" t="s">
        <v>918</v>
      </c>
      <c r="B21" s="572" t="s">
        <v>919</v>
      </c>
      <c r="C21" s="572" t="s">
        <v>449</v>
      </c>
      <c r="D21" s="572" t="s">
        <v>890</v>
      </c>
      <c r="E21" s="572" t="s">
        <v>894</v>
      </c>
      <c r="F21" s="572" t="s">
        <v>897</v>
      </c>
      <c r="G21" s="572" t="s">
        <v>898</v>
      </c>
      <c r="H21" s="592">
        <v>1</v>
      </c>
      <c r="I21" s="592">
        <v>74</v>
      </c>
      <c r="J21" s="572"/>
      <c r="K21" s="572">
        <v>74</v>
      </c>
      <c r="L21" s="592"/>
      <c r="M21" s="592"/>
      <c r="N21" s="572"/>
      <c r="O21" s="572"/>
      <c r="P21" s="592"/>
      <c r="Q21" s="592"/>
      <c r="R21" s="577"/>
      <c r="S21" s="593"/>
    </row>
    <row r="22" spans="1:19" ht="14.4" customHeight="1" x14ac:dyDescent="0.3">
      <c r="A22" s="571" t="s">
        <v>918</v>
      </c>
      <c r="B22" s="572" t="s">
        <v>919</v>
      </c>
      <c r="C22" s="572" t="s">
        <v>454</v>
      </c>
      <c r="D22" s="572" t="s">
        <v>886</v>
      </c>
      <c r="E22" s="572" t="s">
        <v>894</v>
      </c>
      <c r="F22" s="572" t="s">
        <v>920</v>
      </c>
      <c r="G22" s="572" t="s">
        <v>921</v>
      </c>
      <c r="H22" s="592">
        <v>30</v>
      </c>
      <c r="I22" s="592">
        <v>334980</v>
      </c>
      <c r="J22" s="572">
        <v>1.2491050653302309</v>
      </c>
      <c r="K22" s="572">
        <v>11166</v>
      </c>
      <c r="L22" s="592">
        <v>24</v>
      </c>
      <c r="M22" s="592">
        <v>268176</v>
      </c>
      <c r="N22" s="572">
        <v>1</v>
      </c>
      <c r="O22" s="572">
        <v>11174</v>
      </c>
      <c r="P22" s="592">
        <v>43</v>
      </c>
      <c r="Q22" s="592">
        <v>535006</v>
      </c>
      <c r="R22" s="577">
        <v>1.9949809080603782</v>
      </c>
      <c r="S22" s="593">
        <v>12442</v>
      </c>
    </row>
    <row r="23" spans="1:19" ht="14.4" customHeight="1" x14ac:dyDescent="0.3">
      <c r="A23" s="571" t="s">
        <v>918</v>
      </c>
      <c r="B23" s="572" t="s">
        <v>919</v>
      </c>
      <c r="C23" s="572" t="s">
        <v>454</v>
      </c>
      <c r="D23" s="572" t="s">
        <v>886</v>
      </c>
      <c r="E23" s="572" t="s">
        <v>894</v>
      </c>
      <c r="F23" s="572" t="s">
        <v>922</v>
      </c>
      <c r="G23" s="572" t="s">
        <v>923</v>
      </c>
      <c r="H23" s="592">
        <v>243</v>
      </c>
      <c r="I23" s="592">
        <v>76302</v>
      </c>
      <c r="J23" s="572">
        <v>0.75933721450962832</v>
      </c>
      <c r="K23" s="572">
        <v>314</v>
      </c>
      <c r="L23" s="592">
        <v>319</v>
      </c>
      <c r="M23" s="592">
        <v>100485</v>
      </c>
      <c r="N23" s="572">
        <v>1</v>
      </c>
      <c r="O23" s="572">
        <v>315</v>
      </c>
      <c r="P23" s="592">
        <v>865</v>
      </c>
      <c r="Q23" s="592">
        <v>258635</v>
      </c>
      <c r="R23" s="577">
        <v>2.5738667462805394</v>
      </c>
      <c r="S23" s="593">
        <v>299</v>
      </c>
    </row>
    <row r="24" spans="1:19" ht="14.4" customHeight="1" x14ac:dyDescent="0.3">
      <c r="A24" s="571" t="s">
        <v>918</v>
      </c>
      <c r="B24" s="572" t="s">
        <v>919</v>
      </c>
      <c r="C24" s="572" t="s">
        <v>454</v>
      </c>
      <c r="D24" s="572" t="s">
        <v>886</v>
      </c>
      <c r="E24" s="572" t="s">
        <v>894</v>
      </c>
      <c r="F24" s="572" t="s">
        <v>924</v>
      </c>
      <c r="G24" s="572" t="s">
        <v>925</v>
      </c>
      <c r="H24" s="592">
        <v>583</v>
      </c>
      <c r="I24" s="592">
        <v>747989</v>
      </c>
      <c r="J24" s="572">
        <v>0.92689905573868003</v>
      </c>
      <c r="K24" s="572">
        <v>1283</v>
      </c>
      <c r="L24" s="592">
        <v>628</v>
      </c>
      <c r="M24" s="592">
        <v>806980</v>
      </c>
      <c r="N24" s="572">
        <v>1</v>
      </c>
      <c r="O24" s="572">
        <v>1285</v>
      </c>
      <c r="P24" s="592"/>
      <c r="Q24" s="592"/>
      <c r="R24" s="577"/>
      <c r="S24" s="593"/>
    </row>
    <row r="25" spans="1:19" ht="14.4" customHeight="1" x14ac:dyDescent="0.3">
      <c r="A25" s="571" t="s">
        <v>918</v>
      </c>
      <c r="B25" s="572" t="s">
        <v>919</v>
      </c>
      <c r="C25" s="572" t="s">
        <v>454</v>
      </c>
      <c r="D25" s="572" t="s">
        <v>886</v>
      </c>
      <c r="E25" s="572" t="s">
        <v>894</v>
      </c>
      <c r="F25" s="572" t="s">
        <v>926</v>
      </c>
      <c r="G25" s="572" t="s">
        <v>927</v>
      </c>
      <c r="H25" s="592">
        <v>36</v>
      </c>
      <c r="I25" s="592">
        <v>351108</v>
      </c>
      <c r="J25" s="572">
        <v>2.1156947105824506</v>
      </c>
      <c r="K25" s="572">
        <v>9753</v>
      </c>
      <c r="L25" s="592">
        <v>17</v>
      </c>
      <c r="M25" s="592">
        <v>165954</v>
      </c>
      <c r="N25" s="572">
        <v>1</v>
      </c>
      <c r="O25" s="572">
        <v>9762</v>
      </c>
      <c r="P25" s="592">
        <v>25</v>
      </c>
      <c r="Q25" s="592">
        <v>261675</v>
      </c>
      <c r="R25" s="577">
        <v>1.5767923641491015</v>
      </c>
      <c r="S25" s="593">
        <v>10467</v>
      </c>
    </row>
    <row r="26" spans="1:19" ht="14.4" customHeight="1" x14ac:dyDescent="0.3">
      <c r="A26" s="571" t="s">
        <v>918</v>
      </c>
      <c r="B26" s="572" t="s">
        <v>919</v>
      </c>
      <c r="C26" s="572" t="s">
        <v>454</v>
      </c>
      <c r="D26" s="572" t="s">
        <v>886</v>
      </c>
      <c r="E26" s="572" t="s">
        <v>894</v>
      </c>
      <c r="F26" s="572" t="s">
        <v>928</v>
      </c>
      <c r="G26" s="572" t="s">
        <v>929</v>
      </c>
      <c r="H26" s="592">
        <v>2921</v>
      </c>
      <c r="I26" s="592">
        <v>1270635</v>
      </c>
      <c r="J26" s="572"/>
      <c r="K26" s="572">
        <v>435</v>
      </c>
      <c r="L26" s="592"/>
      <c r="M26" s="592"/>
      <c r="N26" s="572"/>
      <c r="O26" s="572"/>
      <c r="P26" s="592"/>
      <c r="Q26" s="592"/>
      <c r="R26" s="577"/>
      <c r="S26" s="593"/>
    </row>
    <row r="27" spans="1:19" ht="14.4" customHeight="1" x14ac:dyDescent="0.3">
      <c r="A27" s="571" t="s">
        <v>918</v>
      </c>
      <c r="B27" s="572" t="s">
        <v>919</v>
      </c>
      <c r="C27" s="572" t="s">
        <v>454</v>
      </c>
      <c r="D27" s="572" t="s">
        <v>886</v>
      </c>
      <c r="E27" s="572" t="s">
        <v>894</v>
      </c>
      <c r="F27" s="572" t="s">
        <v>930</v>
      </c>
      <c r="G27" s="572" t="s">
        <v>931</v>
      </c>
      <c r="H27" s="592">
        <v>145</v>
      </c>
      <c r="I27" s="592">
        <v>146595</v>
      </c>
      <c r="J27" s="572">
        <v>4.5267724802371543</v>
      </c>
      <c r="K27" s="572">
        <v>1011</v>
      </c>
      <c r="L27" s="592">
        <v>32</v>
      </c>
      <c r="M27" s="592">
        <v>32384</v>
      </c>
      <c r="N27" s="572">
        <v>1</v>
      </c>
      <c r="O27" s="572">
        <v>1012</v>
      </c>
      <c r="P27" s="592"/>
      <c r="Q27" s="592"/>
      <c r="R27" s="577"/>
      <c r="S27" s="593"/>
    </row>
    <row r="28" spans="1:19" ht="14.4" customHeight="1" x14ac:dyDescent="0.3">
      <c r="A28" s="571" t="s">
        <v>918</v>
      </c>
      <c r="B28" s="572" t="s">
        <v>919</v>
      </c>
      <c r="C28" s="572" t="s">
        <v>454</v>
      </c>
      <c r="D28" s="572" t="s">
        <v>886</v>
      </c>
      <c r="E28" s="572" t="s">
        <v>894</v>
      </c>
      <c r="F28" s="572" t="s">
        <v>932</v>
      </c>
      <c r="G28" s="572" t="s">
        <v>933</v>
      </c>
      <c r="H28" s="592">
        <v>14310</v>
      </c>
      <c r="I28" s="592">
        <v>32827140</v>
      </c>
      <c r="J28" s="572">
        <v>1.5523908760456142</v>
      </c>
      <c r="K28" s="572">
        <v>2294</v>
      </c>
      <c r="L28" s="592">
        <v>9206</v>
      </c>
      <c r="M28" s="592">
        <v>21146182</v>
      </c>
      <c r="N28" s="572">
        <v>1</v>
      </c>
      <c r="O28" s="572">
        <v>2297</v>
      </c>
      <c r="P28" s="592"/>
      <c r="Q28" s="592"/>
      <c r="R28" s="577"/>
      <c r="S28" s="593"/>
    </row>
    <row r="29" spans="1:19" ht="14.4" customHeight="1" x14ac:dyDescent="0.3">
      <c r="A29" s="571" t="s">
        <v>918</v>
      </c>
      <c r="B29" s="572" t="s">
        <v>919</v>
      </c>
      <c r="C29" s="572" t="s">
        <v>454</v>
      </c>
      <c r="D29" s="572" t="s">
        <v>886</v>
      </c>
      <c r="E29" s="572" t="s">
        <v>894</v>
      </c>
      <c r="F29" s="572" t="s">
        <v>934</v>
      </c>
      <c r="G29" s="572" t="s">
        <v>935</v>
      </c>
      <c r="H29" s="592">
        <v>30</v>
      </c>
      <c r="I29" s="592">
        <v>15840</v>
      </c>
      <c r="J29" s="572">
        <v>1.2</v>
      </c>
      <c r="K29" s="572">
        <v>528</v>
      </c>
      <c r="L29" s="592">
        <v>25</v>
      </c>
      <c r="M29" s="592">
        <v>13200</v>
      </c>
      <c r="N29" s="572">
        <v>1</v>
      </c>
      <c r="O29" s="572">
        <v>528</v>
      </c>
      <c r="P29" s="592">
        <v>44</v>
      </c>
      <c r="Q29" s="592">
        <v>29040</v>
      </c>
      <c r="R29" s="577">
        <v>2.2000000000000002</v>
      </c>
      <c r="S29" s="593">
        <v>660</v>
      </c>
    </row>
    <row r="30" spans="1:19" ht="14.4" customHeight="1" x14ac:dyDescent="0.3">
      <c r="A30" s="571" t="s">
        <v>918</v>
      </c>
      <c r="B30" s="572" t="s">
        <v>919</v>
      </c>
      <c r="C30" s="572" t="s">
        <v>454</v>
      </c>
      <c r="D30" s="572" t="s">
        <v>886</v>
      </c>
      <c r="E30" s="572" t="s">
        <v>894</v>
      </c>
      <c r="F30" s="572" t="s">
        <v>936</v>
      </c>
      <c r="G30" s="572" t="s">
        <v>937</v>
      </c>
      <c r="H30" s="592">
        <v>55</v>
      </c>
      <c r="I30" s="592">
        <v>51480</v>
      </c>
      <c r="J30" s="572">
        <v>1.0366283401461911</v>
      </c>
      <c r="K30" s="572">
        <v>936</v>
      </c>
      <c r="L30" s="592">
        <v>53</v>
      </c>
      <c r="M30" s="592">
        <v>49661</v>
      </c>
      <c r="N30" s="572">
        <v>1</v>
      </c>
      <c r="O30" s="572">
        <v>937</v>
      </c>
      <c r="P30" s="592">
        <v>84</v>
      </c>
      <c r="Q30" s="592">
        <v>80808</v>
      </c>
      <c r="R30" s="577">
        <v>1.6271923642294759</v>
      </c>
      <c r="S30" s="593">
        <v>962</v>
      </c>
    </row>
    <row r="31" spans="1:19" ht="14.4" customHeight="1" x14ac:dyDescent="0.3">
      <c r="A31" s="571" t="s">
        <v>918</v>
      </c>
      <c r="B31" s="572" t="s">
        <v>919</v>
      </c>
      <c r="C31" s="572" t="s">
        <v>454</v>
      </c>
      <c r="D31" s="572" t="s">
        <v>886</v>
      </c>
      <c r="E31" s="572" t="s">
        <v>894</v>
      </c>
      <c r="F31" s="572" t="s">
        <v>938</v>
      </c>
      <c r="G31" s="572" t="s">
        <v>939</v>
      </c>
      <c r="H31" s="592">
        <v>187</v>
      </c>
      <c r="I31" s="592">
        <v>1295910</v>
      </c>
      <c r="J31" s="572">
        <v>1.0799897993879632</v>
      </c>
      <c r="K31" s="572">
        <v>6930</v>
      </c>
      <c r="L31" s="592">
        <v>173</v>
      </c>
      <c r="M31" s="592">
        <v>1199928</v>
      </c>
      <c r="N31" s="572">
        <v>1</v>
      </c>
      <c r="O31" s="572">
        <v>6936</v>
      </c>
      <c r="P31" s="592">
        <v>175</v>
      </c>
      <c r="Q31" s="592">
        <v>1321075</v>
      </c>
      <c r="R31" s="577">
        <v>1.1009618910467962</v>
      </c>
      <c r="S31" s="593">
        <v>7549</v>
      </c>
    </row>
    <row r="32" spans="1:19" ht="14.4" customHeight="1" x14ac:dyDescent="0.3">
      <c r="A32" s="571" t="s">
        <v>918</v>
      </c>
      <c r="B32" s="572" t="s">
        <v>919</v>
      </c>
      <c r="C32" s="572" t="s">
        <v>454</v>
      </c>
      <c r="D32" s="572" t="s">
        <v>886</v>
      </c>
      <c r="E32" s="572" t="s">
        <v>894</v>
      </c>
      <c r="F32" s="572" t="s">
        <v>940</v>
      </c>
      <c r="G32" s="572" t="s">
        <v>941</v>
      </c>
      <c r="H32" s="592">
        <v>6</v>
      </c>
      <c r="I32" s="592">
        <v>21354</v>
      </c>
      <c r="J32" s="572">
        <v>1.1989893318360472</v>
      </c>
      <c r="K32" s="572">
        <v>3559</v>
      </c>
      <c r="L32" s="592">
        <v>5</v>
      </c>
      <c r="M32" s="592">
        <v>17810</v>
      </c>
      <c r="N32" s="572">
        <v>1</v>
      </c>
      <c r="O32" s="572">
        <v>3562</v>
      </c>
      <c r="P32" s="592">
        <v>22</v>
      </c>
      <c r="Q32" s="592">
        <v>115984</v>
      </c>
      <c r="R32" s="577">
        <v>6.5122964626614266</v>
      </c>
      <c r="S32" s="593">
        <v>5272</v>
      </c>
    </row>
    <row r="33" spans="1:19" ht="14.4" customHeight="1" x14ac:dyDescent="0.3">
      <c r="A33" s="571" t="s">
        <v>918</v>
      </c>
      <c r="B33" s="572" t="s">
        <v>919</v>
      </c>
      <c r="C33" s="572" t="s">
        <v>454</v>
      </c>
      <c r="D33" s="572" t="s">
        <v>886</v>
      </c>
      <c r="E33" s="572" t="s">
        <v>894</v>
      </c>
      <c r="F33" s="572" t="s">
        <v>942</v>
      </c>
      <c r="G33" s="572" t="s">
        <v>943</v>
      </c>
      <c r="H33" s="592">
        <v>24</v>
      </c>
      <c r="I33" s="592">
        <v>214488</v>
      </c>
      <c r="J33" s="572">
        <v>0.85647201635573733</v>
      </c>
      <c r="K33" s="572">
        <v>8937</v>
      </c>
      <c r="L33" s="592">
        <v>28</v>
      </c>
      <c r="M33" s="592">
        <v>250432</v>
      </c>
      <c r="N33" s="572">
        <v>1</v>
      </c>
      <c r="O33" s="572">
        <v>8944</v>
      </c>
      <c r="P33" s="592">
        <v>44</v>
      </c>
      <c r="Q33" s="592">
        <v>463056</v>
      </c>
      <c r="R33" s="577">
        <v>1.8490288780986455</v>
      </c>
      <c r="S33" s="593">
        <v>10524</v>
      </c>
    </row>
    <row r="34" spans="1:19" ht="14.4" customHeight="1" x14ac:dyDescent="0.3">
      <c r="A34" s="571" t="s">
        <v>918</v>
      </c>
      <c r="B34" s="572" t="s">
        <v>919</v>
      </c>
      <c r="C34" s="572" t="s">
        <v>454</v>
      </c>
      <c r="D34" s="572" t="s">
        <v>886</v>
      </c>
      <c r="E34" s="572" t="s">
        <v>894</v>
      </c>
      <c r="F34" s="572" t="s">
        <v>944</v>
      </c>
      <c r="G34" s="572" t="s">
        <v>945</v>
      </c>
      <c r="H34" s="592">
        <v>2</v>
      </c>
      <c r="I34" s="592">
        <v>21858</v>
      </c>
      <c r="J34" s="572">
        <v>1.9985370759806163</v>
      </c>
      <c r="K34" s="572">
        <v>10929</v>
      </c>
      <c r="L34" s="592">
        <v>1</v>
      </c>
      <c r="M34" s="592">
        <v>10937</v>
      </c>
      <c r="N34" s="572">
        <v>1</v>
      </c>
      <c r="O34" s="572">
        <v>10937</v>
      </c>
      <c r="P34" s="592">
        <v>1</v>
      </c>
      <c r="Q34" s="592">
        <v>12442</v>
      </c>
      <c r="R34" s="577">
        <v>1.1376062905732833</v>
      </c>
      <c r="S34" s="593">
        <v>12442</v>
      </c>
    </row>
    <row r="35" spans="1:19" ht="14.4" customHeight="1" x14ac:dyDescent="0.3">
      <c r="A35" s="571" t="s">
        <v>918</v>
      </c>
      <c r="B35" s="572" t="s">
        <v>919</v>
      </c>
      <c r="C35" s="572" t="s">
        <v>454</v>
      </c>
      <c r="D35" s="572" t="s">
        <v>886</v>
      </c>
      <c r="E35" s="572" t="s">
        <v>894</v>
      </c>
      <c r="F35" s="572" t="s">
        <v>946</v>
      </c>
      <c r="G35" s="572" t="s">
        <v>947</v>
      </c>
      <c r="H35" s="592">
        <v>9</v>
      </c>
      <c r="I35" s="592">
        <v>9927</v>
      </c>
      <c r="J35" s="572">
        <v>4.4959239130434785</v>
      </c>
      <c r="K35" s="572">
        <v>1103</v>
      </c>
      <c r="L35" s="592">
        <v>2</v>
      </c>
      <c r="M35" s="592">
        <v>2208</v>
      </c>
      <c r="N35" s="572">
        <v>1</v>
      </c>
      <c r="O35" s="572">
        <v>1104</v>
      </c>
      <c r="P35" s="592">
        <v>0</v>
      </c>
      <c r="Q35" s="592">
        <v>0</v>
      </c>
      <c r="R35" s="577">
        <v>0</v>
      </c>
      <c r="S35" s="593"/>
    </row>
    <row r="36" spans="1:19" ht="14.4" customHeight="1" x14ac:dyDescent="0.3">
      <c r="A36" s="571" t="s">
        <v>918</v>
      </c>
      <c r="B36" s="572" t="s">
        <v>919</v>
      </c>
      <c r="C36" s="572" t="s">
        <v>454</v>
      </c>
      <c r="D36" s="572" t="s">
        <v>886</v>
      </c>
      <c r="E36" s="572" t="s">
        <v>894</v>
      </c>
      <c r="F36" s="572" t="s">
        <v>948</v>
      </c>
      <c r="G36" s="572" t="s">
        <v>949</v>
      </c>
      <c r="H36" s="592">
        <v>6</v>
      </c>
      <c r="I36" s="592">
        <v>3618</v>
      </c>
      <c r="J36" s="572">
        <v>6</v>
      </c>
      <c r="K36" s="572">
        <v>603</v>
      </c>
      <c r="L36" s="592">
        <v>1</v>
      </c>
      <c r="M36" s="592">
        <v>603</v>
      </c>
      <c r="N36" s="572">
        <v>1</v>
      </c>
      <c r="O36" s="572">
        <v>603</v>
      </c>
      <c r="P36" s="592">
        <v>2</v>
      </c>
      <c r="Q36" s="592">
        <v>1248</v>
      </c>
      <c r="R36" s="577">
        <v>2.0696517412935322</v>
      </c>
      <c r="S36" s="593">
        <v>624</v>
      </c>
    </row>
    <row r="37" spans="1:19" ht="14.4" customHeight="1" x14ac:dyDescent="0.3">
      <c r="A37" s="571" t="s">
        <v>918</v>
      </c>
      <c r="B37" s="572" t="s">
        <v>919</v>
      </c>
      <c r="C37" s="572" t="s">
        <v>454</v>
      </c>
      <c r="D37" s="572" t="s">
        <v>886</v>
      </c>
      <c r="E37" s="572" t="s">
        <v>894</v>
      </c>
      <c r="F37" s="572" t="s">
        <v>950</v>
      </c>
      <c r="G37" s="572"/>
      <c r="H37" s="592"/>
      <c r="I37" s="592"/>
      <c r="J37" s="572"/>
      <c r="K37" s="572"/>
      <c r="L37" s="592">
        <v>13</v>
      </c>
      <c r="M37" s="592">
        <v>0</v>
      </c>
      <c r="N37" s="572"/>
      <c r="O37" s="572">
        <v>0</v>
      </c>
      <c r="P37" s="592"/>
      <c r="Q37" s="592"/>
      <c r="R37" s="577"/>
      <c r="S37" s="593"/>
    </row>
    <row r="38" spans="1:19" ht="14.4" customHeight="1" x14ac:dyDescent="0.3">
      <c r="A38" s="571" t="s">
        <v>918</v>
      </c>
      <c r="B38" s="572" t="s">
        <v>919</v>
      </c>
      <c r="C38" s="572" t="s">
        <v>454</v>
      </c>
      <c r="D38" s="572" t="s">
        <v>886</v>
      </c>
      <c r="E38" s="572" t="s">
        <v>894</v>
      </c>
      <c r="F38" s="572" t="s">
        <v>951</v>
      </c>
      <c r="G38" s="572"/>
      <c r="H38" s="592"/>
      <c r="I38" s="592"/>
      <c r="J38" s="572"/>
      <c r="K38" s="572"/>
      <c r="L38" s="592">
        <v>13</v>
      </c>
      <c r="M38" s="592">
        <v>781716</v>
      </c>
      <c r="N38" s="572">
        <v>1</v>
      </c>
      <c r="O38" s="572">
        <v>60132</v>
      </c>
      <c r="P38" s="592"/>
      <c r="Q38" s="592"/>
      <c r="R38" s="577"/>
      <c r="S38" s="593"/>
    </row>
    <row r="39" spans="1:19" ht="14.4" customHeight="1" x14ac:dyDescent="0.3">
      <c r="A39" s="571" t="s">
        <v>918</v>
      </c>
      <c r="B39" s="572" t="s">
        <v>919</v>
      </c>
      <c r="C39" s="572" t="s">
        <v>454</v>
      </c>
      <c r="D39" s="572" t="s">
        <v>886</v>
      </c>
      <c r="E39" s="572" t="s">
        <v>894</v>
      </c>
      <c r="F39" s="572" t="s">
        <v>952</v>
      </c>
      <c r="G39" s="572"/>
      <c r="H39" s="592"/>
      <c r="I39" s="592"/>
      <c r="J39" s="572"/>
      <c r="K39" s="572"/>
      <c r="L39" s="592">
        <v>4</v>
      </c>
      <c r="M39" s="592">
        <v>0</v>
      </c>
      <c r="N39" s="572"/>
      <c r="O39" s="572">
        <v>0</v>
      </c>
      <c r="P39" s="592"/>
      <c r="Q39" s="592"/>
      <c r="R39" s="577"/>
      <c r="S39" s="593"/>
    </row>
    <row r="40" spans="1:19" ht="14.4" customHeight="1" x14ac:dyDescent="0.3">
      <c r="A40" s="571" t="s">
        <v>918</v>
      </c>
      <c r="B40" s="572" t="s">
        <v>919</v>
      </c>
      <c r="C40" s="572" t="s">
        <v>454</v>
      </c>
      <c r="D40" s="572" t="s">
        <v>886</v>
      </c>
      <c r="E40" s="572" t="s">
        <v>894</v>
      </c>
      <c r="F40" s="572" t="s">
        <v>953</v>
      </c>
      <c r="G40" s="572"/>
      <c r="H40" s="592"/>
      <c r="I40" s="592"/>
      <c r="J40" s="572"/>
      <c r="K40" s="572"/>
      <c r="L40" s="592">
        <v>4</v>
      </c>
      <c r="M40" s="592">
        <v>77520</v>
      </c>
      <c r="N40" s="572">
        <v>1</v>
      </c>
      <c r="O40" s="572">
        <v>19380</v>
      </c>
      <c r="P40" s="592"/>
      <c r="Q40" s="592"/>
      <c r="R40" s="577"/>
      <c r="S40" s="593"/>
    </row>
    <row r="41" spans="1:19" ht="14.4" customHeight="1" x14ac:dyDescent="0.3">
      <c r="A41" s="571" t="s">
        <v>918</v>
      </c>
      <c r="B41" s="572" t="s">
        <v>919</v>
      </c>
      <c r="C41" s="572" t="s">
        <v>454</v>
      </c>
      <c r="D41" s="572" t="s">
        <v>886</v>
      </c>
      <c r="E41" s="572" t="s">
        <v>894</v>
      </c>
      <c r="F41" s="572" t="s">
        <v>954</v>
      </c>
      <c r="G41" s="572" t="s">
        <v>955</v>
      </c>
      <c r="H41" s="592"/>
      <c r="I41" s="592"/>
      <c r="J41" s="572"/>
      <c r="K41" s="572"/>
      <c r="L41" s="592"/>
      <c r="M41" s="592"/>
      <c r="N41" s="572"/>
      <c r="O41" s="572"/>
      <c r="P41" s="592">
        <v>25</v>
      </c>
      <c r="Q41" s="592">
        <v>15225</v>
      </c>
      <c r="R41" s="577"/>
      <c r="S41" s="593">
        <v>609</v>
      </c>
    </row>
    <row r="42" spans="1:19" ht="14.4" customHeight="1" x14ac:dyDescent="0.3">
      <c r="A42" s="571" t="s">
        <v>918</v>
      </c>
      <c r="B42" s="572" t="s">
        <v>919</v>
      </c>
      <c r="C42" s="572" t="s">
        <v>454</v>
      </c>
      <c r="D42" s="572" t="s">
        <v>886</v>
      </c>
      <c r="E42" s="572" t="s">
        <v>894</v>
      </c>
      <c r="F42" s="572" t="s">
        <v>956</v>
      </c>
      <c r="G42" s="572" t="s">
        <v>957</v>
      </c>
      <c r="H42" s="592"/>
      <c r="I42" s="592"/>
      <c r="J42" s="572"/>
      <c r="K42" s="572"/>
      <c r="L42" s="592"/>
      <c r="M42" s="592"/>
      <c r="N42" s="572"/>
      <c r="O42" s="572"/>
      <c r="P42" s="592">
        <v>75</v>
      </c>
      <c r="Q42" s="592">
        <v>336000</v>
      </c>
      <c r="R42" s="577"/>
      <c r="S42" s="593">
        <v>4480</v>
      </c>
    </row>
    <row r="43" spans="1:19" ht="14.4" customHeight="1" x14ac:dyDescent="0.3">
      <c r="A43" s="571" t="s">
        <v>918</v>
      </c>
      <c r="B43" s="572" t="s">
        <v>919</v>
      </c>
      <c r="C43" s="572" t="s">
        <v>454</v>
      </c>
      <c r="D43" s="572" t="s">
        <v>886</v>
      </c>
      <c r="E43" s="572" t="s">
        <v>894</v>
      </c>
      <c r="F43" s="572" t="s">
        <v>958</v>
      </c>
      <c r="G43" s="572" t="s">
        <v>959</v>
      </c>
      <c r="H43" s="592"/>
      <c r="I43" s="592"/>
      <c r="J43" s="572"/>
      <c r="K43" s="572"/>
      <c r="L43" s="592"/>
      <c r="M43" s="592"/>
      <c r="N43" s="572"/>
      <c r="O43" s="572"/>
      <c r="P43" s="592">
        <v>411</v>
      </c>
      <c r="Q43" s="592">
        <v>454977</v>
      </c>
      <c r="R43" s="577"/>
      <c r="S43" s="593">
        <v>1107</v>
      </c>
    </row>
    <row r="44" spans="1:19" ht="14.4" customHeight="1" x14ac:dyDescent="0.3">
      <c r="A44" s="571" t="s">
        <v>918</v>
      </c>
      <c r="B44" s="572" t="s">
        <v>919</v>
      </c>
      <c r="C44" s="572" t="s">
        <v>454</v>
      </c>
      <c r="D44" s="572" t="s">
        <v>886</v>
      </c>
      <c r="E44" s="572" t="s">
        <v>894</v>
      </c>
      <c r="F44" s="572" t="s">
        <v>960</v>
      </c>
      <c r="G44" s="572" t="s">
        <v>961</v>
      </c>
      <c r="H44" s="592"/>
      <c r="I44" s="592"/>
      <c r="J44" s="572"/>
      <c r="K44" s="572"/>
      <c r="L44" s="592"/>
      <c r="M44" s="592"/>
      <c r="N44" s="572"/>
      <c r="O44" s="572"/>
      <c r="P44" s="592">
        <v>269</v>
      </c>
      <c r="Q44" s="592">
        <v>1998670</v>
      </c>
      <c r="R44" s="577"/>
      <c r="S44" s="593">
        <v>7430</v>
      </c>
    </row>
    <row r="45" spans="1:19" ht="14.4" customHeight="1" x14ac:dyDescent="0.3">
      <c r="A45" s="571" t="s">
        <v>918</v>
      </c>
      <c r="B45" s="572" t="s">
        <v>919</v>
      </c>
      <c r="C45" s="572" t="s">
        <v>454</v>
      </c>
      <c r="D45" s="572" t="s">
        <v>886</v>
      </c>
      <c r="E45" s="572" t="s">
        <v>894</v>
      </c>
      <c r="F45" s="572" t="s">
        <v>962</v>
      </c>
      <c r="G45" s="572" t="s">
        <v>963</v>
      </c>
      <c r="H45" s="592"/>
      <c r="I45" s="592"/>
      <c r="J45" s="572"/>
      <c r="K45" s="572"/>
      <c r="L45" s="592"/>
      <c r="M45" s="592"/>
      <c r="N45" s="572"/>
      <c r="O45" s="572"/>
      <c r="P45" s="592">
        <v>520</v>
      </c>
      <c r="Q45" s="592">
        <v>1994200</v>
      </c>
      <c r="R45" s="577"/>
      <c r="S45" s="593">
        <v>3835</v>
      </c>
    </row>
    <row r="46" spans="1:19" ht="14.4" customHeight="1" x14ac:dyDescent="0.3">
      <c r="A46" s="571" t="s">
        <v>918</v>
      </c>
      <c r="B46" s="572" t="s">
        <v>919</v>
      </c>
      <c r="C46" s="572" t="s">
        <v>454</v>
      </c>
      <c r="D46" s="572" t="s">
        <v>886</v>
      </c>
      <c r="E46" s="572" t="s">
        <v>894</v>
      </c>
      <c r="F46" s="572" t="s">
        <v>964</v>
      </c>
      <c r="G46" s="572" t="s">
        <v>965</v>
      </c>
      <c r="H46" s="592"/>
      <c r="I46" s="592"/>
      <c r="J46" s="572"/>
      <c r="K46" s="572"/>
      <c r="L46" s="592"/>
      <c r="M46" s="592"/>
      <c r="N46" s="572"/>
      <c r="O46" s="572"/>
      <c r="P46" s="592">
        <v>35</v>
      </c>
      <c r="Q46" s="592">
        <v>83825</v>
      </c>
      <c r="R46" s="577"/>
      <c r="S46" s="593">
        <v>2395</v>
      </c>
    </row>
    <row r="47" spans="1:19" ht="14.4" customHeight="1" x14ac:dyDescent="0.3">
      <c r="A47" s="571" t="s">
        <v>918</v>
      </c>
      <c r="B47" s="572" t="s">
        <v>919</v>
      </c>
      <c r="C47" s="572" t="s">
        <v>454</v>
      </c>
      <c r="D47" s="572" t="s">
        <v>886</v>
      </c>
      <c r="E47" s="572" t="s">
        <v>894</v>
      </c>
      <c r="F47" s="572" t="s">
        <v>966</v>
      </c>
      <c r="G47" s="572" t="s">
        <v>967</v>
      </c>
      <c r="H47" s="592"/>
      <c r="I47" s="592"/>
      <c r="J47" s="572"/>
      <c r="K47" s="572"/>
      <c r="L47" s="592"/>
      <c r="M47" s="592"/>
      <c r="N47" s="572"/>
      <c r="O47" s="572"/>
      <c r="P47" s="592">
        <v>26</v>
      </c>
      <c r="Q47" s="592">
        <v>922974</v>
      </c>
      <c r="R47" s="577"/>
      <c r="S47" s="593">
        <v>35499</v>
      </c>
    </row>
    <row r="48" spans="1:19" ht="14.4" customHeight="1" x14ac:dyDescent="0.3">
      <c r="A48" s="571" t="s">
        <v>918</v>
      </c>
      <c r="B48" s="572" t="s">
        <v>919</v>
      </c>
      <c r="C48" s="572" t="s">
        <v>454</v>
      </c>
      <c r="D48" s="572" t="s">
        <v>886</v>
      </c>
      <c r="E48" s="572" t="s">
        <v>894</v>
      </c>
      <c r="F48" s="572" t="s">
        <v>968</v>
      </c>
      <c r="G48" s="572" t="s">
        <v>969</v>
      </c>
      <c r="H48" s="592"/>
      <c r="I48" s="592"/>
      <c r="J48" s="572"/>
      <c r="K48" s="572"/>
      <c r="L48" s="592"/>
      <c r="M48" s="592"/>
      <c r="N48" s="572"/>
      <c r="O48" s="572"/>
      <c r="P48" s="592">
        <v>7</v>
      </c>
      <c r="Q48" s="592">
        <v>61642</v>
      </c>
      <c r="R48" s="577"/>
      <c r="S48" s="593">
        <v>8806</v>
      </c>
    </row>
    <row r="49" spans="1:19" ht="14.4" customHeight="1" x14ac:dyDescent="0.3">
      <c r="A49" s="571" t="s">
        <v>918</v>
      </c>
      <c r="B49" s="572" t="s">
        <v>919</v>
      </c>
      <c r="C49" s="572" t="s">
        <v>454</v>
      </c>
      <c r="D49" s="572" t="s">
        <v>886</v>
      </c>
      <c r="E49" s="572" t="s">
        <v>894</v>
      </c>
      <c r="F49" s="572" t="s">
        <v>970</v>
      </c>
      <c r="G49" s="572" t="s">
        <v>971</v>
      </c>
      <c r="H49" s="592"/>
      <c r="I49" s="592"/>
      <c r="J49" s="572"/>
      <c r="K49" s="572"/>
      <c r="L49" s="592"/>
      <c r="M49" s="592"/>
      <c r="N49" s="572"/>
      <c r="O49" s="572"/>
      <c r="P49" s="592">
        <v>7</v>
      </c>
      <c r="Q49" s="592">
        <v>70000</v>
      </c>
      <c r="R49" s="577"/>
      <c r="S49" s="593">
        <v>10000</v>
      </c>
    </row>
    <row r="50" spans="1:19" ht="14.4" customHeight="1" x14ac:dyDescent="0.3">
      <c r="A50" s="571" t="s">
        <v>918</v>
      </c>
      <c r="B50" s="572" t="s">
        <v>919</v>
      </c>
      <c r="C50" s="572" t="s">
        <v>454</v>
      </c>
      <c r="D50" s="572" t="s">
        <v>886</v>
      </c>
      <c r="E50" s="572" t="s">
        <v>894</v>
      </c>
      <c r="F50" s="572" t="s">
        <v>972</v>
      </c>
      <c r="G50" s="572" t="s">
        <v>973</v>
      </c>
      <c r="H50" s="592"/>
      <c r="I50" s="592"/>
      <c r="J50" s="572"/>
      <c r="K50" s="572"/>
      <c r="L50" s="592"/>
      <c r="M50" s="592"/>
      <c r="N50" s="572"/>
      <c r="O50" s="572"/>
      <c r="P50" s="592">
        <v>56</v>
      </c>
      <c r="Q50" s="592">
        <v>602933.35</v>
      </c>
      <c r="R50" s="577"/>
      <c r="S50" s="593">
        <v>10766.666964285714</v>
      </c>
    </row>
    <row r="51" spans="1:19" ht="14.4" customHeight="1" x14ac:dyDescent="0.3">
      <c r="A51" s="571" t="s">
        <v>918</v>
      </c>
      <c r="B51" s="572" t="s">
        <v>919</v>
      </c>
      <c r="C51" s="572" t="s">
        <v>454</v>
      </c>
      <c r="D51" s="572" t="s">
        <v>886</v>
      </c>
      <c r="E51" s="572" t="s">
        <v>894</v>
      </c>
      <c r="F51" s="572" t="s">
        <v>974</v>
      </c>
      <c r="G51" s="572" t="s">
        <v>975</v>
      </c>
      <c r="H51" s="592"/>
      <c r="I51" s="592"/>
      <c r="J51" s="572"/>
      <c r="K51" s="572"/>
      <c r="L51" s="592"/>
      <c r="M51" s="592"/>
      <c r="N51" s="572"/>
      <c r="O51" s="572"/>
      <c r="P51" s="592">
        <v>32</v>
      </c>
      <c r="Q51" s="592">
        <v>266666.67000000004</v>
      </c>
      <c r="R51" s="577"/>
      <c r="S51" s="593">
        <v>8333.3334375000013</v>
      </c>
    </row>
    <row r="52" spans="1:19" ht="14.4" customHeight="1" x14ac:dyDescent="0.3">
      <c r="A52" s="571" t="s">
        <v>918</v>
      </c>
      <c r="B52" s="572" t="s">
        <v>919</v>
      </c>
      <c r="C52" s="572" t="s">
        <v>454</v>
      </c>
      <c r="D52" s="572" t="s">
        <v>886</v>
      </c>
      <c r="E52" s="572" t="s">
        <v>894</v>
      </c>
      <c r="F52" s="572" t="s">
        <v>976</v>
      </c>
      <c r="G52" s="572" t="s">
        <v>977</v>
      </c>
      <c r="H52" s="592"/>
      <c r="I52" s="592"/>
      <c r="J52" s="572"/>
      <c r="K52" s="572"/>
      <c r="L52" s="592"/>
      <c r="M52" s="592"/>
      <c r="N52" s="572"/>
      <c r="O52" s="572"/>
      <c r="P52" s="592">
        <v>50</v>
      </c>
      <c r="Q52" s="592">
        <v>0</v>
      </c>
      <c r="R52" s="577"/>
      <c r="S52" s="593">
        <v>0</v>
      </c>
    </row>
    <row r="53" spans="1:19" ht="14.4" customHeight="1" x14ac:dyDescent="0.3">
      <c r="A53" s="571" t="s">
        <v>918</v>
      </c>
      <c r="B53" s="572" t="s">
        <v>919</v>
      </c>
      <c r="C53" s="572" t="s">
        <v>454</v>
      </c>
      <c r="D53" s="572" t="s">
        <v>886</v>
      </c>
      <c r="E53" s="572" t="s">
        <v>894</v>
      </c>
      <c r="F53" s="572" t="s">
        <v>978</v>
      </c>
      <c r="G53" s="572" t="s">
        <v>979</v>
      </c>
      <c r="H53" s="592"/>
      <c r="I53" s="592"/>
      <c r="J53" s="572"/>
      <c r="K53" s="572"/>
      <c r="L53" s="592"/>
      <c r="M53" s="592"/>
      <c r="N53" s="572"/>
      <c r="O53" s="572"/>
      <c r="P53" s="592">
        <v>6</v>
      </c>
      <c r="Q53" s="592">
        <v>49500</v>
      </c>
      <c r="R53" s="577"/>
      <c r="S53" s="593">
        <v>8250</v>
      </c>
    </row>
    <row r="54" spans="1:19" ht="14.4" customHeight="1" x14ac:dyDescent="0.3">
      <c r="A54" s="571" t="s">
        <v>918</v>
      </c>
      <c r="B54" s="572" t="s">
        <v>919</v>
      </c>
      <c r="C54" s="572" t="s">
        <v>454</v>
      </c>
      <c r="D54" s="572" t="s">
        <v>886</v>
      </c>
      <c r="E54" s="572" t="s">
        <v>894</v>
      </c>
      <c r="F54" s="572" t="s">
        <v>980</v>
      </c>
      <c r="G54" s="572" t="s">
        <v>981</v>
      </c>
      <c r="H54" s="592"/>
      <c r="I54" s="592"/>
      <c r="J54" s="572"/>
      <c r="K54" s="572"/>
      <c r="L54" s="592"/>
      <c r="M54" s="592"/>
      <c r="N54" s="572"/>
      <c r="O54" s="572"/>
      <c r="P54" s="592">
        <v>11</v>
      </c>
      <c r="Q54" s="592">
        <v>0</v>
      </c>
      <c r="R54" s="577"/>
      <c r="S54" s="593">
        <v>0</v>
      </c>
    </row>
    <row r="55" spans="1:19" ht="14.4" customHeight="1" x14ac:dyDescent="0.3">
      <c r="A55" s="571" t="s">
        <v>918</v>
      </c>
      <c r="B55" s="572" t="s">
        <v>919</v>
      </c>
      <c r="C55" s="572" t="s">
        <v>454</v>
      </c>
      <c r="D55" s="572" t="s">
        <v>886</v>
      </c>
      <c r="E55" s="572" t="s">
        <v>894</v>
      </c>
      <c r="F55" s="572" t="s">
        <v>982</v>
      </c>
      <c r="G55" s="572" t="s">
        <v>983</v>
      </c>
      <c r="H55" s="592"/>
      <c r="I55" s="592"/>
      <c r="J55" s="572"/>
      <c r="K55" s="572"/>
      <c r="L55" s="592"/>
      <c r="M55" s="592"/>
      <c r="N55" s="572"/>
      <c r="O55" s="572"/>
      <c r="P55" s="592">
        <v>0</v>
      </c>
      <c r="Q55" s="592">
        <v>0</v>
      </c>
      <c r="R55" s="577"/>
      <c r="S55" s="593"/>
    </row>
    <row r="56" spans="1:19" ht="14.4" customHeight="1" x14ac:dyDescent="0.3">
      <c r="A56" s="571" t="s">
        <v>918</v>
      </c>
      <c r="B56" s="572" t="s">
        <v>919</v>
      </c>
      <c r="C56" s="572" t="s">
        <v>454</v>
      </c>
      <c r="D56" s="572" t="s">
        <v>886</v>
      </c>
      <c r="E56" s="572" t="s">
        <v>894</v>
      </c>
      <c r="F56" s="572" t="s">
        <v>984</v>
      </c>
      <c r="G56" s="572" t="s">
        <v>985</v>
      </c>
      <c r="H56" s="592"/>
      <c r="I56" s="592"/>
      <c r="J56" s="572"/>
      <c r="K56" s="572"/>
      <c r="L56" s="592"/>
      <c r="M56" s="592"/>
      <c r="N56" s="572"/>
      <c r="O56" s="572"/>
      <c r="P56" s="592">
        <v>13</v>
      </c>
      <c r="Q56" s="592">
        <v>397222.26</v>
      </c>
      <c r="R56" s="577"/>
      <c r="S56" s="593">
        <v>30555.558461538461</v>
      </c>
    </row>
    <row r="57" spans="1:19" ht="14.4" customHeight="1" x14ac:dyDescent="0.3">
      <c r="A57" s="571" t="s">
        <v>918</v>
      </c>
      <c r="B57" s="572" t="s">
        <v>919</v>
      </c>
      <c r="C57" s="572" t="s">
        <v>454</v>
      </c>
      <c r="D57" s="572" t="s">
        <v>886</v>
      </c>
      <c r="E57" s="572" t="s">
        <v>894</v>
      </c>
      <c r="F57" s="572" t="s">
        <v>986</v>
      </c>
      <c r="G57" s="572" t="s">
        <v>987</v>
      </c>
      <c r="H57" s="592"/>
      <c r="I57" s="592"/>
      <c r="J57" s="572"/>
      <c r="K57" s="572"/>
      <c r="L57" s="592"/>
      <c r="M57" s="592"/>
      <c r="N57" s="572"/>
      <c r="O57" s="572"/>
      <c r="P57" s="592">
        <v>12</v>
      </c>
      <c r="Q57" s="592">
        <v>51120</v>
      </c>
      <c r="R57" s="577"/>
      <c r="S57" s="593">
        <v>4260</v>
      </c>
    </row>
    <row r="58" spans="1:19" ht="14.4" customHeight="1" x14ac:dyDescent="0.3">
      <c r="A58" s="571" t="s">
        <v>918</v>
      </c>
      <c r="B58" s="572" t="s">
        <v>919</v>
      </c>
      <c r="C58" s="572" t="s">
        <v>454</v>
      </c>
      <c r="D58" s="572" t="s">
        <v>886</v>
      </c>
      <c r="E58" s="572" t="s">
        <v>894</v>
      </c>
      <c r="F58" s="572" t="s">
        <v>988</v>
      </c>
      <c r="G58" s="572" t="s">
        <v>989</v>
      </c>
      <c r="H58" s="592"/>
      <c r="I58" s="592"/>
      <c r="J58" s="572"/>
      <c r="K58" s="572"/>
      <c r="L58" s="592"/>
      <c r="M58" s="592"/>
      <c r="N58" s="572"/>
      <c r="O58" s="572"/>
      <c r="P58" s="592">
        <v>7</v>
      </c>
      <c r="Q58" s="592">
        <v>37255.56</v>
      </c>
      <c r="R58" s="577"/>
      <c r="S58" s="593">
        <v>5322.2228571428568</v>
      </c>
    </row>
    <row r="59" spans="1:19" ht="14.4" customHeight="1" thickBot="1" x14ac:dyDescent="0.35">
      <c r="A59" s="579" t="s">
        <v>918</v>
      </c>
      <c r="B59" s="580" t="s">
        <v>919</v>
      </c>
      <c r="C59" s="580" t="s">
        <v>454</v>
      </c>
      <c r="D59" s="580" t="s">
        <v>886</v>
      </c>
      <c r="E59" s="580" t="s">
        <v>894</v>
      </c>
      <c r="F59" s="580" t="s">
        <v>990</v>
      </c>
      <c r="G59" s="580" t="s">
        <v>991</v>
      </c>
      <c r="H59" s="594"/>
      <c r="I59" s="594"/>
      <c r="J59" s="580"/>
      <c r="K59" s="580"/>
      <c r="L59" s="594"/>
      <c r="M59" s="594"/>
      <c r="N59" s="580"/>
      <c r="O59" s="580"/>
      <c r="P59" s="594">
        <v>20</v>
      </c>
      <c r="Q59" s="594">
        <v>880000</v>
      </c>
      <c r="R59" s="585"/>
      <c r="S59" s="595">
        <v>44000</v>
      </c>
    </row>
  </sheetData>
  <autoFilter ref="A5:S5"/>
  <mergeCells count="12">
    <mergeCell ref="R4:R5"/>
    <mergeCell ref="S4:S5"/>
    <mergeCell ref="A1:S1"/>
    <mergeCell ref="A4:A5"/>
    <mergeCell ref="B4:B5"/>
    <mergeCell ref="C4:C5"/>
    <mergeCell ref="E4:E5"/>
    <mergeCell ref="F4:F5"/>
    <mergeCell ref="G4:G5"/>
    <mergeCell ref="H4:I4"/>
    <mergeCell ref="L4:M4"/>
    <mergeCell ref="P4:Q4"/>
  </mergeCells>
  <hyperlinks>
    <hyperlink ref="A2" location="Obsah!A1" display="Zpět na Obsah  KL 01  1.-4.měsíc"/>
  </hyperlinks>
  <pageMargins left="0.25" right="0.25" top="0.75" bottom="0.75" header="0.3" footer="0.3"/>
  <pageSetup paperSize="9" scale="79" fitToHeight="0" orientation="landscape" r:id="rId1"/>
</worksheet>
</file>

<file path=xl/worksheets/sheet2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List46">
    <tabColor theme="0" tint="-0.249977111117893"/>
    <outlinePr summaryRight="0"/>
    <pageSetUpPr fitToPage="1"/>
  </sheetPr>
  <dimension ref="A1:S13"/>
  <sheetViews>
    <sheetView showGridLines="0" showRowColHeaders="0" workbookViewId="0">
      <pane ySplit="5" topLeftCell="A6" activePane="bottomLeft" state="frozen"/>
      <selection sqref="A1:M1"/>
      <selection pane="bottomLeft" sqref="A1:S1"/>
    </sheetView>
  </sheetViews>
  <sheetFormatPr defaultRowHeight="14.4" customHeight="1" outlineLevelCol="1" x14ac:dyDescent="0.3"/>
  <cols>
    <col min="1" max="1" width="46.6640625" style="129" bestFit="1" customWidth="1" collapsed="1"/>
    <col min="2" max="2" width="7.77734375" style="106" hidden="1" customWidth="1" outlineLevel="1"/>
    <col min="3" max="3" width="0.109375" style="129" hidden="1" customWidth="1"/>
    <col min="4" max="4" width="7.77734375" style="106" customWidth="1"/>
    <col min="5" max="5" width="5.44140625" style="129" hidden="1" customWidth="1"/>
    <col min="6" max="6" width="7.77734375" style="106" customWidth="1"/>
    <col min="7" max="7" width="7.77734375" style="210" customWidth="1" collapsed="1"/>
    <col min="8" max="8" width="7.77734375" style="106" hidden="1" customWidth="1" outlineLevel="1"/>
    <col min="9" max="9" width="5.44140625" style="129" hidden="1" customWidth="1"/>
    <col min="10" max="10" width="7.77734375" style="106" customWidth="1"/>
    <col min="11" max="11" width="5.44140625" style="129" hidden="1" customWidth="1"/>
    <col min="12" max="12" width="7.77734375" style="106" customWidth="1"/>
    <col min="13" max="13" width="7.77734375" style="210" customWidth="1" collapsed="1"/>
    <col min="14" max="14" width="7.77734375" style="106" hidden="1" customWidth="1" outlineLevel="1"/>
    <col min="15" max="15" width="5" style="129" hidden="1" customWidth="1"/>
    <col min="16" max="16" width="7.77734375" style="106" customWidth="1"/>
    <col min="17" max="17" width="5" style="129" hidden="1" customWidth="1"/>
    <col min="18" max="18" width="7.77734375" style="106" customWidth="1"/>
    <col min="19" max="19" width="7.77734375" style="210" customWidth="1"/>
    <col min="20" max="16384" width="8.88671875" style="129"/>
  </cols>
  <sheetData>
    <row r="1" spans="1:19" ht="18.600000000000001" customHeight="1" thickBot="1" x14ac:dyDescent="0.4">
      <c r="A1" s="341" t="s">
        <v>126</v>
      </c>
      <c r="B1" s="329"/>
      <c r="C1" s="329"/>
      <c r="D1" s="329"/>
      <c r="E1" s="329"/>
      <c r="F1" s="329"/>
      <c r="G1" s="329"/>
      <c r="H1" s="329"/>
      <c r="I1" s="329"/>
      <c r="J1" s="329"/>
      <c r="K1" s="329"/>
      <c r="L1" s="329"/>
      <c r="M1" s="329"/>
      <c r="N1" s="329"/>
      <c r="O1" s="329"/>
      <c r="P1" s="329"/>
      <c r="Q1" s="329"/>
      <c r="R1" s="329"/>
      <c r="S1" s="329"/>
    </row>
    <row r="2" spans="1:19" ht="14.4" customHeight="1" thickBot="1" x14ac:dyDescent="0.35">
      <c r="A2" s="232" t="s">
        <v>265</v>
      </c>
      <c r="B2" s="226"/>
      <c r="C2" s="111"/>
      <c r="D2" s="226"/>
      <c r="E2" s="111"/>
      <c r="F2" s="226"/>
      <c r="G2" s="227"/>
      <c r="H2" s="226"/>
      <c r="I2" s="111"/>
      <c r="J2" s="226"/>
      <c r="K2" s="111"/>
      <c r="L2" s="226"/>
      <c r="M2" s="227"/>
      <c r="N2" s="226"/>
      <c r="O2" s="111"/>
      <c r="P2" s="226"/>
      <c r="Q2" s="111"/>
      <c r="R2" s="226"/>
      <c r="S2" s="227"/>
    </row>
    <row r="3" spans="1:19" ht="14.4" customHeight="1" thickBot="1" x14ac:dyDescent="0.35">
      <c r="A3" s="220" t="s">
        <v>127</v>
      </c>
      <c r="B3" s="221">
        <f>SUBTOTAL(9,B6:B1048576)</f>
        <v>549760</v>
      </c>
      <c r="C3" s="222">
        <f t="shared" ref="C3:R3" si="0">SUBTOTAL(9,C6:C1048576)</f>
        <v>8.0023276524748255</v>
      </c>
      <c r="D3" s="222">
        <f t="shared" si="0"/>
        <v>301525</v>
      </c>
      <c r="E3" s="222">
        <f t="shared" si="0"/>
        <v>6</v>
      </c>
      <c r="F3" s="222">
        <f t="shared" si="0"/>
        <v>156199</v>
      </c>
      <c r="G3" s="225">
        <f>IF(D3&lt;&gt;0,F3/D3,"")</f>
        <v>0.51803001409501703</v>
      </c>
      <c r="H3" s="221">
        <f t="shared" si="0"/>
        <v>0</v>
      </c>
      <c r="I3" s="222">
        <f t="shared" si="0"/>
        <v>0</v>
      </c>
      <c r="J3" s="222">
        <f t="shared" si="0"/>
        <v>0</v>
      </c>
      <c r="K3" s="222">
        <f t="shared" si="0"/>
        <v>0</v>
      </c>
      <c r="L3" s="222">
        <f t="shared" si="0"/>
        <v>0</v>
      </c>
      <c r="M3" s="223" t="str">
        <f>IF(J3&lt;&gt;0,L3/J3,"")</f>
        <v/>
      </c>
      <c r="N3" s="224">
        <f t="shared" si="0"/>
        <v>0</v>
      </c>
      <c r="O3" s="222">
        <f t="shared" si="0"/>
        <v>0</v>
      </c>
      <c r="P3" s="222">
        <f t="shared" si="0"/>
        <v>0</v>
      </c>
      <c r="Q3" s="222">
        <f t="shared" si="0"/>
        <v>0</v>
      </c>
      <c r="R3" s="222">
        <f t="shared" si="0"/>
        <v>0</v>
      </c>
      <c r="S3" s="223" t="str">
        <f>IF(P3&lt;&gt;0,R3/P3,"")</f>
        <v/>
      </c>
    </row>
    <row r="4" spans="1:19" ht="14.4" customHeight="1" x14ac:dyDescent="0.3">
      <c r="A4" s="439" t="s">
        <v>104</v>
      </c>
      <c r="B4" s="440" t="s">
        <v>98</v>
      </c>
      <c r="C4" s="441"/>
      <c r="D4" s="441"/>
      <c r="E4" s="441"/>
      <c r="F4" s="441"/>
      <c r="G4" s="443"/>
      <c r="H4" s="440" t="s">
        <v>99</v>
      </c>
      <c r="I4" s="441"/>
      <c r="J4" s="441"/>
      <c r="K4" s="441"/>
      <c r="L4" s="441"/>
      <c r="M4" s="443"/>
      <c r="N4" s="440" t="s">
        <v>100</v>
      </c>
      <c r="O4" s="441"/>
      <c r="P4" s="441"/>
      <c r="Q4" s="441"/>
      <c r="R4" s="441"/>
      <c r="S4" s="443"/>
    </row>
    <row r="5" spans="1:19" ht="14.4" customHeight="1" thickBot="1" x14ac:dyDescent="0.35">
      <c r="A5" s="615"/>
      <c r="B5" s="616">
        <v>2015</v>
      </c>
      <c r="C5" s="617"/>
      <c r="D5" s="617">
        <v>2017</v>
      </c>
      <c r="E5" s="617"/>
      <c r="F5" s="617">
        <v>2018</v>
      </c>
      <c r="G5" s="653" t="s">
        <v>2</v>
      </c>
      <c r="H5" s="616">
        <v>2015</v>
      </c>
      <c r="I5" s="617"/>
      <c r="J5" s="617">
        <v>2017</v>
      </c>
      <c r="K5" s="617"/>
      <c r="L5" s="617">
        <v>2018</v>
      </c>
      <c r="M5" s="653" t="s">
        <v>2</v>
      </c>
      <c r="N5" s="616">
        <v>2015</v>
      </c>
      <c r="O5" s="617"/>
      <c r="P5" s="617">
        <v>2017</v>
      </c>
      <c r="Q5" s="617"/>
      <c r="R5" s="617">
        <v>2018</v>
      </c>
      <c r="S5" s="653" t="s">
        <v>2</v>
      </c>
    </row>
    <row r="6" spans="1:19" ht="14.4" customHeight="1" x14ac:dyDescent="0.3">
      <c r="A6" s="603" t="s">
        <v>994</v>
      </c>
      <c r="B6" s="637"/>
      <c r="C6" s="565"/>
      <c r="D6" s="637"/>
      <c r="E6" s="565"/>
      <c r="F6" s="637">
        <v>2483</v>
      </c>
      <c r="G6" s="570"/>
      <c r="H6" s="637"/>
      <c r="I6" s="565"/>
      <c r="J6" s="637"/>
      <c r="K6" s="565"/>
      <c r="L6" s="637"/>
      <c r="M6" s="570"/>
      <c r="N6" s="637"/>
      <c r="O6" s="565"/>
      <c r="P6" s="637"/>
      <c r="Q6" s="565"/>
      <c r="R6" s="637"/>
      <c r="S6" s="122"/>
    </row>
    <row r="7" spans="1:19" ht="14.4" customHeight="1" x14ac:dyDescent="0.3">
      <c r="A7" s="604" t="s">
        <v>995</v>
      </c>
      <c r="B7" s="654">
        <v>288966</v>
      </c>
      <c r="C7" s="572">
        <v>3.375258430378564</v>
      </c>
      <c r="D7" s="654">
        <v>85613</v>
      </c>
      <c r="E7" s="572">
        <v>1</v>
      </c>
      <c r="F7" s="654"/>
      <c r="G7" s="577"/>
      <c r="H7" s="654"/>
      <c r="I7" s="572"/>
      <c r="J7" s="654"/>
      <c r="K7" s="572"/>
      <c r="L7" s="654"/>
      <c r="M7" s="577"/>
      <c r="N7" s="654"/>
      <c r="O7" s="572"/>
      <c r="P7" s="654"/>
      <c r="Q7" s="572"/>
      <c r="R7" s="654"/>
      <c r="S7" s="578"/>
    </row>
    <row r="8" spans="1:19" ht="14.4" customHeight="1" x14ac:dyDescent="0.3">
      <c r="A8" s="604" t="s">
        <v>996</v>
      </c>
      <c r="B8" s="654">
        <v>213910</v>
      </c>
      <c r="C8" s="572">
        <v>2.2212876427829698</v>
      </c>
      <c r="D8" s="654">
        <v>96300</v>
      </c>
      <c r="E8" s="572">
        <v>1</v>
      </c>
      <c r="F8" s="654">
        <v>85463</v>
      </c>
      <c r="G8" s="577">
        <v>0.88746625129802703</v>
      </c>
      <c r="H8" s="654"/>
      <c r="I8" s="572"/>
      <c r="J8" s="654"/>
      <c r="K8" s="572"/>
      <c r="L8" s="654"/>
      <c r="M8" s="577"/>
      <c r="N8" s="654"/>
      <c r="O8" s="572"/>
      <c r="P8" s="654"/>
      <c r="Q8" s="572"/>
      <c r="R8" s="654"/>
      <c r="S8" s="578"/>
    </row>
    <row r="9" spans="1:19" ht="14.4" customHeight="1" x14ac:dyDescent="0.3">
      <c r="A9" s="604" t="s">
        <v>997</v>
      </c>
      <c r="B9" s="654">
        <v>23509</v>
      </c>
      <c r="C9" s="572">
        <v>0.29914616921373766</v>
      </c>
      <c r="D9" s="654">
        <v>78587</v>
      </c>
      <c r="E9" s="572">
        <v>1</v>
      </c>
      <c r="F9" s="654">
        <v>29656</v>
      </c>
      <c r="G9" s="577">
        <v>0.37736521307595405</v>
      </c>
      <c r="H9" s="654"/>
      <c r="I9" s="572"/>
      <c r="J9" s="654"/>
      <c r="K9" s="572"/>
      <c r="L9" s="654"/>
      <c r="M9" s="577"/>
      <c r="N9" s="654"/>
      <c r="O9" s="572"/>
      <c r="P9" s="654"/>
      <c r="Q9" s="572"/>
      <c r="R9" s="654"/>
      <c r="S9" s="578"/>
    </row>
    <row r="10" spans="1:19" ht="14.4" customHeight="1" x14ac:dyDescent="0.3">
      <c r="A10" s="604" t="s">
        <v>998</v>
      </c>
      <c r="B10" s="654">
        <v>18095</v>
      </c>
      <c r="C10" s="572">
        <v>0.47637225220481771</v>
      </c>
      <c r="D10" s="654">
        <v>37985</v>
      </c>
      <c r="E10" s="572">
        <v>1</v>
      </c>
      <c r="F10" s="654">
        <v>29334</v>
      </c>
      <c r="G10" s="577">
        <v>0.77225220481769119</v>
      </c>
      <c r="H10" s="654"/>
      <c r="I10" s="572"/>
      <c r="J10" s="654"/>
      <c r="K10" s="572"/>
      <c r="L10" s="654"/>
      <c r="M10" s="577"/>
      <c r="N10" s="654"/>
      <c r="O10" s="572"/>
      <c r="P10" s="654"/>
      <c r="Q10" s="572"/>
      <c r="R10" s="654"/>
      <c r="S10" s="578"/>
    </row>
    <row r="11" spans="1:19" ht="14.4" customHeight="1" x14ac:dyDescent="0.3">
      <c r="A11" s="604" t="s">
        <v>999</v>
      </c>
      <c r="B11" s="654"/>
      <c r="C11" s="572"/>
      <c r="D11" s="654">
        <v>1520</v>
      </c>
      <c r="E11" s="572">
        <v>1</v>
      </c>
      <c r="F11" s="654"/>
      <c r="G11" s="577"/>
      <c r="H11" s="654"/>
      <c r="I11" s="572"/>
      <c r="J11" s="654"/>
      <c r="K11" s="572"/>
      <c r="L11" s="654"/>
      <c r="M11" s="577"/>
      <c r="N11" s="654"/>
      <c r="O11" s="572"/>
      <c r="P11" s="654"/>
      <c r="Q11" s="572"/>
      <c r="R11" s="654"/>
      <c r="S11" s="578"/>
    </row>
    <row r="12" spans="1:19" ht="14.4" customHeight="1" x14ac:dyDescent="0.3">
      <c r="A12" s="604" t="s">
        <v>1000</v>
      </c>
      <c r="B12" s="654">
        <v>2478</v>
      </c>
      <c r="C12" s="572">
        <v>1.6302631578947369</v>
      </c>
      <c r="D12" s="654">
        <v>1520</v>
      </c>
      <c r="E12" s="572">
        <v>1</v>
      </c>
      <c r="F12" s="654">
        <v>6634</v>
      </c>
      <c r="G12" s="577">
        <v>4.3644736842105267</v>
      </c>
      <c r="H12" s="654"/>
      <c r="I12" s="572"/>
      <c r="J12" s="654"/>
      <c r="K12" s="572"/>
      <c r="L12" s="654"/>
      <c r="M12" s="577"/>
      <c r="N12" s="654"/>
      <c r="O12" s="572"/>
      <c r="P12" s="654"/>
      <c r="Q12" s="572"/>
      <c r="R12" s="654"/>
      <c r="S12" s="578"/>
    </row>
    <row r="13" spans="1:19" ht="14.4" customHeight="1" thickBot="1" x14ac:dyDescent="0.35">
      <c r="A13" s="641" t="s">
        <v>1001</v>
      </c>
      <c r="B13" s="639">
        <v>2802</v>
      </c>
      <c r="C13" s="580"/>
      <c r="D13" s="639"/>
      <c r="E13" s="580"/>
      <c r="F13" s="639">
        <v>2629</v>
      </c>
      <c r="G13" s="585"/>
      <c r="H13" s="639"/>
      <c r="I13" s="580"/>
      <c r="J13" s="639"/>
      <c r="K13" s="580"/>
      <c r="L13" s="639"/>
      <c r="M13" s="585"/>
      <c r="N13" s="639"/>
      <c r="O13" s="580"/>
      <c r="P13" s="639"/>
      <c r="Q13" s="580"/>
      <c r="R13" s="639"/>
      <c r="S13" s="586"/>
    </row>
  </sheetData>
  <mergeCells count="5">
    <mergeCell ref="A1:S1"/>
    <mergeCell ref="A4:A5"/>
    <mergeCell ref="B4:G4"/>
    <mergeCell ref="H4:M4"/>
    <mergeCell ref="N4:S4"/>
  </mergeCells>
  <conditionalFormatting sqref="F6:F1048576">
    <cfRule type="dataBar" priority="3">
      <dataBar>
        <cfvo type="min"/>
        <cfvo type="max"/>
        <color theme="3" tint="0.39997558519241921"/>
      </dataBar>
      <extLst>
        <ext xmlns:x14="http://schemas.microsoft.com/office/spreadsheetml/2009/9/main" uri="{B025F937-C7B1-47D3-B67F-A62EFF666E3E}">
          <x14:id>{BA794F54-B18B-4A26-BB4F-CB6E26EA0EF6}</x14:id>
        </ext>
      </extLst>
    </cfRule>
  </conditionalFormatting>
  <conditionalFormatting sqref="L6:L1048576">
    <cfRule type="dataBar" priority="2">
      <dataBar>
        <cfvo type="min"/>
        <cfvo type="max"/>
        <color theme="3" tint="0.39997558519241921"/>
      </dataBar>
      <extLst>
        <ext xmlns:x14="http://schemas.microsoft.com/office/spreadsheetml/2009/9/main" uri="{B025F937-C7B1-47D3-B67F-A62EFF666E3E}">
          <x14:id>{902DDBAC-AFA8-4C48-B345-7784752BF2A0}</x14:id>
        </ext>
      </extLst>
    </cfRule>
  </conditionalFormatting>
  <conditionalFormatting sqref="R6:R1048576">
    <cfRule type="dataBar" priority="1">
      <dataBar>
        <cfvo type="min"/>
        <cfvo type="max"/>
        <color theme="3" tint="0.39997558519241921"/>
      </dataBar>
      <extLst>
        <ext xmlns:x14="http://schemas.microsoft.com/office/spreadsheetml/2009/9/main" uri="{B025F937-C7B1-47D3-B67F-A62EFF666E3E}">
          <x14:id>{79EC4184-E94E-4209-8644-6CBC339FEFF0}</x14:id>
        </ext>
      </extLst>
    </cfRule>
  </conditionalFormatting>
  <hyperlinks>
    <hyperlink ref="A2" location="Obsah!A1" display="Zpět na Obsah  KL 01  1.-4.měsíc"/>
  </hyperlinks>
  <pageMargins left="0.25" right="0.25" top="0.75" bottom="0.75" header="0.3" footer="0.3"/>
  <pageSetup paperSize="9" fitToHeight="0" orientation="landscape" r:id="rId1"/>
  <ignoredErrors>
    <ignoredError sqref="B3 D3 F3 H3 J3 L3 N3 P3 R3" formulaRange="1"/>
    <ignoredError sqref="M3 G3" formula="1"/>
  </ignoredErrors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dataBar" id="{BA794F54-B18B-4A26-BB4F-CB6E26EA0EF6}">
            <x14:dataBar minLength="0" maxLength="100">
              <x14:cfvo type="autoMin"/>
              <x14:cfvo type="autoMax"/>
              <x14:negativeFillColor rgb="FFFF0000"/>
              <x14:axisColor rgb="FF000000"/>
            </x14:dataBar>
          </x14:cfRule>
          <xm:sqref>F6:F1048576</xm:sqref>
        </x14:conditionalFormatting>
        <x14:conditionalFormatting xmlns:xm="http://schemas.microsoft.com/office/excel/2006/main">
          <x14:cfRule type="dataBar" id="{902DDBAC-AFA8-4C48-B345-7784752BF2A0}">
            <x14:dataBar minLength="0" maxLength="100">
              <x14:cfvo type="autoMin"/>
              <x14:cfvo type="autoMax"/>
              <x14:negativeFillColor rgb="FFFF0000"/>
              <x14:axisColor rgb="FF000000"/>
            </x14:dataBar>
          </x14:cfRule>
          <xm:sqref>L6:L1048576</xm:sqref>
        </x14:conditionalFormatting>
        <x14:conditionalFormatting xmlns:xm="http://schemas.microsoft.com/office/excel/2006/main">
          <x14:cfRule type="dataBar" id="{79EC4184-E94E-4209-8644-6CBC339FEFF0}">
            <x14:dataBar minLength="0" maxLength="100">
              <x14:cfvo type="autoMin"/>
              <x14:cfvo type="autoMax"/>
              <x14:negativeFillColor rgb="FFFF0000"/>
              <x14:axisColor rgb="FF000000"/>
            </x14:dataBar>
          </x14:cfRule>
          <xm:sqref>R6:R1048576</xm:sqref>
        </x14:conditionalFormatting>
      </x14:conditionalFormattings>
    </ext>
  </extLst>
</worksheet>
</file>

<file path=xl/worksheets/sheet2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List21">
    <tabColor theme="0" tint="-0.249977111117893"/>
    <outlinePr summaryRight="0"/>
    <pageSetUpPr fitToPage="1"/>
  </sheetPr>
  <dimension ref="A1:Q48"/>
  <sheetViews>
    <sheetView showGridLines="0" showRowColHeaders="0" workbookViewId="0">
      <pane ySplit="5" topLeftCell="A6" activePane="bottomLeft" state="frozen"/>
      <selection activeCell="A5" sqref="A5"/>
      <selection pane="bottomLeft" sqref="A1:Q1"/>
    </sheetView>
  </sheetViews>
  <sheetFormatPr defaultRowHeight="14.4" customHeight="1" outlineLevelCol="1" x14ac:dyDescent="0.3"/>
  <cols>
    <col min="1" max="1" width="3" style="129" bestFit="1" customWidth="1"/>
    <col min="2" max="2" width="8.6640625" style="129" bestFit="1" customWidth="1"/>
    <col min="3" max="3" width="2.109375" style="129" bestFit="1" customWidth="1"/>
    <col min="4" max="4" width="8" style="129" bestFit="1" customWidth="1"/>
    <col min="5" max="5" width="52.88671875" style="129" bestFit="1" customWidth="1" collapsed="1"/>
    <col min="6" max="7" width="11.109375" style="207" hidden="1" customWidth="1" outlineLevel="1"/>
    <col min="8" max="9" width="9.33203125" style="207" hidden="1" customWidth="1"/>
    <col min="10" max="11" width="11.109375" style="207" customWidth="1"/>
    <col min="12" max="13" width="9.33203125" style="207" hidden="1" customWidth="1"/>
    <col min="14" max="15" width="11.109375" style="207" customWidth="1"/>
    <col min="16" max="16" width="11.109375" style="210" customWidth="1"/>
    <col min="17" max="17" width="11.109375" style="207" customWidth="1"/>
    <col min="18" max="16384" width="8.88671875" style="129"/>
  </cols>
  <sheetData>
    <row r="1" spans="1:17" ht="18.600000000000001" customHeight="1" thickBot="1" x14ac:dyDescent="0.4">
      <c r="A1" s="329" t="s">
        <v>1010</v>
      </c>
      <c r="B1" s="329"/>
      <c r="C1" s="329"/>
      <c r="D1" s="329"/>
      <c r="E1" s="329"/>
      <c r="F1" s="329"/>
      <c r="G1" s="329"/>
      <c r="H1" s="329"/>
      <c r="I1" s="329"/>
      <c r="J1" s="329"/>
      <c r="K1" s="329"/>
      <c r="L1" s="329"/>
      <c r="M1" s="329"/>
      <c r="N1" s="329"/>
      <c r="O1" s="329"/>
      <c r="P1" s="329"/>
      <c r="Q1" s="329"/>
    </row>
    <row r="2" spans="1:17" ht="14.4" customHeight="1" thickBot="1" x14ac:dyDescent="0.35">
      <c r="A2" s="232" t="s">
        <v>265</v>
      </c>
      <c r="B2" s="130"/>
      <c r="C2" s="130"/>
      <c r="D2" s="130"/>
      <c r="E2" s="130"/>
      <c r="F2" s="228"/>
      <c r="G2" s="228"/>
      <c r="H2" s="228"/>
      <c r="I2" s="228"/>
      <c r="J2" s="228"/>
      <c r="K2" s="228"/>
      <c r="L2" s="228"/>
      <c r="M2" s="228"/>
      <c r="N2" s="228"/>
      <c r="O2" s="228"/>
      <c r="P2" s="229"/>
      <c r="Q2" s="228"/>
    </row>
    <row r="3" spans="1:17" ht="14.4" customHeight="1" thickBot="1" x14ac:dyDescent="0.35">
      <c r="E3" s="87" t="s">
        <v>127</v>
      </c>
      <c r="F3" s="102">
        <f t="shared" ref="F3:O3" si="0">SUBTOTAL(9,F6:F1048576)</f>
        <v>263</v>
      </c>
      <c r="G3" s="103">
        <f t="shared" si="0"/>
        <v>549760</v>
      </c>
      <c r="H3" s="103"/>
      <c r="I3" s="103"/>
      <c r="J3" s="103">
        <f t="shared" si="0"/>
        <v>155</v>
      </c>
      <c r="K3" s="103">
        <f t="shared" si="0"/>
        <v>301525</v>
      </c>
      <c r="L3" s="103"/>
      <c r="M3" s="103"/>
      <c r="N3" s="103">
        <f t="shared" si="0"/>
        <v>80</v>
      </c>
      <c r="O3" s="103">
        <f t="shared" si="0"/>
        <v>156199</v>
      </c>
      <c r="P3" s="75">
        <f>IF(K3=0,0,O3/K3)</f>
        <v>0.51803001409501703</v>
      </c>
      <c r="Q3" s="104">
        <f>IF(N3=0,0,O3/N3)</f>
        <v>1952.4875</v>
      </c>
    </row>
    <row r="4" spans="1:17" ht="14.4" customHeight="1" x14ac:dyDescent="0.3">
      <c r="A4" s="448" t="s">
        <v>68</v>
      </c>
      <c r="B4" s="446" t="s">
        <v>94</v>
      </c>
      <c r="C4" s="448" t="s">
        <v>95</v>
      </c>
      <c r="D4" s="457" t="s">
        <v>96</v>
      </c>
      <c r="E4" s="449" t="s">
        <v>69</v>
      </c>
      <c r="F4" s="455">
        <v>2015</v>
      </c>
      <c r="G4" s="456"/>
      <c r="H4" s="105"/>
      <c r="I4" s="105"/>
      <c r="J4" s="455">
        <v>2017</v>
      </c>
      <c r="K4" s="456"/>
      <c r="L4" s="105"/>
      <c r="M4" s="105"/>
      <c r="N4" s="455">
        <v>2018</v>
      </c>
      <c r="O4" s="456"/>
      <c r="P4" s="458" t="s">
        <v>2</v>
      </c>
      <c r="Q4" s="447" t="s">
        <v>97</v>
      </c>
    </row>
    <row r="5" spans="1:17" ht="14.4" customHeight="1" thickBot="1" x14ac:dyDescent="0.35">
      <c r="A5" s="644"/>
      <c r="B5" s="642"/>
      <c r="C5" s="644"/>
      <c r="D5" s="655"/>
      <c r="E5" s="646"/>
      <c r="F5" s="656" t="s">
        <v>71</v>
      </c>
      <c r="G5" s="657" t="s">
        <v>14</v>
      </c>
      <c r="H5" s="658"/>
      <c r="I5" s="658"/>
      <c r="J5" s="656" t="s">
        <v>71</v>
      </c>
      <c r="K5" s="657" t="s">
        <v>14</v>
      </c>
      <c r="L5" s="658"/>
      <c r="M5" s="658"/>
      <c r="N5" s="656" t="s">
        <v>71</v>
      </c>
      <c r="O5" s="657" t="s">
        <v>14</v>
      </c>
      <c r="P5" s="659"/>
      <c r="Q5" s="651"/>
    </row>
    <row r="6" spans="1:17" ht="14.4" customHeight="1" x14ac:dyDescent="0.3">
      <c r="A6" s="564" t="s">
        <v>892</v>
      </c>
      <c r="B6" s="565" t="s">
        <v>899</v>
      </c>
      <c r="C6" s="565" t="s">
        <v>894</v>
      </c>
      <c r="D6" s="565" t="s">
        <v>902</v>
      </c>
      <c r="E6" s="565" t="s">
        <v>903</v>
      </c>
      <c r="F6" s="116"/>
      <c r="G6" s="116"/>
      <c r="H6" s="116"/>
      <c r="I6" s="116"/>
      <c r="J6" s="116"/>
      <c r="K6" s="116"/>
      <c r="L6" s="116"/>
      <c r="M6" s="116"/>
      <c r="N6" s="116">
        <v>1</v>
      </c>
      <c r="O6" s="116">
        <v>2483</v>
      </c>
      <c r="P6" s="570"/>
      <c r="Q6" s="591">
        <v>2483</v>
      </c>
    </row>
    <row r="7" spans="1:17" ht="14.4" customHeight="1" x14ac:dyDescent="0.3">
      <c r="A7" s="571" t="s">
        <v>1002</v>
      </c>
      <c r="B7" s="572" t="s">
        <v>899</v>
      </c>
      <c r="C7" s="572" t="s">
        <v>894</v>
      </c>
      <c r="D7" s="572" t="s">
        <v>902</v>
      </c>
      <c r="E7" s="572" t="s">
        <v>903</v>
      </c>
      <c r="F7" s="592">
        <v>1</v>
      </c>
      <c r="G7" s="592">
        <v>2478</v>
      </c>
      <c r="H7" s="592"/>
      <c r="I7" s="592">
        <v>2478</v>
      </c>
      <c r="J7" s="592"/>
      <c r="K7" s="592"/>
      <c r="L7" s="592"/>
      <c r="M7" s="592"/>
      <c r="N7" s="592"/>
      <c r="O7" s="592"/>
      <c r="P7" s="577"/>
      <c r="Q7" s="593"/>
    </row>
    <row r="8" spans="1:17" ht="14.4" customHeight="1" x14ac:dyDescent="0.3">
      <c r="A8" s="571" t="s">
        <v>1002</v>
      </c>
      <c r="B8" s="572" t="s">
        <v>899</v>
      </c>
      <c r="C8" s="572" t="s">
        <v>894</v>
      </c>
      <c r="D8" s="572" t="s">
        <v>906</v>
      </c>
      <c r="E8" s="572" t="s">
        <v>907</v>
      </c>
      <c r="F8" s="592">
        <v>5</v>
      </c>
      <c r="G8" s="592">
        <v>1750</v>
      </c>
      <c r="H8" s="592">
        <v>4.9857549857549861</v>
      </c>
      <c r="I8" s="592">
        <v>350</v>
      </c>
      <c r="J8" s="592">
        <v>1</v>
      </c>
      <c r="K8" s="592">
        <v>351</v>
      </c>
      <c r="L8" s="592">
        <v>1</v>
      </c>
      <c r="M8" s="592">
        <v>351</v>
      </c>
      <c r="N8" s="592"/>
      <c r="O8" s="592"/>
      <c r="P8" s="577"/>
      <c r="Q8" s="593"/>
    </row>
    <row r="9" spans="1:17" ht="14.4" customHeight="1" x14ac:dyDescent="0.3">
      <c r="A9" s="571" t="s">
        <v>1002</v>
      </c>
      <c r="B9" s="572" t="s">
        <v>899</v>
      </c>
      <c r="C9" s="572" t="s">
        <v>894</v>
      </c>
      <c r="D9" s="572" t="s">
        <v>910</v>
      </c>
      <c r="E9" s="572" t="s">
        <v>911</v>
      </c>
      <c r="F9" s="592">
        <v>4</v>
      </c>
      <c r="G9" s="592">
        <v>6076</v>
      </c>
      <c r="H9" s="592"/>
      <c r="I9" s="592">
        <v>1519</v>
      </c>
      <c r="J9" s="592"/>
      <c r="K9" s="592"/>
      <c r="L9" s="592"/>
      <c r="M9" s="592"/>
      <c r="N9" s="592"/>
      <c r="O9" s="592"/>
      <c r="P9" s="577"/>
      <c r="Q9" s="593"/>
    </row>
    <row r="10" spans="1:17" ht="14.4" customHeight="1" x14ac:dyDescent="0.3">
      <c r="A10" s="571" t="s">
        <v>1002</v>
      </c>
      <c r="B10" s="572" t="s">
        <v>919</v>
      </c>
      <c r="C10" s="572" t="s">
        <v>894</v>
      </c>
      <c r="D10" s="572" t="s">
        <v>922</v>
      </c>
      <c r="E10" s="572" t="s">
        <v>923</v>
      </c>
      <c r="F10" s="592">
        <v>1</v>
      </c>
      <c r="G10" s="592">
        <v>314</v>
      </c>
      <c r="H10" s="592"/>
      <c r="I10" s="592">
        <v>314</v>
      </c>
      <c r="J10" s="592"/>
      <c r="K10" s="592"/>
      <c r="L10" s="592"/>
      <c r="M10" s="592"/>
      <c r="N10" s="592"/>
      <c r="O10" s="592"/>
      <c r="P10" s="577"/>
      <c r="Q10" s="593"/>
    </row>
    <row r="11" spans="1:17" ht="14.4" customHeight="1" x14ac:dyDescent="0.3">
      <c r="A11" s="571" t="s">
        <v>1002</v>
      </c>
      <c r="B11" s="572" t="s">
        <v>919</v>
      </c>
      <c r="C11" s="572" t="s">
        <v>894</v>
      </c>
      <c r="D11" s="572" t="s">
        <v>924</v>
      </c>
      <c r="E11" s="572" t="s">
        <v>925</v>
      </c>
      <c r="F11" s="592">
        <v>9</v>
      </c>
      <c r="G11" s="592">
        <v>11547</v>
      </c>
      <c r="H11" s="592">
        <v>4.4929961089494164</v>
      </c>
      <c r="I11" s="592">
        <v>1283</v>
      </c>
      <c r="J11" s="592">
        <v>2</v>
      </c>
      <c r="K11" s="592">
        <v>2570</v>
      </c>
      <c r="L11" s="592">
        <v>1</v>
      </c>
      <c r="M11" s="592">
        <v>1285</v>
      </c>
      <c r="N11" s="592"/>
      <c r="O11" s="592"/>
      <c r="P11" s="577"/>
      <c r="Q11" s="593"/>
    </row>
    <row r="12" spans="1:17" ht="14.4" customHeight="1" x14ac:dyDescent="0.3">
      <c r="A12" s="571" t="s">
        <v>1002</v>
      </c>
      <c r="B12" s="572" t="s">
        <v>919</v>
      </c>
      <c r="C12" s="572" t="s">
        <v>894</v>
      </c>
      <c r="D12" s="572" t="s">
        <v>932</v>
      </c>
      <c r="E12" s="572" t="s">
        <v>933</v>
      </c>
      <c r="F12" s="592">
        <v>112</v>
      </c>
      <c r="G12" s="592">
        <v>256928</v>
      </c>
      <c r="H12" s="592">
        <v>3.1070478401780099</v>
      </c>
      <c r="I12" s="592">
        <v>2294</v>
      </c>
      <c r="J12" s="592">
        <v>36</v>
      </c>
      <c r="K12" s="592">
        <v>82692</v>
      </c>
      <c r="L12" s="592">
        <v>1</v>
      </c>
      <c r="M12" s="592">
        <v>2297</v>
      </c>
      <c r="N12" s="592"/>
      <c r="O12" s="592"/>
      <c r="P12" s="577"/>
      <c r="Q12" s="593"/>
    </row>
    <row r="13" spans="1:17" ht="14.4" customHeight="1" x14ac:dyDescent="0.3">
      <c r="A13" s="571" t="s">
        <v>1002</v>
      </c>
      <c r="B13" s="572" t="s">
        <v>919</v>
      </c>
      <c r="C13" s="572" t="s">
        <v>894</v>
      </c>
      <c r="D13" s="572" t="s">
        <v>936</v>
      </c>
      <c r="E13" s="572" t="s">
        <v>937</v>
      </c>
      <c r="F13" s="592">
        <v>1</v>
      </c>
      <c r="G13" s="592">
        <v>936</v>
      </c>
      <c r="H13" s="592"/>
      <c r="I13" s="592">
        <v>936</v>
      </c>
      <c r="J13" s="592"/>
      <c r="K13" s="592"/>
      <c r="L13" s="592"/>
      <c r="M13" s="592"/>
      <c r="N13" s="592"/>
      <c r="O13" s="592"/>
      <c r="P13" s="577"/>
      <c r="Q13" s="593"/>
    </row>
    <row r="14" spans="1:17" ht="14.4" customHeight="1" x14ac:dyDescent="0.3">
      <c r="A14" s="571" t="s">
        <v>1002</v>
      </c>
      <c r="B14" s="572" t="s">
        <v>919</v>
      </c>
      <c r="C14" s="572" t="s">
        <v>894</v>
      </c>
      <c r="D14" s="572" t="s">
        <v>942</v>
      </c>
      <c r="E14" s="572" t="s">
        <v>943</v>
      </c>
      <c r="F14" s="592">
        <v>1</v>
      </c>
      <c r="G14" s="592">
        <v>8937</v>
      </c>
      <c r="H14" s="592"/>
      <c r="I14" s="592">
        <v>8937</v>
      </c>
      <c r="J14" s="592"/>
      <c r="K14" s="592"/>
      <c r="L14" s="592"/>
      <c r="M14" s="592"/>
      <c r="N14" s="592"/>
      <c r="O14" s="592"/>
      <c r="P14" s="577"/>
      <c r="Q14" s="593"/>
    </row>
    <row r="15" spans="1:17" ht="14.4" customHeight="1" x14ac:dyDescent="0.3">
      <c r="A15" s="571" t="s">
        <v>918</v>
      </c>
      <c r="B15" s="572" t="s">
        <v>899</v>
      </c>
      <c r="C15" s="572" t="s">
        <v>894</v>
      </c>
      <c r="D15" s="572" t="s">
        <v>902</v>
      </c>
      <c r="E15" s="572" t="s">
        <v>903</v>
      </c>
      <c r="F15" s="592">
        <v>4</v>
      </c>
      <c r="G15" s="592">
        <v>9912</v>
      </c>
      <c r="H15" s="592"/>
      <c r="I15" s="592">
        <v>2478</v>
      </c>
      <c r="J15" s="592"/>
      <c r="K15" s="592"/>
      <c r="L15" s="592"/>
      <c r="M15" s="592"/>
      <c r="N15" s="592">
        <v>1</v>
      </c>
      <c r="O15" s="592">
        <v>2483</v>
      </c>
      <c r="P15" s="577"/>
      <c r="Q15" s="593">
        <v>2483</v>
      </c>
    </row>
    <row r="16" spans="1:17" ht="14.4" customHeight="1" x14ac:dyDescent="0.3">
      <c r="A16" s="571" t="s">
        <v>918</v>
      </c>
      <c r="B16" s="572" t="s">
        <v>899</v>
      </c>
      <c r="C16" s="572" t="s">
        <v>894</v>
      </c>
      <c r="D16" s="572" t="s">
        <v>906</v>
      </c>
      <c r="E16" s="572" t="s">
        <v>907</v>
      </c>
      <c r="F16" s="592">
        <v>9</v>
      </c>
      <c r="G16" s="592">
        <v>3150</v>
      </c>
      <c r="H16" s="592">
        <v>1.7948717948717949</v>
      </c>
      <c r="I16" s="592">
        <v>350</v>
      </c>
      <c r="J16" s="592">
        <v>5</v>
      </c>
      <c r="K16" s="592">
        <v>1755</v>
      </c>
      <c r="L16" s="592">
        <v>1</v>
      </c>
      <c r="M16" s="592">
        <v>351</v>
      </c>
      <c r="N16" s="592">
        <v>5</v>
      </c>
      <c r="O16" s="592">
        <v>1755</v>
      </c>
      <c r="P16" s="577">
        <v>1</v>
      </c>
      <c r="Q16" s="593">
        <v>351</v>
      </c>
    </row>
    <row r="17" spans="1:17" ht="14.4" customHeight="1" x14ac:dyDescent="0.3">
      <c r="A17" s="571" t="s">
        <v>918</v>
      </c>
      <c r="B17" s="572" t="s">
        <v>899</v>
      </c>
      <c r="C17" s="572" t="s">
        <v>894</v>
      </c>
      <c r="D17" s="572" t="s">
        <v>910</v>
      </c>
      <c r="E17" s="572" t="s">
        <v>911</v>
      </c>
      <c r="F17" s="592">
        <v>11</v>
      </c>
      <c r="G17" s="592">
        <v>16709</v>
      </c>
      <c r="H17" s="592">
        <v>1.5703947368421052</v>
      </c>
      <c r="I17" s="592">
        <v>1519</v>
      </c>
      <c r="J17" s="592">
        <v>7</v>
      </c>
      <c r="K17" s="592">
        <v>10640</v>
      </c>
      <c r="L17" s="592">
        <v>1</v>
      </c>
      <c r="M17" s="592">
        <v>1520</v>
      </c>
      <c r="N17" s="592">
        <v>9</v>
      </c>
      <c r="O17" s="592">
        <v>13698</v>
      </c>
      <c r="P17" s="577">
        <v>1.2874060150375939</v>
      </c>
      <c r="Q17" s="593">
        <v>1522</v>
      </c>
    </row>
    <row r="18" spans="1:17" ht="14.4" customHeight="1" x14ac:dyDescent="0.3">
      <c r="A18" s="571" t="s">
        <v>918</v>
      </c>
      <c r="B18" s="572" t="s">
        <v>919</v>
      </c>
      <c r="C18" s="572" t="s">
        <v>894</v>
      </c>
      <c r="D18" s="572" t="s">
        <v>922</v>
      </c>
      <c r="E18" s="572" t="s">
        <v>923</v>
      </c>
      <c r="F18" s="592">
        <v>3</v>
      </c>
      <c r="G18" s="592">
        <v>942</v>
      </c>
      <c r="H18" s="592">
        <v>1.4952380952380953</v>
      </c>
      <c r="I18" s="592">
        <v>314</v>
      </c>
      <c r="J18" s="592">
        <v>2</v>
      </c>
      <c r="K18" s="592">
        <v>630</v>
      </c>
      <c r="L18" s="592">
        <v>1</v>
      </c>
      <c r="M18" s="592">
        <v>315</v>
      </c>
      <c r="N18" s="592">
        <v>8</v>
      </c>
      <c r="O18" s="592">
        <v>2392</v>
      </c>
      <c r="P18" s="577">
        <v>3.7968253968253967</v>
      </c>
      <c r="Q18" s="593">
        <v>299</v>
      </c>
    </row>
    <row r="19" spans="1:17" ht="14.4" customHeight="1" x14ac:dyDescent="0.3">
      <c r="A19" s="571" t="s">
        <v>918</v>
      </c>
      <c r="B19" s="572" t="s">
        <v>919</v>
      </c>
      <c r="C19" s="572" t="s">
        <v>894</v>
      </c>
      <c r="D19" s="572" t="s">
        <v>924</v>
      </c>
      <c r="E19" s="572" t="s">
        <v>925</v>
      </c>
      <c r="F19" s="592">
        <v>5</v>
      </c>
      <c r="G19" s="592">
        <v>6415</v>
      </c>
      <c r="H19" s="592">
        <v>0.99844357976653697</v>
      </c>
      <c r="I19" s="592">
        <v>1283</v>
      </c>
      <c r="J19" s="592">
        <v>5</v>
      </c>
      <c r="K19" s="592">
        <v>6425</v>
      </c>
      <c r="L19" s="592">
        <v>1</v>
      </c>
      <c r="M19" s="592">
        <v>1285</v>
      </c>
      <c r="N19" s="592"/>
      <c r="O19" s="592"/>
      <c r="P19" s="577"/>
      <c r="Q19" s="593"/>
    </row>
    <row r="20" spans="1:17" ht="14.4" customHeight="1" x14ac:dyDescent="0.3">
      <c r="A20" s="571" t="s">
        <v>918</v>
      </c>
      <c r="B20" s="572" t="s">
        <v>919</v>
      </c>
      <c r="C20" s="572" t="s">
        <v>894</v>
      </c>
      <c r="D20" s="572" t="s">
        <v>926</v>
      </c>
      <c r="E20" s="572" t="s">
        <v>927</v>
      </c>
      <c r="F20" s="592"/>
      <c r="G20" s="592"/>
      <c r="H20" s="592"/>
      <c r="I20" s="592"/>
      <c r="J20" s="592"/>
      <c r="K20" s="592"/>
      <c r="L20" s="592"/>
      <c r="M20" s="592"/>
      <c r="N20" s="592">
        <v>1</v>
      </c>
      <c r="O20" s="592">
        <v>10467</v>
      </c>
      <c r="P20" s="577"/>
      <c r="Q20" s="593">
        <v>10467</v>
      </c>
    </row>
    <row r="21" spans="1:17" ht="14.4" customHeight="1" x14ac:dyDescent="0.3">
      <c r="A21" s="571" t="s">
        <v>918</v>
      </c>
      <c r="B21" s="572" t="s">
        <v>919</v>
      </c>
      <c r="C21" s="572" t="s">
        <v>894</v>
      </c>
      <c r="D21" s="572" t="s">
        <v>932</v>
      </c>
      <c r="E21" s="572" t="s">
        <v>933</v>
      </c>
      <c r="F21" s="592">
        <v>68</v>
      </c>
      <c r="G21" s="592">
        <v>155992</v>
      </c>
      <c r="H21" s="592">
        <v>3.0868722048521788</v>
      </c>
      <c r="I21" s="592">
        <v>2294</v>
      </c>
      <c r="J21" s="592">
        <v>22</v>
      </c>
      <c r="K21" s="592">
        <v>50534</v>
      </c>
      <c r="L21" s="592">
        <v>1</v>
      </c>
      <c r="M21" s="592">
        <v>2297</v>
      </c>
      <c r="N21" s="592"/>
      <c r="O21" s="592"/>
      <c r="P21" s="577"/>
      <c r="Q21" s="593"/>
    </row>
    <row r="22" spans="1:17" ht="14.4" customHeight="1" x14ac:dyDescent="0.3">
      <c r="A22" s="571" t="s">
        <v>918</v>
      </c>
      <c r="B22" s="572" t="s">
        <v>919</v>
      </c>
      <c r="C22" s="572" t="s">
        <v>894</v>
      </c>
      <c r="D22" s="572" t="s">
        <v>938</v>
      </c>
      <c r="E22" s="572" t="s">
        <v>939</v>
      </c>
      <c r="F22" s="592">
        <v>3</v>
      </c>
      <c r="G22" s="592">
        <v>20790</v>
      </c>
      <c r="H22" s="592">
        <v>2.9974048442906573</v>
      </c>
      <c r="I22" s="592">
        <v>6930</v>
      </c>
      <c r="J22" s="592">
        <v>1</v>
      </c>
      <c r="K22" s="592">
        <v>6936</v>
      </c>
      <c r="L22" s="592">
        <v>1</v>
      </c>
      <c r="M22" s="592">
        <v>6936</v>
      </c>
      <c r="N22" s="592">
        <v>2</v>
      </c>
      <c r="O22" s="592">
        <v>15098</v>
      </c>
      <c r="P22" s="577">
        <v>2.1767589388696655</v>
      </c>
      <c r="Q22" s="593">
        <v>7549</v>
      </c>
    </row>
    <row r="23" spans="1:17" ht="14.4" customHeight="1" x14ac:dyDescent="0.3">
      <c r="A23" s="571" t="s">
        <v>918</v>
      </c>
      <c r="B23" s="572" t="s">
        <v>919</v>
      </c>
      <c r="C23" s="572" t="s">
        <v>894</v>
      </c>
      <c r="D23" s="572" t="s">
        <v>950</v>
      </c>
      <c r="E23" s="572"/>
      <c r="F23" s="592"/>
      <c r="G23" s="592"/>
      <c r="H23" s="592"/>
      <c r="I23" s="592"/>
      <c r="J23" s="592">
        <v>1</v>
      </c>
      <c r="K23" s="592">
        <v>0</v>
      </c>
      <c r="L23" s="592"/>
      <c r="M23" s="592">
        <v>0</v>
      </c>
      <c r="N23" s="592"/>
      <c r="O23" s="592"/>
      <c r="P23" s="577"/>
      <c r="Q23" s="593"/>
    </row>
    <row r="24" spans="1:17" ht="14.4" customHeight="1" x14ac:dyDescent="0.3">
      <c r="A24" s="571" t="s">
        <v>918</v>
      </c>
      <c r="B24" s="572" t="s">
        <v>919</v>
      </c>
      <c r="C24" s="572" t="s">
        <v>894</v>
      </c>
      <c r="D24" s="572" t="s">
        <v>953</v>
      </c>
      <c r="E24" s="572"/>
      <c r="F24" s="592"/>
      <c r="G24" s="592"/>
      <c r="H24" s="592"/>
      <c r="I24" s="592"/>
      <c r="J24" s="592">
        <v>1</v>
      </c>
      <c r="K24" s="592">
        <v>19380</v>
      </c>
      <c r="L24" s="592">
        <v>1</v>
      </c>
      <c r="M24" s="592">
        <v>19380</v>
      </c>
      <c r="N24" s="592"/>
      <c r="O24" s="592"/>
      <c r="P24" s="577"/>
      <c r="Q24" s="593"/>
    </row>
    <row r="25" spans="1:17" ht="14.4" customHeight="1" x14ac:dyDescent="0.3">
      <c r="A25" s="571" t="s">
        <v>918</v>
      </c>
      <c r="B25" s="572" t="s">
        <v>919</v>
      </c>
      <c r="C25" s="572" t="s">
        <v>894</v>
      </c>
      <c r="D25" s="572" t="s">
        <v>958</v>
      </c>
      <c r="E25" s="572" t="s">
        <v>959</v>
      </c>
      <c r="F25" s="592"/>
      <c r="G25" s="592"/>
      <c r="H25" s="592"/>
      <c r="I25" s="592"/>
      <c r="J25" s="592"/>
      <c r="K25" s="592"/>
      <c r="L25" s="592"/>
      <c r="M25" s="592"/>
      <c r="N25" s="592">
        <v>5</v>
      </c>
      <c r="O25" s="592">
        <v>5535</v>
      </c>
      <c r="P25" s="577"/>
      <c r="Q25" s="593">
        <v>1107</v>
      </c>
    </row>
    <row r="26" spans="1:17" ht="14.4" customHeight="1" x14ac:dyDescent="0.3">
      <c r="A26" s="571" t="s">
        <v>918</v>
      </c>
      <c r="B26" s="572" t="s">
        <v>919</v>
      </c>
      <c r="C26" s="572" t="s">
        <v>894</v>
      </c>
      <c r="D26" s="572" t="s">
        <v>960</v>
      </c>
      <c r="E26" s="572" t="s">
        <v>961</v>
      </c>
      <c r="F26" s="592"/>
      <c r="G26" s="592"/>
      <c r="H26" s="592"/>
      <c r="I26" s="592"/>
      <c r="J26" s="592"/>
      <c r="K26" s="592"/>
      <c r="L26" s="592"/>
      <c r="M26" s="592"/>
      <c r="N26" s="592">
        <v>2</v>
      </c>
      <c r="O26" s="592">
        <v>14860</v>
      </c>
      <c r="P26" s="577"/>
      <c r="Q26" s="593">
        <v>7430</v>
      </c>
    </row>
    <row r="27" spans="1:17" ht="14.4" customHeight="1" x14ac:dyDescent="0.3">
      <c r="A27" s="571" t="s">
        <v>918</v>
      </c>
      <c r="B27" s="572" t="s">
        <v>919</v>
      </c>
      <c r="C27" s="572" t="s">
        <v>894</v>
      </c>
      <c r="D27" s="572" t="s">
        <v>962</v>
      </c>
      <c r="E27" s="572" t="s">
        <v>963</v>
      </c>
      <c r="F27" s="592"/>
      <c r="G27" s="592"/>
      <c r="H27" s="592"/>
      <c r="I27" s="592"/>
      <c r="J27" s="592"/>
      <c r="K27" s="592"/>
      <c r="L27" s="592"/>
      <c r="M27" s="592"/>
      <c r="N27" s="592">
        <v>5</v>
      </c>
      <c r="O27" s="592">
        <v>19175</v>
      </c>
      <c r="P27" s="577"/>
      <c r="Q27" s="593">
        <v>3835</v>
      </c>
    </row>
    <row r="28" spans="1:17" ht="14.4" customHeight="1" x14ac:dyDescent="0.3">
      <c r="A28" s="571" t="s">
        <v>1003</v>
      </c>
      <c r="B28" s="572" t="s">
        <v>899</v>
      </c>
      <c r="C28" s="572" t="s">
        <v>894</v>
      </c>
      <c r="D28" s="572" t="s">
        <v>902</v>
      </c>
      <c r="E28" s="572" t="s">
        <v>903</v>
      </c>
      <c r="F28" s="592"/>
      <c r="G28" s="592"/>
      <c r="H28" s="592"/>
      <c r="I28" s="592"/>
      <c r="J28" s="592">
        <v>1</v>
      </c>
      <c r="K28" s="592">
        <v>2480</v>
      </c>
      <c r="L28" s="592">
        <v>1</v>
      </c>
      <c r="M28" s="592">
        <v>2480</v>
      </c>
      <c r="N28" s="592">
        <v>1</v>
      </c>
      <c r="O28" s="592">
        <v>2483</v>
      </c>
      <c r="P28" s="577">
        <v>1.0012096774193548</v>
      </c>
      <c r="Q28" s="593">
        <v>2483</v>
      </c>
    </row>
    <row r="29" spans="1:17" ht="14.4" customHeight="1" x14ac:dyDescent="0.3">
      <c r="A29" s="571" t="s">
        <v>1003</v>
      </c>
      <c r="B29" s="572" t="s">
        <v>899</v>
      </c>
      <c r="C29" s="572" t="s">
        <v>894</v>
      </c>
      <c r="D29" s="572" t="s">
        <v>906</v>
      </c>
      <c r="E29" s="572" t="s">
        <v>907</v>
      </c>
      <c r="F29" s="592">
        <v>2</v>
      </c>
      <c r="G29" s="592">
        <v>700</v>
      </c>
      <c r="H29" s="592">
        <v>0.39886039886039887</v>
      </c>
      <c r="I29" s="592">
        <v>350</v>
      </c>
      <c r="J29" s="592">
        <v>5</v>
      </c>
      <c r="K29" s="592">
        <v>1755</v>
      </c>
      <c r="L29" s="592">
        <v>1</v>
      </c>
      <c r="M29" s="592">
        <v>351</v>
      </c>
      <c r="N29" s="592">
        <v>1</v>
      </c>
      <c r="O29" s="592">
        <v>351</v>
      </c>
      <c r="P29" s="577">
        <v>0.2</v>
      </c>
      <c r="Q29" s="593">
        <v>351</v>
      </c>
    </row>
    <row r="30" spans="1:17" ht="14.4" customHeight="1" x14ac:dyDescent="0.3">
      <c r="A30" s="571" t="s">
        <v>1003</v>
      </c>
      <c r="B30" s="572" t="s">
        <v>899</v>
      </c>
      <c r="C30" s="572" t="s">
        <v>894</v>
      </c>
      <c r="D30" s="572" t="s">
        <v>910</v>
      </c>
      <c r="E30" s="572" t="s">
        <v>911</v>
      </c>
      <c r="F30" s="592">
        <v>2</v>
      </c>
      <c r="G30" s="592">
        <v>3038</v>
      </c>
      <c r="H30" s="592">
        <v>0.19986842105263158</v>
      </c>
      <c r="I30" s="592">
        <v>1519</v>
      </c>
      <c r="J30" s="592">
        <v>10</v>
      </c>
      <c r="K30" s="592">
        <v>15200</v>
      </c>
      <c r="L30" s="592">
        <v>1</v>
      </c>
      <c r="M30" s="592">
        <v>1520</v>
      </c>
      <c r="N30" s="592">
        <v>5</v>
      </c>
      <c r="O30" s="592">
        <v>7610</v>
      </c>
      <c r="P30" s="577">
        <v>0.50065789473684208</v>
      </c>
      <c r="Q30" s="593">
        <v>1522</v>
      </c>
    </row>
    <row r="31" spans="1:17" ht="14.4" customHeight="1" x14ac:dyDescent="0.3">
      <c r="A31" s="571" t="s">
        <v>1003</v>
      </c>
      <c r="B31" s="572" t="s">
        <v>919</v>
      </c>
      <c r="C31" s="572" t="s">
        <v>894</v>
      </c>
      <c r="D31" s="572" t="s">
        <v>922</v>
      </c>
      <c r="E31" s="572" t="s">
        <v>923</v>
      </c>
      <c r="F31" s="592">
        <v>1</v>
      </c>
      <c r="G31" s="592">
        <v>314</v>
      </c>
      <c r="H31" s="592">
        <v>0.49841269841269842</v>
      </c>
      <c r="I31" s="592">
        <v>314</v>
      </c>
      <c r="J31" s="592">
        <v>2</v>
      </c>
      <c r="K31" s="592">
        <v>630</v>
      </c>
      <c r="L31" s="592">
        <v>1</v>
      </c>
      <c r="M31" s="592">
        <v>315</v>
      </c>
      <c r="N31" s="592">
        <v>4</v>
      </c>
      <c r="O31" s="592">
        <v>1196</v>
      </c>
      <c r="P31" s="577">
        <v>1.8984126984126983</v>
      </c>
      <c r="Q31" s="593">
        <v>299</v>
      </c>
    </row>
    <row r="32" spans="1:17" ht="14.4" customHeight="1" x14ac:dyDescent="0.3">
      <c r="A32" s="571" t="s">
        <v>1003</v>
      </c>
      <c r="B32" s="572" t="s">
        <v>919</v>
      </c>
      <c r="C32" s="572" t="s">
        <v>894</v>
      </c>
      <c r="D32" s="572" t="s">
        <v>1004</v>
      </c>
      <c r="E32" s="572" t="s">
        <v>1005</v>
      </c>
      <c r="F32" s="592">
        <v>1</v>
      </c>
      <c r="G32" s="592">
        <v>6402</v>
      </c>
      <c r="H32" s="592"/>
      <c r="I32" s="592">
        <v>6402</v>
      </c>
      <c r="J32" s="592"/>
      <c r="K32" s="592"/>
      <c r="L32" s="592"/>
      <c r="M32" s="592"/>
      <c r="N32" s="592"/>
      <c r="O32" s="592"/>
      <c r="P32" s="577"/>
      <c r="Q32" s="593"/>
    </row>
    <row r="33" spans="1:17" ht="14.4" customHeight="1" x14ac:dyDescent="0.3">
      <c r="A33" s="571" t="s">
        <v>1003</v>
      </c>
      <c r="B33" s="572" t="s">
        <v>919</v>
      </c>
      <c r="C33" s="572" t="s">
        <v>894</v>
      </c>
      <c r="D33" s="572" t="s">
        <v>924</v>
      </c>
      <c r="E33" s="572" t="s">
        <v>925</v>
      </c>
      <c r="F33" s="592">
        <v>2</v>
      </c>
      <c r="G33" s="592">
        <v>2566</v>
      </c>
      <c r="H33" s="592">
        <v>0.33281452658884564</v>
      </c>
      <c r="I33" s="592">
        <v>1283</v>
      </c>
      <c r="J33" s="592">
        <v>6</v>
      </c>
      <c r="K33" s="592">
        <v>7710</v>
      </c>
      <c r="L33" s="592">
        <v>1</v>
      </c>
      <c r="M33" s="592">
        <v>1285</v>
      </c>
      <c r="N33" s="592"/>
      <c r="O33" s="592"/>
      <c r="P33" s="577"/>
      <c r="Q33" s="593"/>
    </row>
    <row r="34" spans="1:17" ht="14.4" customHeight="1" x14ac:dyDescent="0.3">
      <c r="A34" s="571" t="s">
        <v>1003</v>
      </c>
      <c r="B34" s="572" t="s">
        <v>919</v>
      </c>
      <c r="C34" s="572" t="s">
        <v>894</v>
      </c>
      <c r="D34" s="572" t="s">
        <v>926</v>
      </c>
      <c r="E34" s="572" t="s">
        <v>927</v>
      </c>
      <c r="F34" s="592"/>
      <c r="G34" s="592"/>
      <c r="H34" s="592"/>
      <c r="I34" s="592"/>
      <c r="J34" s="592"/>
      <c r="K34" s="592"/>
      <c r="L34" s="592"/>
      <c r="M34" s="592"/>
      <c r="N34" s="592">
        <v>1</v>
      </c>
      <c r="O34" s="592">
        <v>10467</v>
      </c>
      <c r="P34" s="577"/>
      <c r="Q34" s="593">
        <v>10467</v>
      </c>
    </row>
    <row r="35" spans="1:17" ht="14.4" customHeight="1" x14ac:dyDescent="0.3">
      <c r="A35" s="571" t="s">
        <v>1003</v>
      </c>
      <c r="B35" s="572" t="s">
        <v>919</v>
      </c>
      <c r="C35" s="572" t="s">
        <v>894</v>
      </c>
      <c r="D35" s="572" t="s">
        <v>932</v>
      </c>
      <c r="E35" s="572" t="s">
        <v>933</v>
      </c>
      <c r="F35" s="592"/>
      <c r="G35" s="592"/>
      <c r="H35" s="592"/>
      <c r="I35" s="592"/>
      <c r="J35" s="592">
        <v>16</v>
      </c>
      <c r="K35" s="592">
        <v>36752</v>
      </c>
      <c r="L35" s="592">
        <v>1</v>
      </c>
      <c r="M35" s="592">
        <v>2297</v>
      </c>
      <c r="N35" s="592"/>
      <c r="O35" s="592"/>
      <c r="P35" s="577"/>
      <c r="Q35" s="593"/>
    </row>
    <row r="36" spans="1:17" ht="14.4" customHeight="1" x14ac:dyDescent="0.3">
      <c r="A36" s="571" t="s">
        <v>1003</v>
      </c>
      <c r="B36" s="572" t="s">
        <v>919</v>
      </c>
      <c r="C36" s="572" t="s">
        <v>894</v>
      </c>
      <c r="D36" s="572" t="s">
        <v>938</v>
      </c>
      <c r="E36" s="572" t="s">
        <v>939</v>
      </c>
      <c r="F36" s="592">
        <v>1</v>
      </c>
      <c r="G36" s="592">
        <v>6930</v>
      </c>
      <c r="H36" s="592">
        <v>0.99913494809688586</v>
      </c>
      <c r="I36" s="592">
        <v>6930</v>
      </c>
      <c r="J36" s="592">
        <v>1</v>
      </c>
      <c r="K36" s="592">
        <v>6936</v>
      </c>
      <c r="L36" s="592">
        <v>1</v>
      </c>
      <c r="M36" s="592">
        <v>6936</v>
      </c>
      <c r="N36" s="592">
        <v>1</v>
      </c>
      <c r="O36" s="592">
        <v>7549</v>
      </c>
      <c r="P36" s="577">
        <v>1.0883794694348328</v>
      </c>
      <c r="Q36" s="593">
        <v>7549</v>
      </c>
    </row>
    <row r="37" spans="1:17" ht="14.4" customHeight="1" x14ac:dyDescent="0.3">
      <c r="A37" s="571" t="s">
        <v>1003</v>
      </c>
      <c r="B37" s="572" t="s">
        <v>919</v>
      </c>
      <c r="C37" s="572" t="s">
        <v>894</v>
      </c>
      <c r="D37" s="572" t="s">
        <v>940</v>
      </c>
      <c r="E37" s="572" t="s">
        <v>941</v>
      </c>
      <c r="F37" s="592">
        <v>1</v>
      </c>
      <c r="G37" s="592">
        <v>3559</v>
      </c>
      <c r="H37" s="592">
        <v>0.49957888826501967</v>
      </c>
      <c r="I37" s="592">
        <v>3559</v>
      </c>
      <c r="J37" s="592">
        <v>2</v>
      </c>
      <c r="K37" s="592">
        <v>7124</v>
      </c>
      <c r="L37" s="592">
        <v>1</v>
      </c>
      <c r="M37" s="592">
        <v>3562</v>
      </c>
      <c r="N37" s="592"/>
      <c r="O37" s="592"/>
      <c r="P37" s="577"/>
      <c r="Q37" s="593"/>
    </row>
    <row r="38" spans="1:17" ht="14.4" customHeight="1" x14ac:dyDescent="0.3">
      <c r="A38" s="571" t="s">
        <v>1003</v>
      </c>
      <c r="B38" s="572" t="s">
        <v>919</v>
      </c>
      <c r="C38" s="572" t="s">
        <v>894</v>
      </c>
      <c r="D38" s="572" t="s">
        <v>958</v>
      </c>
      <c r="E38" s="572" t="s">
        <v>959</v>
      </c>
      <c r="F38" s="592"/>
      <c r="G38" s="592"/>
      <c r="H38" s="592"/>
      <c r="I38" s="592"/>
      <c r="J38" s="592"/>
      <c r="K38" s="592"/>
      <c r="L38" s="592"/>
      <c r="M38" s="592"/>
      <c r="N38" s="592">
        <v>0</v>
      </c>
      <c r="O38" s="592">
        <v>0</v>
      </c>
      <c r="P38" s="577"/>
      <c r="Q38" s="593"/>
    </row>
    <row r="39" spans="1:17" ht="14.4" customHeight="1" x14ac:dyDescent="0.3">
      <c r="A39" s="571" t="s">
        <v>1006</v>
      </c>
      <c r="B39" s="572" t="s">
        <v>899</v>
      </c>
      <c r="C39" s="572" t="s">
        <v>894</v>
      </c>
      <c r="D39" s="572" t="s">
        <v>910</v>
      </c>
      <c r="E39" s="572" t="s">
        <v>911</v>
      </c>
      <c r="F39" s="592">
        <v>6</v>
      </c>
      <c r="G39" s="592">
        <v>9114</v>
      </c>
      <c r="H39" s="592">
        <v>0.42828947368421055</v>
      </c>
      <c r="I39" s="592">
        <v>1519</v>
      </c>
      <c r="J39" s="592">
        <v>14</v>
      </c>
      <c r="K39" s="592">
        <v>21280</v>
      </c>
      <c r="L39" s="592">
        <v>1</v>
      </c>
      <c r="M39" s="592">
        <v>1520</v>
      </c>
      <c r="N39" s="592">
        <v>12</v>
      </c>
      <c r="O39" s="592">
        <v>18264</v>
      </c>
      <c r="P39" s="577">
        <v>0.8582706766917293</v>
      </c>
      <c r="Q39" s="593">
        <v>1522</v>
      </c>
    </row>
    <row r="40" spans="1:17" ht="14.4" customHeight="1" x14ac:dyDescent="0.3">
      <c r="A40" s="571" t="s">
        <v>1006</v>
      </c>
      <c r="B40" s="572" t="s">
        <v>919</v>
      </c>
      <c r="C40" s="572" t="s">
        <v>894</v>
      </c>
      <c r="D40" s="572" t="s">
        <v>924</v>
      </c>
      <c r="E40" s="572" t="s">
        <v>925</v>
      </c>
      <c r="F40" s="592">
        <v>7</v>
      </c>
      <c r="G40" s="592">
        <v>8981</v>
      </c>
      <c r="H40" s="592">
        <v>0.53762346602813527</v>
      </c>
      <c r="I40" s="592">
        <v>1283</v>
      </c>
      <c r="J40" s="592">
        <v>13</v>
      </c>
      <c r="K40" s="592">
        <v>16705</v>
      </c>
      <c r="L40" s="592">
        <v>1</v>
      </c>
      <c r="M40" s="592">
        <v>1285</v>
      </c>
      <c r="N40" s="592"/>
      <c r="O40" s="592"/>
      <c r="P40" s="577"/>
      <c r="Q40" s="593"/>
    </row>
    <row r="41" spans="1:17" ht="14.4" customHeight="1" x14ac:dyDescent="0.3">
      <c r="A41" s="571" t="s">
        <v>1006</v>
      </c>
      <c r="B41" s="572" t="s">
        <v>919</v>
      </c>
      <c r="C41" s="572" t="s">
        <v>894</v>
      </c>
      <c r="D41" s="572" t="s">
        <v>958</v>
      </c>
      <c r="E41" s="572" t="s">
        <v>959</v>
      </c>
      <c r="F41" s="592"/>
      <c r="G41" s="592"/>
      <c r="H41" s="592"/>
      <c r="I41" s="592"/>
      <c r="J41" s="592"/>
      <c r="K41" s="592"/>
      <c r="L41" s="592"/>
      <c r="M41" s="592"/>
      <c r="N41" s="592">
        <v>10</v>
      </c>
      <c r="O41" s="592">
        <v>11070</v>
      </c>
      <c r="P41" s="577"/>
      <c r="Q41" s="593">
        <v>1107</v>
      </c>
    </row>
    <row r="42" spans="1:17" ht="14.4" customHeight="1" x14ac:dyDescent="0.3">
      <c r="A42" s="571" t="s">
        <v>1007</v>
      </c>
      <c r="B42" s="572" t="s">
        <v>899</v>
      </c>
      <c r="C42" s="572" t="s">
        <v>894</v>
      </c>
      <c r="D42" s="572" t="s">
        <v>910</v>
      </c>
      <c r="E42" s="572" t="s">
        <v>911</v>
      </c>
      <c r="F42" s="592"/>
      <c r="G42" s="592"/>
      <c r="H42" s="592"/>
      <c r="I42" s="592"/>
      <c r="J42" s="592">
        <v>1</v>
      </c>
      <c r="K42" s="592">
        <v>1520</v>
      </c>
      <c r="L42" s="592">
        <v>1</v>
      </c>
      <c r="M42" s="592">
        <v>1520</v>
      </c>
      <c r="N42" s="592"/>
      <c r="O42" s="592"/>
      <c r="P42" s="577"/>
      <c r="Q42" s="593"/>
    </row>
    <row r="43" spans="1:17" ht="14.4" customHeight="1" x14ac:dyDescent="0.3">
      <c r="A43" s="571" t="s">
        <v>1008</v>
      </c>
      <c r="B43" s="572" t="s">
        <v>899</v>
      </c>
      <c r="C43" s="572" t="s">
        <v>894</v>
      </c>
      <c r="D43" s="572" t="s">
        <v>902</v>
      </c>
      <c r="E43" s="572" t="s">
        <v>903</v>
      </c>
      <c r="F43" s="592">
        <v>1</v>
      </c>
      <c r="G43" s="592">
        <v>2478</v>
      </c>
      <c r="H43" s="592"/>
      <c r="I43" s="592">
        <v>2478</v>
      </c>
      <c r="J43" s="592"/>
      <c r="K43" s="592"/>
      <c r="L43" s="592"/>
      <c r="M43" s="592"/>
      <c r="N43" s="592">
        <v>1</v>
      </c>
      <c r="O43" s="592">
        <v>2483</v>
      </c>
      <c r="P43" s="577"/>
      <c r="Q43" s="593">
        <v>2483</v>
      </c>
    </row>
    <row r="44" spans="1:17" ht="14.4" customHeight="1" x14ac:dyDescent="0.3">
      <c r="A44" s="571" t="s">
        <v>1008</v>
      </c>
      <c r="B44" s="572" t="s">
        <v>899</v>
      </c>
      <c r="C44" s="572" t="s">
        <v>894</v>
      </c>
      <c r="D44" s="572" t="s">
        <v>910</v>
      </c>
      <c r="E44" s="572" t="s">
        <v>911</v>
      </c>
      <c r="F44" s="592"/>
      <c r="G44" s="592"/>
      <c r="H44" s="592"/>
      <c r="I44" s="592"/>
      <c r="J44" s="592">
        <v>1</v>
      </c>
      <c r="K44" s="592">
        <v>1520</v>
      </c>
      <c r="L44" s="592">
        <v>1</v>
      </c>
      <c r="M44" s="592">
        <v>1520</v>
      </c>
      <c r="N44" s="592">
        <v>2</v>
      </c>
      <c r="O44" s="592">
        <v>3044</v>
      </c>
      <c r="P44" s="577">
        <v>2.0026315789473683</v>
      </c>
      <c r="Q44" s="593">
        <v>1522</v>
      </c>
    </row>
    <row r="45" spans="1:17" ht="14.4" customHeight="1" x14ac:dyDescent="0.3">
      <c r="A45" s="571" t="s">
        <v>1008</v>
      </c>
      <c r="B45" s="572" t="s">
        <v>919</v>
      </c>
      <c r="C45" s="572" t="s">
        <v>894</v>
      </c>
      <c r="D45" s="572" t="s">
        <v>958</v>
      </c>
      <c r="E45" s="572" t="s">
        <v>959</v>
      </c>
      <c r="F45" s="592"/>
      <c r="G45" s="592"/>
      <c r="H45" s="592"/>
      <c r="I45" s="592"/>
      <c r="J45" s="592"/>
      <c r="K45" s="592"/>
      <c r="L45" s="592"/>
      <c r="M45" s="592"/>
      <c r="N45" s="592">
        <v>1</v>
      </c>
      <c r="O45" s="592">
        <v>1107</v>
      </c>
      <c r="P45" s="577"/>
      <c r="Q45" s="593">
        <v>1107</v>
      </c>
    </row>
    <row r="46" spans="1:17" ht="14.4" customHeight="1" x14ac:dyDescent="0.3">
      <c r="A46" s="571" t="s">
        <v>1009</v>
      </c>
      <c r="B46" s="572" t="s">
        <v>899</v>
      </c>
      <c r="C46" s="572" t="s">
        <v>894</v>
      </c>
      <c r="D46" s="572" t="s">
        <v>910</v>
      </c>
      <c r="E46" s="572" t="s">
        <v>911</v>
      </c>
      <c r="F46" s="592">
        <v>1</v>
      </c>
      <c r="G46" s="592">
        <v>1519</v>
      </c>
      <c r="H46" s="592"/>
      <c r="I46" s="592">
        <v>1519</v>
      </c>
      <c r="J46" s="592"/>
      <c r="K46" s="592"/>
      <c r="L46" s="592"/>
      <c r="M46" s="592"/>
      <c r="N46" s="592">
        <v>1</v>
      </c>
      <c r="O46" s="592">
        <v>1522</v>
      </c>
      <c r="P46" s="577"/>
      <c r="Q46" s="593">
        <v>1522</v>
      </c>
    </row>
    <row r="47" spans="1:17" ht="14.4" customHeight="1" x14ac:dyDescent="0.3">
      <c r="A47" s="571" t="s">
        <v>1009</v>
      </c>
      <c r="B47" s="572" t="s">
        <v>919</v>
      </c>
      <c r="C47" s="572" t="s">
        <v>894</v>
      </c>
      <c r="D47" s="572" t="s">
        <v>924</v>
      </c>
      <c r="E47" s="572" t="s">
        <v>925</v>
      </c>
      <c r="F47" s="592">
        <v>1</v>
      </c>
      <c r="G47" s="592">
        <v>1283</v>
      </c>
      <c r="H47" s="592"/>
      <c r="I47" s="592">
        <v>1283</v>
      </c>
      <c r="J47" s="592"/>
      <c r="K47" s="592"/>
      <c r="L47" s="592"/>
      <c r="M47" s="592"/>
      <c r="N47" s="592"/>
      <c r="O47" s="592"/>
      <c r="P47" s="577"/>
      <c r="Q47" s="593"/>
    </row>
    <row r="48" spans="1:17" ht="14.4" customHeight="1" thickBot="1" x14ac:dyDescent="0.35">
      <c r="A48" s="579" t="s">
        <v>1009</v>
      </c>
      <c r="B48" s="580" t="s">
        <v>919</v>
      </c>
      <c r="C48" s="580" t="s">
        <v>894</v>
      </c>
      <c r="D48" s="580" t="s">
        <v>958</v>
      </c>
      <c r="E48" s="580" t="s">
        <v>959</v>
      </c>
      <c r="F48" s="594"/>
      <c r="G48" s="594"/>
      <c r="H48" s="594"/>
      <c r="I48" s="594"/>
      <c r="J48" s="594"/>
      <c r="K48" s="594"/>
      <c r="L48" s="594"/>
      <c r="M48" s="594"/>
      <c r="N48" s="594">
        <v>1</v>
      </c>
      <c r="O48" s="594">
        <v>1107</v>
      </c>
      <c r="P48" s="585"/>
      <c r="Q48" s="595">
        <v>1107</v>
      </c>
    </row>
  </sheetData>
  <autoFilter ref="A5:Q5"/>
  <mergeCells count="11">
    <mergeCell ref="J4:K4"/>
    <mergeCell ref="A1:Q1"/>
    <mergeCell ref="N4:O4"/>
    <mergeCell ref="Q4:Q5"/>
    <mergeCell ref="A4:A5"/>
    <mergeCell ref="B4:B5"/>
    <mergeCell ref="C4:C5"/>
    <mergeCell ref="D4:D5"/>
    <mergeCell ref="P4:P5"/>
    <mergeCell ref="E4:E5"/>
    <mergeCell ref="F4:G4"/>
  </mergeCells>
  <hyperlinks>
    <hyperlink ref="A2" location="Obsah!A1" display="Zpět na Obsah  KL 01  1.-4.měsíc"/>
  </hyperlinks>
  <pageMargins left="0.25" right="0.25" top="0.75" bottom="0.75" header="0.3" footer="0.3"/>
  <pageSetup paperSize="9" fitToHeight="0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listy</vt:lpstr>
      </vt:variant>
      <vt:variant>
        <vt:i4>24</vt:i4>
      </vt:variant>
      <vt:variant>
        <vt:lpstr>Pojmenované oblasti</vt:lpstr>
      </vt:variant>
      <vt:variant>
        <vt:i4>3</vt:i4>
      </vt:variant>
    </vt:vector>
  </HeadingPairs>
  <TitlesOfParts>
    <vt:vector size="27" baseType="lpstr">
      <vt:lpstr>Obsah</vt:lpstr>
      <vt:lpstr>Motivace</vt:lpstr>
      <vt:lpstr>HI</vt:lpstr>
      <vt:lpstr>HI Graf</vt:lpstr>
      <vt:lpstr>Man Tab</vt:lpstr>
      <vt:lpstr>HV</vt:lpstr>
      <vt:lpstr>Léky Žádanky</vt:lpstr>
      <vt:lpstr>LŽ Detail</vt:lpstr>
      <vt:lpstr>LŽ Statim</vt:lpstr>
      <vt:lpstr>Léky Recepty</vt:lpstr>
      <vt:lpstr>LRp Lékaři</vt:lpstr>
      <vt:lpstr>LRp Detail</vt:lpstr>
      <vt:lpstr>LRp PL</vt:lpstr>
      <vt:lpstr>LRp PL Detail</vt:lpstr>
      <vt:lpstr>Materiál Žádanky</vt:lpstr>
      <vt:lpstr>MŽ Detail</vt:lpstr>
      <vt:lpstr>Osobní náklady</vt:lpstr>
      <vt:lpstr>ON Data</vt:lpstr>
      <vt:lpstr>ZV Vykáz.-A</vt:lpstr>
      <vt:lpstr>ZV Vykáz.-A Lékaři</vt:lpstr>
      <vt:lpstr>ZV Vykáz.-A Detail</vt:lpstr>
      <vt:lpstr>ZV Vykáz.-A Det.Lék.</vt:lpstr>
      <vt:lpstr>ZV Vykáz.-H</vt:lpstr>
      <vt:lpstr>ZV Vykáz.-H Detail</vt:lpstr>
      <vt:lpstr>doměsíce</vt:lpstr>
      <vt:lpstr>'ON Data'!Obdobi</vt:lpstr>
      <vt:lpstr>'Osobní náklady'!Obdobi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62361</dc:creator>
  <cp:lastModifiedBy>Berger Martin, Mgr.</cp:lastModifiedBy>
  <cp:lastPrinted>2017-05-31T07:11:02Z</cp:lastPrinted>
  <dcterms:created xsi:type="dcterms:W3CDTF">2013-04-17T20:15:29Z</dcterms:created>
  <dcterms:modified xsi:type="dcterms:W3CDTF">2018-05-29T14:07:47Z</dcterms:modified>
</cp:coreProperties>
</file>