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C21" i="431"/>
  <c r="D10" i="431"/>
  <c r="D14" i="431"/>
  <c r="D18" i="431"/>
  <c r="D22" i="431"/>
  <c r="E11" i="431"/>
  <c r="E15" i="431"/>
  <c r="E19" i="431"/>
  <c r="E23" i="431"/>
  <c r="F12" i="431"/>
  <c r="F20" i="431"/>
  <c r="G13" i="431"/>
  <c r="G21" i="431"/>
  <c r="H14" i="431"/>
  <c r="I11" i="431"/>
  <c r="I23" i="431"/>
  <c r="J12" i="431"/>
  <c r="K9" i="431"/>
  <c r="K21" i="431"/>
  <c r="L22" i="431"/>
  <c r="M19" i="431"/>
  <c r="N16" i="431"/>
  <c r="O9" i="431"/>
  <c r="O21" i="431"/>
  <c r="P18" i="431"/>
  <c r="Q15" i="431"/>
  <c r="F21" i="431"/>
  <c r="H11" i="431"/>
  <c r="I12" i="431"/>
  <c r="J9" i="431"/>
  <c r="K10" i="431"/>
  <c r="L11" i="431"/>
  <c r="M16" i="431"/>
  <c r="N17" i="431"/>
  <c r="O18" i="431"/>
  <c r="P15" i="431"/>
  <c r="Q12" i="431"/>
  <c r="C10" i="431"/>
  <c r="C14" i="431"/>
  <c r="C18" i="431"/>
  <c r="C22" i="431"/>
  <c r="D11" i="431"/>
  <c r="D15" i="431"/>
  <c r="D19" i="431"/>
  <c r="D23" i="431"/>
  <c r="E12" i="431"/>
  <c r="E16" i="431"/>
  <c r="E20" i="431"/>
  <c r="F9" i="431"/>
  <c r="G10" i="431"/>
  <c r="G14" i="431"/>
  <c r="H15" i="431"/>
  <c r="I16" i="431"/>
  <c r="J17" i="431"/>
  <c r="K22" i="431"/>
  <c r="L23" i="431"/>
  <c r="N9" i="431"/>
  <c r="O14" i="431"/>
  <c r="P19" i="431"/>
  <c r="Q20" i="431"/>
  <c r="C11" i="431"/>
  <c r="C15" i="431"/>
  <c r="C19" i="431"/>
  <c r="C23" i="431"/>
  <c r="D12" i="431"/>
  <c r="D16" i="431"/>
  <c r="D20" i="431"/>
  <c r="E9" i="431"/>
  <c r="E13" i="431"/>
  <c r="E17" i="431"/>
  <c r="E21" i="431"/>
  <c r="F10" i="431"/>
  <c r="F14" i="431"/>
  <c r="F18" i="431"/>
  <c r="F22" i="431"/>
  <c r="G11" i="431"/>
  <c r="G15" i="431"/>
  <c r="G19" i="431"/>
  <c r="G23" i="431"/>
  <c r="H12" i="431"/>
  <c r="H16" i="431"/>
  <c r="H20" i="431"/>
  <c r="I9" i="431"/>
  <c r="I13" i="431"/>
  <c r="I17" i="431"/>
  <c r="I21" i="431"/>
  <c r="J10" i="431"/>
  <c r="J14" i="431"/>
  <c r="J18" i="431"/>
  <c r="J22" i="431"/>
  <c r="K11" i="431"/>
  <c r="K15" i="431"/>
  <c r="K19" i="431"/>
  <c r="K23" i="431"/>
  <c r="L12" i="431"/>
  <c r="L16" i="431"/>
  <c r="L20" i="431"/>
  <c r="M9" i="431"/>
  <c r="M13" i="431"/>
  <c r="M17" i="431"/>
  <c r="M21" i="431"/>
  <c r="N10" i="431"/>
  <c r="N14" i="431"/>
  <c r="N18" i="431"/>
  <c r="N22" i="431"/>
  <c r="O11" i="431"/>
  <c r="O15" i="431"/>
  <c r="O19" i="431"/>
  <c r="O23" i="431"/>
  <c r="P12" i="431"/>
  <c r="P16" i="431"/>
  <c r="P20" i="431"/>
  <c r="Q9" i="431"/>
  <c r="Q13" i="431"/>
  <c r="Q17" i="431"/>
  <c r="Q21" i="431"/>
  <c r="J23" i="431"/>
  <c r="K16" i="431"/>
  <c r="L9" i="431"/>
  <c r="L13" i="431"/>
  <c r="L21" i="431"/>
  <c r="M14" i="431"/>
  <c r="M18" i="431"/>
  <c r="N11" i="431"/>
  <c r="N15" i="431"/>
  <c r="N23" i="431"/>
  <c r="O16" i="431"/>
  <c r="O20" i="431"/>
  <c r="P13" i="431"/>
  <c r="P17" i="431"/>
  <c r="Q10" i="431"/>
  <c r="Q18" i="431"/>
  <c r="Q22" i="431"/>
  <c r="F16" i="431"/>
  <c r="H22" i="431"/>
  <c r="I19" i="431"/>
  <c r="J16" i="431"/>
  <c r="K13" i="431"/>
  <c r="L10" i="431"/>
  <c r="L18" i="431"/>
  <c r="M15" i="431"/>
  <c r="M23" i="431"/>
  <c r="N20" i="431"/>
  <c r="O17" i="431"/>
  <c r="P14" i="431"/>
  <c r="Q11" i="431"/>
  <c r="Q23" i="431"/>
  <c r="F17" i="431"/>
  <c r="G22" i="431"/>
  <c r="H23" i="431"/>
  <c r="J13" i="431"/>
  <c r="K14" i="431"/>
  <c r="L15" i="431"/>
  <c r="M12" i="431"/>
  <c r="N13" i="431"/>
  <c r="O10" i="431"/>
  <c r="O22" i="431"/>
  <c r="P23" i="431"/>
  <c r="C12" i="431"/>
  <c r="C16" i="431"/>
  <c r="C20" i="431"/>
  <c r="D9" i="431"/>
  <c r="D13" i="431"/>
  <c r="D17" i="431"/>
  <c r="D21" i="431"/>
  <c r="E10" i="431"/>
  <c r="E14" i="431"/>
  <c r="E18" i="431"/>
  <c r="E22" i="431"/>
  <c r="F11" i="431"/>
  <c r="F15" i="431"/>
  <c r="F19" i="431"/>
  <c r="F23" i="431"/>
  <c r="G12" i="431"/>
  <c r="G16" i="431"/>
  <c r="G20" i="431"/>
  <c r="H9" i="431"/>
  <c r="H13" i="431"/>
  <c r="H17" i="431"/>
  <c r="H21" i="431"/>
  <c r="I10" i="431"/>
  <c r="I14" i="431"/>
  <c r="I18" i="431"/>
  <c r="I22" i="431"/>
  <c r="J11" i="431"/>
  <c r="J15" i="431"/>
  <c r="J19" i="431"/>
  <c r="K12" i="431"/>
  <c r="K20" i="431"/>
  <c r="L17" i="431"/>
  <c r="M10" i="431"/>
  <c r="M22" i="431"/>
  <c r="N19" i="431"/>
  <c r="O12" i="431"/>
  <c r="P9" i="431"/>
  <c r="P21" i="431"/>
  <c r="Q14" i="431"/>
  <c r="G9" i="431"/>
  <c r="G17" i="431"/>
  <c r="H10" i="431"/>
  <c r="H18" i="431"/>
  <c r="I15" i="431"/>
  <c r="J20" i="431"/>
  <c r="K17" i="431"/>
  <c r="L14" i="431"/>
  <c r="M11" i="431"/>
  <c r="N12" i="431"/>
  <c r="O13" i="431"/>
  <c r="P10" i="431"/>
  <c r="P22" i="431"/>
  <c r="Q19" i="431"/>
  <c r="F13" i="431"/>
  <c r="G18" i="431"/>
  <c r="H19" i="431"/>
  <c r="I20" i="431"/>
  <c r="J21" i="431"/>
  <c r="K18" i="431"/>
  <c r="L19" i="431"/>
  <c r="M20" i="431"/>
  <c r="N21" i="431"/>
  <c r="P11" i="431"/>
  <c r="Q16" i="431"/>
  <c r="O8" i="431"/>
  <c r="J8" i="431"/>
  <c r="I8" i="431"/>
  <c r="E8" i="431"/>
  <c r="H8" i="431"/>
  <c r="M8" i="431"/>
  <c r="D8" i="431"/>
  <c r="F8" i="431"/>
  <c r="K8" i="431"/>
  <c r="N8" i="431"/>
  <c r="Q8" i="431"/>
  <c r="C8" i="431"/>
  <c r="L8" i="431"/>
  <c r="G8" i="431"/>
  <c r="P8" i="431"/>
  <c r="S16" i="431" l="1"/>
  <c r="R16" i="431"/>
  <c r="S19" i="431"/>
  <c r="R19" i="431"/>
  <c r="R14" i="431"/>
  <c r="S14" i="431"/>
  <c r="S23" i="431"/>
  <c r="R23" i="431"/>
  <c r="S11" i="431"/>
  <c r="R11" i="431"/>
  <c r="S22" i="431"/>
  <c r="R22" i="431"/>
  <c r="R18" i="431"/>
  <c r="S18" i="431"/>
  <c r="S10" i="431"/>
  <c r="R10" i="431"/>
  <c r="S21" i="431"/>
  <c r="R21" i="431"/>
  <c r="S17" i="431"/>
  <c r="R17" i="431"/>
  <c r="R13" i="431"/>
  <c r="S13" i="431"/>
  <c r="S9" i="431"/>
  <c r="R9" i="431"/>
  <c r="S20" i="431"/>
  <c r="R20" i="431"/>
  <c r="R12" i="431"/>
  <c r="S12" i="431"/>
  <c r="S15" i="431"/>
  <c r="R15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1" i="414" l="1"/>
  <c r="E21" i="414" s="1"/>
  <c r="D20" i="414"/>
  <c r="A2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9" i="414" s="1"/>
  <c r="C11" i="339"/>
  <c r="E20" i="414"/>
  <c r="A21" i="414"/>
  <c r="A20" i="414"/>
  <c r="A19" i="414"/>
  <c r="A11" i="414" l="1"/>
  <c r="A10" i="414"/>
  <c r="A8" i="414"/>
  <c r="A7" i="414"/>
  <c r="A25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3" i="414" l="1"/>
  <c r="A18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2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2" i="414"/>
  <c r="A14" i="414"/>
  <c r="A15" i="414"/>
  <c r="A4" i="414"/>
  <c r="A6" i="339" l="1"/>
  <c r="A5" i="339"/>
  <c r="C18" i="414"/>
  <c r="C15" i="414"/>
  <c r="D4" i="414"/>
  <c r="D18" i="414"/>
  <c r="D15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C23" i="414"/>
  <c r="D23" i="414"/>
  <c r="H3" i="390" l="1"/>
  <c r="Q3" i="347"/>
  <c r="S3" i="347"/>
  <c r="U3" i="347"/>
  <c r="I12" i="339"/>
  <c r="I13" i="339" s="1"/>
  <c r="F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7" i="414"/>
  <c r="C4" i="414"/>
  <c r="J13" i="339" l="1"/>
  <c r="B15" i="339"/>
  <c r="H13" i="339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<sst xmlns="http://schemas.openxmlformats.org/spreadsheetml/2006/main" count="4244" uniqueCount="1118">
  <si>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</si>
  <si>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</si>
  <si>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</si>
  <si>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</si>
  <si>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</si>
  <si>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</si>
  <si>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</si>
  <si>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</si>
  <si>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</si>
  <si>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</si>
  <si>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</si>
  <si>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</si>
  <si>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</si>
  <si>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</si>
  <si>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</si>
  <si>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</si>
  <si>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</si>
  <si>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</si>
  <si>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</si>
  <si>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</si>
  <si>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</si>
  <si>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</si>
  <si>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</si>
  <si>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</si>
  <si>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</si>
  <si>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</si>
  <si>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</si>
  <si>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</si>
  <si>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</si>
  <si>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</si>
  <si>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</si>
  <si>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</si>
  <si>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</si>
  <si>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</si>
  <si>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</si>
  <si>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</si>
  <si>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</si>
  <si>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</si>
  <si>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</si>
  <si>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</si>
  <si>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</si>
  <si>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</si>
  <si>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</si>
  <si>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</si>
  <si>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</si>
  <si>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</si>
  <si>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</si>
  <si>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</si>
  <si>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</si>
  <si>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</si>
  <si>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</si>
  <si>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</si>
  <si>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</si>
  <si>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</si>
  <si>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</si>
  <si>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</si>
  <si>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</si>
  <si>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</si>
  <si>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</si>
  <si>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</si>
  <si>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</si>
  <si>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</si>
  <si>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</si>
  <si>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</si>
  <si>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</si>
  <si>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</si>
  <si>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</si>
  <si>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</si>
  <si>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</si>
  <si>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</si>
  <si>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</si>
  <si>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</si>
  <si>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</si>
  <si>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</si>
  <si>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</si>
  <si>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</si>
  <si>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</si>
  <si>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</si>
  <si>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</si>
  <si>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</si>
  <si>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</si>
  <si>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</si>
  <si>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</si>
  <si>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</si>
  <si>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</si>
  <si>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</si>
  <si>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</si>
  <si>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</si>
  <si>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</si>
  <si>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</si>
  <si>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</si>
  <si>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</si>
  <si>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</si>
  <si>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</si>
  <si>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</si>
  <si>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</si>
  <si>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</si>
  <si>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</si>
  <si>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</si>
  <si>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</si>
  <si>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</si>
  <si>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</si>
  <si>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</si>
  <si>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</si>
  <si>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</si>
  <si>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</si>
  <si>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</si>
  <si>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</si>
  <si>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</si>
  <si>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</si>
  <si>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</si>
  <si>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</si>
  <si>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</si>
  <si>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</si>
  <si>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</si>
  <si>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</si>
  <si>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</si>
  <si>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</si>
  <si>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</si>
  <si>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</si>
  <si>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</si>
  <si>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</si>
  <si>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</si>
  <si>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</si>
  <si>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</si>
  <si>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</si>
  <si>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</si>
  <si>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</si>
  <si>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</si>
  <si>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</si>
  <si>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</si>
  <si>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</si>
  <si>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</si>
  <si>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</si>
  <si>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</si>
  <si>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</si>
  <si>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</si>
  <si>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</si>
  <si>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</si>
  <si>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</si>
  <si>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</si>
  <si>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</si>
  <si>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</si>
  <si>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</si>
  <si>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</si>
  <si>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</si>
  <si>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</si>
  <si>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</si>
  <si>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</si>
  <si>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</si>
  <si>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</si>
  <si>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</si>
  <si>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</si>
  <si>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</si>
  <si>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</si>
  <si>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</si>
  <si>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</si>
  <si>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</si>
  <si>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</si>
  <si>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</si>
  <si>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</si>
  <si>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</si>
  <si>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</si>
  <si>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</si>
  <si>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</si>
  <si>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</si>
  <si>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</si>
  <si>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</si>
  <si>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</si>
  <si>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</si>
  <si>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</si>
  <si>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</si>
  <si>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</si>
  <si>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</si>
  <si>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</si>
  <si>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</si>
  <si>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</si>
  <si>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</si>
  <si>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</si>
  <si>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</si>
  <si>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</si>
  <si>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</si>
  <si>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</si>
  <si>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</si>
  <si>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</si>
  <si>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</si>
  <si>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</si>
  <si>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</si>
  <si>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</si>
  <si>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</si>
  <si>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</si>
  <si>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</si>
  <si>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</si>
  <si>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</si>
  <si>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</si>
  <si>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</si>
  <si>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</si>
  <si>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</si>
  <si>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</si>
  <si>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</si>
  <si>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</si>
  <si>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</si>
  <si>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</si>
  <si>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</si>
  <si>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</si>
  <si>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</si>
  <si>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</si>
  <si>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</si>
  <si>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</si>
  <si>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</si>
  <si>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</si>
  <si>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</si>
  <si>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</si>
  <si>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</si>
  <si>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</si>
  <si>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</si>
  <si>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</si>
  <si>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</si>
  <si>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</si>
  <si>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</si>
  <si>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</si>
  <si>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</si>
  <si>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</si>
  <si>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</si>
  <si>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</si>
  <si>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</si>
  <si>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</si>
  <si>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</si>
  <si>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</si>
  <si>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</si>
  <si>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</si>
  <si>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</si>
  <si>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</si>
  <si>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</si>
  <si>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</si>
  <si>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</si>
  <si>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</si>
  <si>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</si>
  <si>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</si>
  <si>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</si>
  <si>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</si>
  <si>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</si>
  <si>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</si>
  <si>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</si>
  <si>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</si>
  <si>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</si>
  <si>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</si>
  <si>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</si>
  <si>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</si>
  <si>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</si>
  <si>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</si>
  <si>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</si>
  <si>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</si>
  <si>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</si>
  <si>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</si>
  <si>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</si>
  <si>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</si>
  <si>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</si>
  <si>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</si>
  <si>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</si>
  <si>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</si>
  <si>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</si>
  <si>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</si>
  <si>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</si>
  <si>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</si>
  <si>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Ústav lékařské genetiky a fetální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</si>
  <si>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</si>
  <si>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</si>
  <si>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</si>
  <si>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</si>
  <si>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</si>
  <si>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</si>
  <si>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</si>
  <si>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</si>
  <si>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</si>
  <si>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</si>
  <si>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</si>
  <si>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</si>
  <si>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</si>
  <si>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</si>
  <si>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</si>
  <si>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</si>
  <si>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</si>
  <si>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</si>
  <si>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</si>
  <si>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</si>
  <si>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</si>
  <si>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</si>
  <si>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</si>
  <si>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</si>
  <si>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50117008     spotřební materiál k PDS (potrubní pošta (sk.V22)</t>
  </si>
  <si>
    <t>--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</si>
  <si>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</si>
  <si>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</si>
  <si>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</si>
  <si>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</si>
  <si>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</si>
  <si>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</si>
  <si>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</si>
  <si>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</si>
  <si>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</si>
  <si>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</si>
  <si>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</si>
  <si>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</si>
  <si>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</si>
  <si>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</si>
  <si>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</si>
  <si>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</si>
  <si>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</si>
  <si>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</si>
  <si>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</si>
  <si>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</si>
  <si>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</si>
  <si>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</si>
  <si>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</si>
  <si>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</si>
  <si>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</si>
  <si>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</si>
  <si>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</si>
  <si>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</si>
  <si>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</si>
  <si>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</si>
  <si>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</si>
  <si>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</si>
  <si>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</si>
  <si>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</si>
  <si>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</si>
  <si>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</si>
  <si>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</si>
  <si>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</si>
  <si>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</si>
  <si>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</si>
  <si>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</si>
  <si>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</si>
  <si>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</si>
  <si>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</si>
  <si>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</si>
  <si>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</si>
  <si>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</si>
  <si>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</si>
  <si>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</si>
  <si>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</si>
  <si>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</si>
  <si>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</si>
  <si>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</si>
  <si>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</si>
  <si>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</si>
  <si>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</si>
  <si>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</si>
  <si>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</si>
  <si>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</si>
  <si>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</si>
  <si>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</si>
  <si>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</si>
  <si>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</si>
  <si>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</si>
  <si>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</si>
  <si>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</si>
  <si>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</si>
  <si>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</si>
  <si>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</si>
  <si>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</si>
  <si>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</si>
  <si>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</si>
  <si>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</si>
  <si>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</si>
  <si>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</si>
  <si>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</si>
  <si>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</si>
  <si>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</si>
  <si>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</si>
  <si>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</si>
  <si>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</si>
  <si>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</si>
  <si>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</si>
  <si>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</si>
  <si>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</si>
  <si>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</si>
  <si>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</si>
  <si>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</si>
  <si>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</si>
  <si>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</si>
  <si>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</si>
  <si>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</si>
  <si>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</si>
  <si>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55802004     DDHM - přepravní pouzdra pro PDS ( Potrubní poštu (sk.V_48)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</si>
  <si>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</si>
  <si>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</si>
  <si>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</si>
  <si>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</si>
  <si>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</si>
  <si>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</si>
  <si>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</si>
  <si>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</si>
  <si>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</si>
  <si>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</si>
  <si>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</si>
  <si>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</si>
  <si>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</si>
  <si>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</si>
  <si>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</si>
  <si>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</si>
  <si>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</si>
  <si>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</si>
  <si>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</si>
  <si>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</si>
  <si>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</si>
  <si>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</si>
  <si>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</si>
  <si>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</si>
  <si>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</si>
  <si>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</si>
  <si>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</si>
  <si>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</si>
  <si>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</si>
  <si>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</si>
  <si>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</si>
  <si>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</si>
  <si>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</si>
  <si>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</si>
  <si>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</si>
  <si>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</si>
  <si>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</si>
  <si>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</si>
  <si>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</si>
  <si>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</si>
  <si>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</si>
  <si>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</si>
  <si>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</si>
  <si>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</si>
  <si>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</si>
  <si>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</si>
  <si>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</si>
  <si>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</si>
  <si>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</si>
  <si>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</si>
  <si>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</si>
  <si>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</si>
  <si>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</si>
  <si>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</si>
  <si>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</si>
  <si>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</si>
  <si>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</si>
  <si>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</si>
  <si>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28</t>
  </si>
  <si>
    <t>GEN: Ústav lékařské genetiky</t>
  </si>
  <si>
    <t/>
  </si>
  <si>
    <t>50113001 - léky - paušál (LEK)</t>
  </si>
  <si>
    <t>50113013 - léky - antibiotika (LEK)</t>
  </si>
  <si>
    <t>50113190 - léky - medicinální plyny (sklad SVM)</t>
  </si>
  <si>
    <t>GEN: Ústav lékařské genetiky Celkem</t>
  </si>
  <si>
    <t>SumaKL</t>
  </si>
  <si>
    <t>2821</t>
  </si>
  <si>
    <t>GEN: ambulance</t>
  </si>
  <si>
    <t>GEN: ambulance Celkem</t>
  </si>
  <si>
    <t>SumaNS</t>
  </si>
  <si>
    <t>mezeraNS</t>
  </si>
  <si>
    <t>2841</t>
  </si>
  <si>
    <t>GEN: laboratoř</t>
  </si>
  <si>
    <t>GEN: laboratoř Celkem</t>
  </si>
  <si>
    <t>léky - paušál (LEK)</t>
  </si>
  <si>
    <t>O</t>
  </si>
  <si>
    <t>ANACID</t>
  </si>
  <si>
    <t>SUS 12X5ML(SACKY)</t>
  </si>
  <si>
    <t>MAGNESIUM SULFURICUM BIOTIKA</t>
  </si>
  <si>
    <t>INJ 5X10ML 10%</t>
  </si>
  <si>
    <t>HEPARIN LECIVA</t>
  </si>
  <si>
    <t>INJ 1X10ML/50KU</t>
  </si>
  <si>
    <t>CHLORID SODNÝ 0,9% BRAUN</t>
  </si>
  <si>
    <t>INF SOL 20X100MLPELAH</t>
  </si>
  <si>
    <t>KL ETHANOLUM BENZ.DENAT. 900 ml / 720g/</t>
  </si>
  <si>
    <t>KL PRIPRAVEK</t>
  </si>
  <si>
    <t>KL SOL.HYD.PEROX.20% 500g</t>
  </si>
  <si>
    <t>28 - Ústav lékařské genetiky</t>
  </si>
  <si>
    <t>2821 - ambulance</t>
  </si>
  <si>
    <t>2841 - laboratoř</t>
  </si>
  <si>
    <t>Ústav lékařské genetiky a fet.med.</t>
  </si>
  <si>
    <t>HVLP</t>
  </si>
  <si>
    <t>89301282</t>
  </si>
  <si>
    <t>Ambulance odd.lékařské genetiky Celkem</t>
  </si>
  <si>
    <t>Ústav lékařské genetiky a fet.med. Celkem</t>
  </si>
  <si>
    <t>* Legenda</t>
  </si>
  <si>
    <t>DIAPZT = Pomůcky pro diabetiky, jejichž název začíná slovem "Pumpa"</t>
  </si>
  <si>
    <t>Curtisová Václava</t>
  </si>
  <si>
    <t>Černičková Renáta</t>
  </si>
  <si>
    <t>Mracká Enkhjargal</t>
  </si>
  <si>
    <t>Štellmachová Júlia</t>
  </si>
  <si>
    <t>DESLORATADIN</t>
  </si>
  <si>
    <t>168836</t>
  </si>
  <si>
    <t>DASSELTA</t>
  </si>
  <si>
    <t>5MG TBL FLM 30</t>
  </si>
  <si>
    <t>DIAZEPAM</t>
  </si>
  <si>
    <t>208695</t>
  </si>
  <si>
    <t>DIAZEPAM SLOVAKOFARMA</t>
  </si>
  <si>
    <t>10MG TBL NOB 20(1X20)</t>
  </si>
  <si>
    <t>ESTRADIOL</t>
  </si>
  <si>
    <t>53797</t>
  </si>
  <si>
    <t>ESTROFEM</t>
  </si>
  <si>
    <t>1MG TBL FLM 28</t>
  </si>
  <si>
    <t>HOŘČÍK (RŮZNÉ SOLE V KOMBINACI)</t>
  </si>
  <si>
    <t>66555</t>
  </si>
  <si>
    <t>MAGNOSOLV</t>
  </si>
  <si>
    <t>365MG POR GRA SOL SCC 30</t>
  </si>
  <si>
    <t>215978</t>
  </si>
  <si>
    <t>INDOMETACIN</t>
  </si>
  <si>
    <t>93724</t>
  </si>
  <si>
    <t>INDOMETACIN BERLIN-CHEMIE</t>
  </si>
  <si>
    <t>100MG SUP 10</t>
  </si>
  <si>
    <t>KLOMIFEN</t>
  </si>
  <si>
    <t>40455</t>
  </si>
  <si>
    <t>CLOSTILBEGYT</t>
  </si>
  <si>
    <t>50MG TBL NOB 10</t>
  </si>
  <si>
    <t>PROGESTERON</t>
  </si>
  <si>
    <t>76921</t>
  </si>
  <si>
    <t>UTROGESTAN</t>
  </si>
  <si>
    <t>100MG CPS MOL 30</t>
  </si>
  <si>
    <t>132648</t>
  </si>
  <si>
    <t>RAMIPRIL</t>
  </si>
  <si>
    <t>56976</t>
  </si>
  <si>
    <t>TRITACE</t>
  </si>
  <si>
    <t>2,5MG TBL NOB 20</t>
  </si>
  <si>
    <t>SALBUTAMOL</t>
  </si>
  <si>
    <t>31934</t>
  </si>
  <si>
    <t>VENTOLIN INHALER N</t>
  </si>
  <si>
    <t>100MCG/DÁV INH SUS PSS 200DÁV</t>
  </si>
  <si>
    <t>SÍRAN ŽELEZNATÝ</t>
  </si>
  <si>
    <t>14712</t>
  </si>
  <si>
    <t>TARDYFERON</t>
  </si>
  <si>
    <t>80MG TBL RET 100 I</t>
  </si>
  <si>
    <t>VALSARTAN</t>
  </si>
  <si>
    <t>125598</t>
  </si>
  <si>
    <t>VALSACOR</t>
  </si>
  <si>
    <t>160MG TBL FLM 84</t>
  </si>
  <si>
    <t>ZOLPIDEM</t>
  </si>
  <si>
    <t>146894</t>
  </si>
  <si>
    <t>ZOLPIDEM MYLAN</t>
  </si>
  <si>
    <t>10MG TBL FLM 20</t>
  </si>
  <si>
    <t>146899</t>
  </si>
  <si>
    <t>10MG TBL FLM 50</t>
  </si>
  <si>
    <t>FOSFOMYCIN</t>
  </si>
  <si>
    <t>216283</t>
  </si>
  <si>
    <t>URIFOS</t>
  </si>
  <si>
    <t>3G POR GRA SOL 1</t>
  </si>
  <si>
    <t>CEFUROXIM</t>
  </si>
  <si>
    <t>18547</t>
  </si>
  <si>
    <t>XORIMAX</t>
  </si>
  <si>
    <t>500MG TBL FLM 10</t>
  </si>
  <si>
    <t>CETIRIZIN</t>
  </si>
  <si>
    <t>5496</t>
  </si>
  <si>
    <t>ZODAC</t>
  </si>
  <si>
    <t>10MG TBL FLM 60</t>
  </si>
  <si>
    <t>183804</t>
  </si>
  <si>
    <t>DESLORATADIN APOTEX</t>
  </si>
  <si>
    <t>5MG TBL FLM 50 II</t>
  </si>
  <si>
    <t>DIKLOFENAK</t>
  </si>
  <si>
    <t>89026</t>
  </si>
  <si>
    <t>DICLOFENAC AL 50</t>
  </si>
  <si>
    <t>50MG TBL ENT 100</t>
  </si>
  <si>
    <t>ERDOSTEIN</t>
  </si>
  <si>
    <t>87076</t>
  </si>
  <si>
    <t>ERDOMED</t>
  </si>
  <si>
    <t>300MG CPS DUR 20</t>
  </si>
  <si>
    <t>FLUKONAZOL</t>
  </si>
  <si>
    <t>64941</t>
  </si>
  <si>
    <t>DIFLUCAN</t>
  </si>
  <si>
    <t>150MG CPS DUR 1 I</t>
  </si>
  <si>
    <t>CHOLEKALCIFEROL</t>
  </si>
  <si>
    <t>12023</t>
  </si>
  <si>
    <t>VIGANTOL</t>
  </si>
  <si>
    <t>0,5MG/ML POR GTT SOL 1X10ML</t>
  </si>
  <si>
    <t>JINÁ ANTIBIOTIKA PRO LOKÁLNÍ APLIKACI</t>
  </si>
  <si>
    <t>1066</t>
  </si>
  <si>
    <t>FRAMYKOIN</t>
  </si>
  <si>
    <t>250IU/G+5,2MG/G UNG 10G</t>
  </si>
  <si>
    <t>KLARITHROMYCIN</t>
  </si>
  <si>
    <t>53190</t>
  </si>
  <si>
    <t>KLACID SR</t>
  </si>
  <si>
    <t>500MG TBL RET 14</t>
  </si>
  <si>
    <t>203299</t>
  </si>
  <si>
    <t>KLACID</t>
  </si>
  <si>
    <t>125MG/5ML POR GRA SUS 60ML</t>
  </si>
  <si>
    <t>216199</t>
  </si>
  <si>
    <t>500MG TBL FLM 14</t>
  </si>
  <si>
    <t>KOMBINACE RŮZNÝCH ANTIBIOTIK</t>
  </si>
  <si>
    <t>1076</t>
  </si>
  <si>
    <t>OPHTHALMO-FRAMYKOIN</t>
  </si>
  <si>
    <t>OPH UNG 5G</t>
  </si>
  <si>
    <t>KORTIKOSTEROIDY</t>
  </si>
  <si>
    <t>84700</t>
  </si>
  <si>
    <t>OTOBACID N</t>
  </si>
  <si>
    <t>0,2MG/G+5MG/G+479,8MG/G AUR GTT SOL 1X5ML</t>
  </si>
  <si>
    <t>KYSELINA ACETYLSALICYLOVÁ</t>
  </si>
  <si>
    <t>203564</t>
  </si>
  <si>
    <t>ANOPYRIN</t>
  </si>
  <si>
    <t>100MG TBL NOB 100</t>
  </si>
  <si>
    <t>MEFENOXALON</t>
  </si>
  <si>
    <t>85656</t>
  </si>
  <si>
    <t>DORSIFLEX</t>
  </si>
  <si>
    <t>200MG TBL NOB 30</t>
  </si>
  <si>
    <t>NATAMYCIN</t>
  </si>
  <si>
    <t>3800</t>
  </si>
  <si>
    <t>PIMAFUCIN</t>
  </si>
  <si>
    <t>20MG/G CRM 30G</t>
  </si>
  <si>
    <t>179093</t>
  </si>
  <si>
    <t>RAPIDNORM</t>
  </si>
  <si>
    <t>3000MG POR GRA SOL 1</t>
  </si>
  <si>
    <t>AMOXICILIN A  INHIBITOR BETA-LAKTAMASY</t>
  </si>
  <si>
    <t>5951</t>
  </si>
  <si>
    <t>AMOKSIKLAV 1 G</t>
  </si>
  <si>
    <t>875MG/125MG TBL FLM 14</t>
  </si>
  <si>
    <t>BROMAZEPAM</t>
  </si>
  <si>
    <t>88217</t>
  </si>
  <si>
    <t>LEXAURIN 1,5</t>
  </si>
  <si>
    <t>1,5MG TBL NOB 30</t>
  </si>
  <si>
    <t>Ambulance odd.lékařské genetiky</t>
  </si>
  <si>
    <t>P</t>
  </si>
  <si>
    <t>Preskripce a záchyt receptů a poukazů - orientační přehled</t>
  </si>
  <si>
    <t>Přehled plnění pozitivního listu (PL) - 
   preskripce léčivých přípravků dle objemu Kč mimo PL</t>
  </si>
  <si>
    <t>R06AX27 - DESLORATADIN</t>
  </si>
  <si>
    <t>R03AC02 - SALBUTAMOL</t>
  </si>
  <si>
    <t>C09AA05 - RAMIPRIL</t>
  </si>
  <si>
    <t>C09CA03 - VALSARTAN</t>
  </si>
  <si>
    <t>R06AE07 - CETIRIZIN</t>
  </si>
  <si>
    <t>J01DC02 - CEFUROXIM</t>
  </si>
  <si>
    <t>J01CR02 - AMOXICILIN A  INHIBITOR BETA-LAKTAMASY</t>
  </si>
  <si>
    <t>J02AC01 - FLUKONAZOL</t>
  </si>
  <si>
    <t>N05CF02 - ZOLPIDEM</t>
  </si>
  <si>
    <t>N05CF02</t>
  </si>
  <si>
    <t>C09AA05</t>
  </si>
  <si>
    <t>C09CA03</t>
  </si>
  <si>
    <t>R03AC02</t>
  </si>
  <si>
    <t>R06AX27</t>
  </si>
  <si>
    <t>J01CR02</t>
  </si>
  <si>
    <t>J01DC02</t>
  </si>
  <si>
    <t>J02AC01</t>
  </si>
  <si>
    <t>R06AE07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</si>
  <si>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</si>
  <si>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</si>
  <si>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</si>
  <si>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</si>
  <si>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</si>
  <si>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</si>
  <si>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</si>
  <si>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</si>
  <si>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50115050</t>
  </si>
  <si>
    <t>obvazový materiál (Z502)</t>
  </si>
  <si>
    <t>ZA411</t>
  </si>
  <si>
    <t>Gáza přířezy 30 cm x 30 cm 17 nití 07004</t>
  </si>
  <si>
    <t>ZC854</t>
  </si>
  <si>
    <t>Kompresa NT 7,5 x 7,5 cm/2 ks sterilní 26510</t>
  </si>
  <si>
    <t>ZL790</t>
  </si>
  <si>
    <t>Obvaz sterilní hotový č. 3 A4101144</t>
  </si>
  <si>
    <t>ZC100</t>
  </si>
  <si>
    <t>Vata buničitá dělená 2 role / 500 ks 40 x 50 mm 1230200310</t>
  </si>
  <si>
    <t>ZA446</t>
  </si>
  <si>
    <t>Vata buničitá přířezy 20 x 30 cm 1230200129</t>
  </si>
  <si>
    <t>50115060</t>
  </si>
  <si>
    <t>ZPr - ostatní (Z503)</t>
  </si>
  <si>
    <t>ZB771</t>
  </si>
  <si>
    <t>Držák jehly základní 450201</t>
  </si>
  <si>
    <t>ZD801</t>
  </si>
  <si>
    <t>Fonendoskop jednostranný červený P00176</t>
  </si>
  <si>
    <t>ZA728</t>
  </si>
  <si>
    <t>Lopatka ústní dřevěná lékařská nesterilní bal. á 100 ks 1320100655</t>
  </si>
  <si>
    <t>ZE159</t>
  </si>
  <si>
    <t>Nádoba na kontaminovaný odpad 2 l 15-0003</t>
  </si>
  <si>
    <t>ZB066</t>
  </si>
  <si>
    <t>Stříkačka janett 3-dílná 100 ml sterilní vyplachovací adaptér TS-100ML( PLS1710)</t>
  </si>
  <si>
    <t>ZA964</t>
  </si>
  <si>
    <t>Stříkačka janett 3-dílná 60 ml sterilní vyplachovací 050ML3CZ-CEW (MRG564)</t>
  </si>
  <si>
    <t>ZB755</t>
  </si>
  <si>
    <t>Zkumavka 1,0 ml K3 edta fialová 454034</t>
  </si>
  <si>
    <t>ZB758</t>
  </si>
  <si>
    <t>Zkumavka 9 ml K3 edta NR 455036</t>
  </si>
  <si>
    <t>ZB777</t>
  </si>
  <si>
    <t>Zkumavka červená 3,5 ml gel 454071</t>
  </si>
  <si>
    <t>ZB775</t>
  </si>
  <si>
    <t>Zkumavka koagulace modrá Quick 4 ml modrá 454329</t>
  </si>
  <si>
    <t>ZB764</t>
  </si>
  <si>
    <t>Zkumavka zelená 4 ml 454051</t>
  </si>
  <si>
    <t>50115065</t>
  </si>
  <si>
    <t>ZPr - vpichovací materiál (Z530)</t>
  </si>
  <si>
    <t>ZB768</t>
  </si>
  <si>
    <t>Jehla vakuová 216/38 mm zelená 450076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</si>
  <si>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</si>
  <si>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</si>
  <si>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</si>
  <si>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</si>
  <si>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</si>
  <si>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</si>
  <si>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ZP946</t>
  </si>
  <si>
    <t>Rukavice nitril basic bez p. modré S bal. á 200 ks 44750</t>
  </si>
  <si>
    <t>ZK477</t>
  </si>
  <si>
    <t>Rukavice operační latex s pudrem sterilní ansell, vasco surgical powderet vel. 8 6035542 (303506EU)</t>
  </si>
  <si>
    <t>Rukavice vyšetřovací nitril basic bez pudru modré L bal. á 200 ks 44752</t>
  </si>
  <si>
    <t>Rukavice vyšetřovací nitril basic bez pudru modré M bal. á 200 ks 44751</t>
  </si>
  <si>
    <t>Rukavice vyšetřovací nitril bez pudru nesterilní basic modré M bal. á 200 ks 44751</t>
  </si>
  <si>
    <t>ZI758</t>
  </si>
  <si>
    <t>Rukavice vyšetřovací vinyl bez pudru nesterilní M á 100 ks EFEKTVR03</t>
  </si>
  <si>
    <t>50115020</t>
  </si>
  <si>
    <t>laboratorní diagnostika-LEK (Z501)</t>
  </si>
  <si>
    <t>DI225</t>
  </si>
  <si>
    <t>2-log DNA ladder (0,1-10,0 kb) 50r</t>
  </si>
  <si>
    <t>DE260</t>
  </si>
  <si>
    <t>AmnioGrow CE IVD</t>
  </si>
  <si>
    <t>DG227</t>
  </si>
  <si>
    <t>BENZEN p.a., 1L</t>
  </si>
  <si>
    <t>DE518</t>
  </si>
  <si>
    <t>BigDye XTerminator Purif kit 2ml</t>
  </si>
  <si>
    <t>DE667</t>
  </si>
  <si>
    <t>COLLAGENASE TYPE IA-S</t>
  </si>
  <si>
    <t>DE045</t>
  </si>
  <si>
    <t>Combi PPP Master Mix, 1000 reakcí</t>
  </si>
  <si>
    <t>DF450</t>
  </si>
  <si>
    <t>CZECANCA1,1 target capture enrichment for NGS</t>
  </si>
  <si>
    <t>DH088</t>
  </si>
  <si>
    <t>Devyser CFTR core</t>
  </si>
  <si>
    <t>DA526</t>
  </si>
  <si>
    <t>Devyser Complete v.2 (50 testů)</t>
  </si>
  <si>
    <t>804536</t>
  </si>
  <si>
    <t xml:space="preserve">-Diagnostikum připr. </t>
  </si>
  <si>
    <t>DG379</t>
  </si>
  <si>
    <t>Doprava 21%</t>
  </si>
  <si>
    <t>DG393</t>
  </si>
  <si>
    <t>Ethanol 96%</t>
  </si>
  <si>
    <t>DI103</t>
  </si>
  <si>
    <t>FastFrax FMR1 sizing kit 50 testů</t>
  </si>
  <si>
    <t>DE452</t>
  </si>
  <si>
    <t>Flushing medium, 500 ml,CFLM-500</t>
  </si>
  <si>
    <t>DA996</t>
  </si>
  <si>
    <t>GeneScan 500 LIZ Size Standard</t>
  </si>
  <si>
    <t>DF582</t>
  </si>
  <si>
    <t>GeneScan 600 LIZ Size Standard</t>
  </si>
  <si>
    <t>DF545</t>
  </si>
  <si>
    <t>GeneTrace 500bp sizing std (800 reactions)</t>
  </si>
  <si>
    <t>DG208</t>
  </si>
  <si>
    <t>GIEMSA-ROMANOWSKI</t>
  </si>
  <si>
    <t>DA181</t>
  </si>
  <si>
    <t>Hank's balanced salt solution (HBSS), 500 ml</t>
  </si>
  <si>
    <t>801335</t>
  </si>
  <si>
    <t>-HCl 0,1 M 1000 ml, 500 ml</t>
  </si>
  <si>
    <t>DG163</t>
  </si>
  <si>
    <t>HYDROXID SODNY P.A.</t>
  </si>
  <si>
    <t>DG202</t>
  </si>
  <si>
    <t>CHLORID AMONNY P.A.</t>
  </si>
  <si>
    <t>DA982</t>
  </si>
  <si>
    <t>Chromosome Synchro P</t>
  </si>
  <si>
    <t>DG598</t>
  </si>
  <si>
    <t>Illumina MiSeq reagent kit v3 (150 cycles)</t>
  </si>
  <si>
    <t>DD652</t>
  </si>
  <si>
    <t>Imersní olej pro mikroskopii 500 ml OLYMPUS</t>
  </si>
  <si>
    <t>DH922</t>
  </si>
  <si>
    <t>Ion 318™ Chip Kit v2 BC</t>
  </si>
  <si>
    <t>DB186</t>
  </si>
  <si>
    <t>Ion Library Equalizer Kit</t>
  </si>
  <si>
    <t>DE997</t>
  </si>
  <si>
    <t>KAPA HyperPlus kit - 96 rxn</t>
  </si>
  <si>
    <t>DC487</t>
  </si>
  <si>
    <t>KARYOMAX COLCEMID SOLUTION (CE LABEL)</t>
  </si>
  <si>
    <t>DD659</t>
  </si>
  <si>
    <t>kyselina octová p.a.</t>
  </si>
  <si>
    <t>DG143</t>
  </si>
  <si>
    <t>kyselina SÍROVÁ P.A.</t>
  </si>
  <si>
    <t>DG229</t>
  </si>
  <si>
    <t>METHANOL P.A.</t>
  </si>
  <si>
    <t>DB209</t>
  </si>
  <si>
    <t>Nucleo spin blood (240)</t>
  </si>
  <si>
    <t>920003</t>
  </si>
  <si>
    <t>-PBS PUFR 20X KONC,250ML (GEN) 250 ml</t>
  </si>
  <si>
    <t>DE825</t>
  </si>
  <si>
    <t>PCR H2O 15 ml</t>
  </si>
  <si>
    <t>DG338</t>
  </si>
  <si>
    <t>Phix control kit v3</t>
  </si>
  <si>
    <t>DC341</t>
  </si>
  <si>
    <t>PHYTOHAEMAGLUTININ REAGENT</t>
  </si>
  <si>
    <t>DH666</t>
  </si>
  <si>
    <t>POP-4 Polymer  3,5 ml</t>
  </si>
  <si>
    <t>DI237</t>
  </si>
  <si>
    <t>POP-7 Polymer for 3130 Genetic Analyzer 3,5 ml</t>
  </si>
  <si>
    <t>920001</t>
  </si>
  <si>
    <t>-PRACOVNI ROZTOK, 1L (GEN) 1000 ml</t>
  </si>
  <si>
    <t>DC858</t>
  </si>
  <si>
    <t>PRIMER</t>
  </si>
  <si>
    <t>DB418</t>
  </si>
  <si>
    <t>Proteináza K 500 mg</t>
  </si>
  <si>
    <t>DF216</t>
  </si>
  <si>
    <t>QIAamp Circulating Nucleic Acid Kit (50)</t>
  </si>
  <si>
    <t>DC123</t>
  </si>
  <si>
    <t>QIAEX II Gel Extraction Kit 500</t>
  </si>
  <si>
    <t>500886</t>
  </si>
  <si>
    <t>-Roztok kolchicinu 0,2% (GEN) 100 ml</t>
  </si>
  <si>
    <t>920002</t>
  </si>
  <si>
    <t xml:space="preserve">-ROZTOK VERSENU 1L (GEN) </t>
  </si>
  <si>
    <t>DE371</t>
  </si>
  <si>
    <t>RPMI-1640 medium,w glutamine and sodium bicarbonate 100 ml</t>
  </si>
  <si>
    <t>DA293</t>
  </si>
  <si>
    <t>SALSA MLPA EK1 reagent kit –100rxn -FAM</t>
  </si>
  <si>
    <t>DG939</t>
  </si>
  <si>
    <t>SALSA MLPA EK5 reagent kit- 500 reactions (5x6 vials) - FAM</t>
  </si>
  <si>
    <t>DH224</t>
  </si>
  <si>
    <t>SALSA MLPA ME028 Prader Willi/Angelman</t>
  </si>
  <si>
    <t>DG933</t>
  </si>
  <si>
    <t>SALSA MLPA ME030 BWS/RSS probemix – 50 rxn</t>
  </si>
  <si>
    <t>DI101</t>
  </si>
  <si>
    <t>SALSA MLPA P 313, 25 reakcí</t>
  </si>
  <si>
    <t>DG585</t>
  </si>
  <si>
    <t>SALSA MLPA P002  BRCA 1 probemix 100R</t>
  </si>
  <si>
    <t>DH940</t>
  </si>
  <si>
    <t>SALSA MLPA P002  BRCA 1 probemix 50R</t>
  </si>
  <si>
    <t>DI123</t>
  </si>
  <si>
    <t>SALSA MLPA P003 - D1 MLH1/MSH2  25 r</t>
  </si>
  <si>
    <t>DI124</t>
  </si>
  <si>
    <t>SALSA MLPA P008 - C1 PMS2  25 r</t>
  </si>
  <si>
    <t>DG404</t>
  </si>
  <si>
    <t>SALSA MLPA P018-F1 SHOX-50rxn</t>
  </si>
  <si>
    <t>DG295</t>
  </si>
  <si>
    <t>SALSA MLPA P036 Hu Telomere-3 probemix 50rxn</t>
  </si>
  <si>
    <t>DI227</t>
  </si>
  <si>
    <t>SALSA MLPA P045-c1 BRCA/CHEK 2 -50R</t>
  </si>
  <si>
    <t>DH770</t>
  </si>
  <si>
    <t>SALSA MLPA P051- Parkinson mix 25 tests</t>
  </si>
  <si>
    <t>DI122</t>
  </si>
  <si>
    <t>SALSA MLPA P056 -C1 TP53 probemix 25 r</t>
  </si>
  <si>
    <t>DI125</t>
  </si>
  <si>
    <t>SALSA MLPA P072 - C1 MSH6  25 r</t>
  </si>
  <si>
    <t>DE922</t>
  </si>
  <si>
    <t>SALSA MLPA P077 BRCA2 probemix – 100 rxn, ver.A3</t>
  </si>
  <si>
    <t>DI128</t>
  </si>
  <si>
    <t>SALSA MLPA P087 - BRCA1  25 r</t>
  </si>
  <si>
    <t>DA292</t>
  </si>
  <si>
    <t>SALSA MLPA P245 Microdel.Syndr.-1 probemix 25rxn</t>
  </si>
  <si>
    <t>DG399</t>
  </si>
  <si>
    <t>SALSA MLPA P250 DiGeorge probemix-25R</t>
  </si>
  <si>
    <t>DG607</t>
  </si>
  <si>
    <t>SALSA MLPA P297 Microdel.Syndr.-2 probemix 50rxn</t>
  </si>
  <si>
    <t>DG606</t>
  </si>
  <si>
    <t>SALSA MLPA P311 CHD probemix - 50 reactions</t>
  </si>
  <si>
    <t>DH135</t>
  </si>
  <si>
    <t>SALSA MLPA P339-A1 SHANK3 probemix – 25 rxn</t>
  </si>
  <si>
    <t>DA810</t>
  </si>
  <si>
    <t>SALSA MLPA P343 Autism-1 probemix - 25 reactions</t>
  </si>
  <si>
    <t>DC620</t>
  </si>
  <si>
    <t>SALSA MLPA P387-A3 NPHP1 - 25r</t>
  </si>
  <si>
    <t>DH638</t>
  </si>
  <si>
    <t>SALSA MLPA probemix P060-SMA 50rxn</t>
  </si>
  <si>
    <t>DI121</t>
  </si>
  <si>
    <t>SALSA MLPA probemix P101-B2 STK11 25 r</t>
  </si>
  <si>
    <t>DG930</t>
  </si>
  <si>
    <t>SALSA MS-MLPA probemix ME032-UPD7/UPD14 25rxn</t>
  </si>
  <si>
    <t>DG533</t>
  </si>
  <si>
    <t>SNaPshot Multiplex Kit 100Reactions</t>
  </si>
  <si>
    <t>920005</t>
  </si>
  <si>
    <t xml:space="preserve">-SORENS.PUFR PH 6,8 500ML (GEN) </t>
  </si>
  <si>
    <t>803815</t>
  </si>
  <si>
    <t>-SSC pufr 20x, pH=7 250 ml</t>
  </si>
  <si>
    <t>DI062</t>
  </si>
  <si>
    <t>SureFISH 11p12 RAG2 46 kb, červená 5ul</t>
  </si>
  <si>
    <t>920006</t>
  </si>
  <si>
    <t xml:space="preserve">-TRYPS/EDTA V HBSS/M 250ml (GEN) </t>
  </si>
  <si>
    <t>DF133</t>
  </si>
  <si>
    <t>TRYPSIN 1:250 100g</t>
  </si>
  <si>
    <t>DC444</t>
  </si>
  <si>
    <t>Tween 20, 100 ml</t>
  </si>
  <si>
    <t>DG534</t>
  </si>
  <si>
    <t>Xa Yc dual label  10 tests</t>
  </si>
  <si>
    <t>50115040</t>
  </si>
  <si>
    <t>laboratorní materiál (Z505)</t>
  </si>
  <si>
    <t>ZB070</t>
  </si>
  <si>
    <t>Filtr tips 1000ul (1024) 990352</t>
  </si>
  <si>
    <t>ZL046</t>
  </si>
  <si>
    <t>Microtubes Clear 1.7 ml  bal. á 500 ks BCN1700-BP(7100)</t>
  </si>
  <si>
    <t>ZH993</t>
  </si>
  <si>
    <t>Mikrozkumavka eppendorf DNA LoBind Tubes 1,5 ml ploché víčko bal. á 250 ks 0030108051</t>
  </si>
  <si>
    <t>ZE908</t>
  </si>
  <si>
    <t>Mikrozkumavka PCR individual Tube Domed Cap 0,2 ml bal. á 1000 ks 4Ti-0790</t>
  </si>
  <si>
    <t>ZC046</t>
  </si>
  <si>
    <t>Miska petri sklo 100 mm (391-2730) KAVAN632492003100</t>
  </si>
  <si>
    <t>Miska petri sklo 100 mm (391-2730) VTRB632492003100</t>
  </si>
  <si>
    <t>ZF245</t>
  </si>
  <si>
    <t>SC Adapter S0101 bal á 100 ks S0120-100</t>
  </si>
  <si>
    <t>ZC049</t>
  </si>
  <si>
    <t>Sklo krycí 20 x 20 mm, á 1000 ks BD2020</t>
  </si>
  <si>
    <t>ZC831</t>
  </si>
  <si>
    <t>Sklo podložní mat. okraj bal. á 50 ks AA00000112E (2501)</t>
  </si>
  <si>
    <t>ZO833</t>
  </si>
  <si>
    <t>Špička Capp Expellplus 1000ul bez filtru FT bal. á 768 ks 5130140</t>
  </si>
  <si>
    <t>ZI771</t>
  </si>
  <si>
    <t>Špička Capp ExpellPlus 20ul FT bal. 10 x 96 ks 5030062</t>
  </si>
  <si>
    <t>ZB605</t>
  </si>
  <si>
    <t>Špička modrá krátká manžeta 1108</t>
  </si>
  <si>
    <t>ZE719</t>
  </si>
  <si>
    <t>Špička pipetovací 0.5-10ul á 1000 ks BUN001P-BP(3110)</t>
  </si>
  <si>
    <t>ZQ163</t>
  </si>
  <si>
    <t>Špička pipetovací Finntip Flex Filter 1-10 ml Ext. sterilní bal. á 50 ks 9994.0009</t>
  </si>
  <si>
    <t>ZB000</t>
  </si>
  <si>
    <t>Špička s filtrem 1000 ul bal. á 480 ks (96.10298.9.01- končí) 96.11194.9.01</t>
  </si>
  <si>
    <t>ZB788</t>
  </si>
  <si>
    <t>Špička s filtrem 20 ul bal. á 480 ks 96.11190.9.01 (staré.k.č. 96.10296.9.01)</t>
  </si>
  <si>
    <t>ZA793</t>
  </si>
  <si>
    <t>Špička s filtrem 200 ul bal. á 480 ks (96.9263.9.01) 96.11193.9.01</t>
  </si>
  <si>
    <t>ZI560</t>
  </si>
  <si>
    <t>Špička žlutá dlouhá manžeta gilson 1 - 200 ul FLME28063</t>
  </si>
  <si>
    <t>ZC681</t>
  </si>
  <si>
    <t>Zkumavka 0,2 ml PCR ve 12 stripech 10 x 12 stripů AB-1113</t>
  </si>
  <si>
    <t>ZI434</t>
  </si>
  <si>
    <t>Zkumavka sample tubes 2 ml CB bal. á 1000 ks 990382</t>
  </si>
  <si>
    <t>Gáza přířezy 28 cm x 32 cm 17 nití 07004</t>
  </si>
  <si>
    <t>ZA557</t>
  </si>
  <si>
    <t>Kompresa gáza 10 x 20 cm/5 ks sterilní 26013</t>
  </si>
  <si>
    <t>ZF613</t>
  </si>
  <si>
    <t>Kryozkumavka 4,5 ml bal. á 400 ks 89050</t>
  </si>
  <si>
    <t>ZM042</t>
  </si>
  <si>
    <t>Mikrozkumavka s víčkem 500 ul Qubit Assay Tubes bal. á 500 ks Q32856</t>
  </si>
  <si>
    <t>ZE836</t>
  </si>
  <si>
    <t>Miska petri plast bal. á 960 ks GAMA400927</t>
  </si>
  <si>
    <t>ZM583</t>
  </si>
  <si>
    <t>Nádoba barvící na 10 sklíček 105 x 85 x 80 mm (631-9328) HECH2480</t>
  </si>
  <si>
    <t>ZF192</t>
  </si>
  <si>
    <t>Nádoba na kontaminovaný odpad 4 l 15-0004</t>
  </si>
  <si>
    <t>ZG062</t>
  </si>
  <si>
    <t>Pipeta pasteurova Hirsman skleněná 230 mlbal. á 1000 ks HIRS9260101</t>
  </si>
  <si>
    <t>ZA813</t>
  </si>
  <si>
    <t>Rotor adapters (10 x 24) elution tubes (1,5 ml) 990394</t>
  </si>
  <si>
    <t>ZH680</t>
  </si>
  <si>
    <t>Stojan kombi čtyři v jednom žlutý R009471.Y</t>
  </si>
  <si>
    <t>ZA789</t>
  </si>
  <si>
    <t>Stříkačka injekční 2-dílná 2 ml L Inject Solo 4606027V</t>
  </si>
  <si>
    <t>ZA790</t>
  </si>
  <si>
    <t>Stříkačka injekční 2-dílná 5 ml L Inject Solo4606051V</t>
  </si>
  <si>
    <t>ZJ278</t>
  </si>
  <si>
    <t>Zkumavka PP 10 ml sterilní bal. á 200 ks FLME21150</t>
  </si>
  <si>
    <t>ZC082</t>
  </si>
  <si>
    <t>Zkumavka UH močová bez víčka 12 ml FLME25062</t>
  </si>
  <si>
    <t>ZA832</t>
  </si>
  <si>
    <t>Jehla injekční 0,9 x 40 mm žlutá 4657519</t>
  </si>
  <si>
    <t>ZK475</t>
  </si>
  <si>
    <t>Rukavice operační latexové s pudrem ansell, vasco surgical powderet vel. 7 6035526 (303504EU)</t>
  </si>
  <si>
    <t>Rukavice vyšetřovací nitril basic bez pudru modré S bal. á 200 ks 44750</t>
  </si>
  <si>
    <t>Spotřeba zdravotnického materiálu - orientační přehled</t>
  </si>
  <si>
    <t>2 VŠ NLZP</t>
  </si>
  <si>
    <t>3 NLZP</t>
  </si>
  <si>
    <t>4 THP</t>
  </si>
  <si>
    <t>(prázdné)</t>
  </si>
  <si>
    <t>1 Celkem</t>
  </si>
  <si>
    <t>2 Celkem</t>
  </si>
  <si>
    <t>3 Celkem</t>
  </si>
  <si>
    <t>4 Celkem</t>
  </si>
  <si>
    <t>5 Celkem</t>
  </si>
  <si>
    <t>6 Celkem</t>
  </si>
  <si>
    <t>ON Data</t>
  </si>
  <si>
    <t>lékaři pod odborným dozorem</t>
  </si>
  <si>
    <t>lékaři specialisté</t>
  </si>
  <si>
    <t>odborní pracovníci v lab. metodách</t>
  </si>
  <si>
    <t>abs. stud. oboru přirodověd. zaměření</t>
  </si>
  <si>
    <t>všeobecné sestry bez dohl.</t>
  </si>
  <si>
    <t>všeobecné sestry bez dohl., spec.</t>
  </si>
  <si>
    <t>všeobecné sestry VŠ</t>
  </si>
  <si>
    <t>zdravotní laboranti</t>
  </si>
  <si>
    <t>sanitáři</t>
  </si>
  <si>
    <t>THP</t>
  </si>
  <si>
    <t>Specializovaná ambulantní péče</t>
  </si>
  <si>
    <t>107 - Pracoviště kardiologie</t>
  </si>
  <si>
    <t>208 - Pracoviště lékařské genetiky</t>
  </si>
  <si>
    <t>816 - Laboratoř lékařské genetiky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</si>
  <si>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</si>
  <si>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</si>
  <si>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</si>
  <si>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</si>
  <si>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</si>
  <si>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Petřková Jana</t>
  </si>
  <si>
    <t>Zdravotní výkony vykázané na pracovišti v rámci ambulantní péče dle lékařů *</t>
  </si>
  <si>
    <t>06</t>
  </si>
  <si>
    <t>107</t>
  </si>
  <si>
    <t>V</t>
  </si>
  <si>
    <t>09511</t>
  </si>
  <si>
    <t xml:space="preserve">MINIMÁLNÍ KONTAKT LÉKAŘE S PACIENTEM              </t>
  </si>
  <si>
    <t>MINIMÁLNÍ KONTAKT LÉKAŘE S PACIENTEM</t>
  </si>
  <si>
    <t>09513</t>
  </si>
  <si>
    <t>TELEFONICKÁ KONZULTACE OŠETŘUJÍCÍHO LÉKAŘE PACIENT</t>
  </si>
  <si>
    <t>208</t>
  </si>
  <si>
    <t>09117</t>
  </si>
  <si>
    <t xml:space="preserve">ODBĚR KRVE ZE ŽÍLY U DÍTĚTĚ DO 10 LET             </t>
  </si>
  <si>
    <t>ODBĚR KRVE ZE ŽÍLY U DÍTĚTĚ DO 10 LET</t>
  </si>
  <si>
    <t>28021</t>
  </si>
  <si>
    <t>KLINICKO GENETICKÉ VYŠETŘENÍ KOMPLEXNÍ NAPLNĚNÉ ST</t>
  </si>
  <si>
    <t>28105</t>
  </si>
  <si>
    <t>GENETICKÉ HODNOCENÍ RIZIKA VROZENÝCH CHROMOSOMÁLNÍ</t>
  </si>
  <si>
    <t>28023</t>
  </si>
  <si>
    <t>KLINICKOGENETICKÉ VYŠETŘENÍ KONTROLNÍ</t>
  </si>
  <si>
    <t xml:space="preserve">KLINICKOGENETICKÉ VYŠETŘENÍ KONTROLNÍ             </t>
  </si>
  <si>
    <t>09543</t>
  </si>
  <si>
    <t>Signalni kod</t>
  </si>
  <si>
    <t xml:space="preserve">Signalni kod                                      </t>
  </si>
  <si>
    <t>28022</t>
  </si>
  <si>
    <t>CÍLENÉ KLINICKOGENETICKÉ VYŠETŘENÍ PŘI DOSUD NEUZA</t>
  </si>
  <si>
    <t>09555</t>
  </si>
  <si>
    <t>OŠETŘENÍ DÍTĚTE DO 6 LET</t>
  </si>
  <si>
    <t xml:space="preserve">OŠETŘENÍ DÍTĚTE DO 6 LET                          </t>
  </si>
  <si>
    <t>09119</t>
  </si>
  <si>
    <t xml:space="preserve">ODBĚR KRVE ZE ŽÍLY U DOSPĚLÉHO NEBO DÍTĚTE NAD 10 </t>
  </si>
  <si>
    <t>09115</t>
  </si>
  <si>
    <t>ODBĚR BIOLOGICKÉHO MATERIÁLU JINÉHO NEŽ KREV NA KV</t>
  </si>
  <si>
    <t>09</t>
  </si>
  <si>
    <t>816</t>
  </si>
  <si>
    <t>94161</t>
  </si>
  <si>
    <t>VYŠETŘENÍ CHROMOZOMŮ Z CHORIOVÉ TKÁNĚ DLOUHODOBĚ K</t>
  </si>
  <si>
    <t>94181</t>
  </si>
  <si>
    <t xml:space="preserve">ZHOTOVENÍ KARYOTYPU Z JEDNÉ MITÓZY                </t>
  </si>
  <si>
    <t>ZHOTOVENÍ KARYOTYPU Z JEDNÉ MITÓZY</t>
  </si>
  <si>
    <t>94119</t>
  </si>
  <si>
    <t xml:space="preserve">IZOLACE A UCHOVÁNÍ LIDSKÉ DNA (RNA)               </t>
  </si>
  <si>
    <t>94115</t>
  </si>
  <si>
    <t xml:space="preserve">IN SITU HYBRIDIZACE LIDSKÉ DNA SE ZNAČENOU SONDOU </t>
  </si>
  <si>
    <t>IN SITU HYBRIDIZACE LIDSKÉ DNA SE ZNAČENOU SONDOU</t>
  </si>
  <si>
    <t>94193</t>
  </si>
  <si>
    <t xml:space="preserve">ELEKTROFORÉZA NUKLEOVÝCH KYSELIN                  </t>
  </si>
  <si>
    <t>94199</t>
  </si>
  <si>
    <t xml:space="preserve">AMPLIFIKACE METODOU PCR                           </t>
  </si>
  <si>
    <t>94123</t>
  </si>
  <si>
    <t xml:space="preserve">PCR ANALÝZA LIDSKÉ DNA                            </t>
  </si>
  <si>
    <t>94195</t>
  </si>
  <si>
    <t>SYNTÉZA cDNA REVERZNÍ TRANSKRIPCÍ</t>
  </si>
  <si>
    <t>94113</t>
  </si>
  <si>
    <t>SEPARACE MATEŘSKÉ A PLODOVÉ TKÁNĚ PRO CHORIOVÉ BIO</t>
  </si>
  <si>
    <t>94165</t>
  </si>
  <si>
    <t xml:space="preserve">G PRUHOVÁNÍ CHROMOZOMŮ                            </t>
  </si>
  <si>
    <t>G PRUHOVÁNÍ CHROMOZOMŮ</t>
  </si>
  <si>
    <t>94129</t>
  </si>
  <si>
    <t>RUTINNÍ VYŠETŘENÍ CHROMOZOMU Z PERIFERNÍ KRVE</t>
  </si>
  <si>
    <t xml:space="preserve">RUTINNÍ VYŠETŘENÍ CHROMOZOMU Z PERIFERNÍ KRVE     </t>
  </si>
  <si>
    <t>94135</t>
  </si>
  <si>
    <t xml:space="preserve">ZHODNOCENÍ ZÍSKANÝCH ABERACÍ V PERIFERNÍ KRVI     </t>
  </si>
  <si>
    <t>ZHODNOCENÍ ZÍSKANÝCH ABERACÍ V PERIFERNÍ KRVI</t>
  </si>
  <si>
    <t>94153</t>
  </si>
  <si>
    <t xml:space="preserve">VYŠETŘENÍ CHROMOZOMŮ Z PLODOVÉ VODY               </t>
  </si>
  <si>
    <t>VYŠETŘENÍ CHROMOZOMŮ Z PLODOVÉ VODY</t>
  </si>
  <si>
    <t>94163</t>
  </si>
  <si>
    <t>VYŠETŘENÍ CHROMOZOMŮ Z TKÁNÍ DLOUHODOBĚ KULTIVOVAN</t>
  </si>
  <si>
    <t>94175</t>
  </si>
  <si>
    <t xml:space="preserve">HODNOCENÍ DALŠÍCH MITÓZ                           </t>
  </si>
  <si>
    <t>HODNOCENÍ DALŠÍCH MITÓZ</t>
  </si>
  <si>
    <t>94173</t>
  </si>
  <si>
    <t xml:space="preserve">C PRUHOVÁNÍ CHROMOZOMŮ                            </t>
  </si>
  <si>
    <t>C PRUHOVÁNÍ CHROMOZOMŮ</t>
  </si>
  <si>
    <t>94295</t>
  </si>
  <si>
    <t>94976</t>
  </si>
  <si>
    <t>94296</t>
  </si>
  <si>
    <t>94977</t>
  </si>
  <si>
    <t>94235</t>
  </si>
  <si>
    <t>IZOLACE NUKLEOVÝCH KYSELIN (DNA, RNA) Z MALÉHO MNO</t>
  </si>
  <si>
    <t>94345</t>
  </si>
  <si>
    <t>CÍLENÉ STANOVENÍ PRIVÁTNÍ MUTACE LIDSKÉHO GERMINÁL</t>
  </si>
  <si>
    <t>94225</t>
  </si>
  <si>
    <t>IZOLACE A BANKING LIDSKÝCH NUKLEOVÝCH KYSELIN (DNA</t>
  </si>
  <si>
    <t>94331</t>
  </si>
  <si>
    <t xml:space="preserve">ANALÝZA LIDSKÉHO GERMINÁLNÍHO GENOMU METODOU MLPA </t>
  </si>
  <si>
    <t>ANALÝZA LIDSKÉHO GERMINÁLNÍHO GENOMU METODOU MLPA</t>
  </si>
  <si>
    <t>94237</t>
  </si>
  <si>
    <t>FRAGMENTAČNÍ ANALÝZA LIDSKÉHO GERMINÁLNÍHO GENOMU</t>
  </si>
  <si>
    <t xml:space="preserve">FRAGMENTAČNÍ ANALÝZA LIDSKÉHO GERMINÁLNÍHO GENOMU </t>
  </si>
  <si>
    <t>94221</t>
  </si>
  <si>
    <t xml:space="preserve">PŘÍMÁ SEKVENACE DNA LIDSKÉHO GERMINÁLNÍHO GENOMU  </t>
  </si>
  <si>
    <t>PŘÍMÁ SEKVENACE DNA LIDSKÉHO GERMINÁLNÍHO GENOMU</t>
  </si>
  <si>
    <t>94363</t>
  </si>
  <si>
    <t>CÍLENÁ ANALÝZA LIDSKÉHO GERMINÁLNÍHO GENOMU TECHNO</t>
  </si>
  <si>
    <t>94335</t>
  </si>
  <si>
    <t>ANALÝZA LIDSKÉHO GERMINÁLNÍHO GENOMU METODOU KVANT</t>
  </si>
  <si>
    <t>94972</t>
  </si>
  <si>
    <t>(VZP) SY. FRAGILNÍHO X (FRAXA) - STANOVENÍ ROZSAHU</t>
  </si>
  <si>
    <t>94950</t>
  </si>
  <si>
    <t xml:space="preserve">(VZP) CYSTICKÁ FIBRÓZA                            </t>
  </si>
  <si>
    <t>(VZP) CYSTICKÁ FIBRÓZA</t>
  </si>
  <si>
    <t>94967</t>
  </si>
  <si>
    <t>(VZP) ANEUPLOIDIE CHROMOZOMŮ 13,18,21, X A Y METOD</t>
  </si>
  <si>
    <t>94948</t>
  </si>
  <si>
    <t xml:space="preserve">(VZP) SIGNÁLNÍ VÝKON - DOVYŠETŘENÍ PACIENTA       </t>
  </si>
  <si>
    <t>(VZP) SIGNÁLNÍ VÝKON - DOVYŠETŘENÍ PACIENTA</t>
  </si>
  <si>
    <t>94970</t>
  </si>
  <si>
    <t xml:space="preserve">(VZP) SPINÁLNÍ SVALOVÁ ATROFIE                    </t>
  </si>
  <si>
    <t>94996</t>
  </si>
  <si>
    <t xml:space="preserve">(VZP) NESPECIFICKÝ ORPHA                          </t>
  </si>
  <si>
    <t>(VZP) NESPECIFICKÝ ORPHA</t>
  </si>
  <si>
    <t>94125</t>
  </si>
  <si>
    <t>MEMBRÁNOVÁ HYBRIDIZACE LIDSKÉ DNA SE ZNAČENOU SOND</t>
  </si>
  <si>
    <t>94982</t>
  </si>
  <si>
    <t>(VZP) KOMPLEXNÍ MOLEKULÁRNÍ ANALÝZA 1 (NGS MENŠÍ R</t>
  </si>
  <si>
    <t>94952</t>
  </si>
  <si>
    <t>(VZP) DELECE AZF OBLASTI NA CHROMOZOMU Y (STERILIT</t>
  </si>
  <si>
    <t>94968</t>
  </si>
  <si>
    <t xml:space="preserve">(VZP) HLUCHOTA (NESYNDROMÁLNÍ) - DFNB1            </t>
  </si>
  <si>
    <t>94981</t>
  </si>
  <si>
    <t xml:space="preserve">(VZP) HEREDITÁRNÍ NÁDOROVÉ SYNDROMY               </t>
  </si>
  <si>
    <t>(VZP) HEREDITÁRNÍ NÁDOROVÉ SYNDROMY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</si>
  <si>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</si>
  <si>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</si>
  <si>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03 - III. interní klinika - nefrologická, revmatologická a endokrinologická</t>
  </si>
  <si>
    <t>04 - I. chirurgická klinika</t>
  </si>
  <si>
    <t>06 - Neurochirurgická klinika</t>
  </si>
  <si>
    <t>08 - Porodnicko-gynekologická klinika</t>
  </si>
  <si>
    <t>09 - Novorozenecké oddělení</t>
  </si>
  <si>
    <t>10 - Dětská klinika</t>
  </si>
  <si>
    <t>17 - Neurologická klinika</t>
  </si>
  <si>
    <t>18 - Klinika psychiatrie</t>
  </si>
  <si>
    <t>20 - Klinika chorob kožních a pohlavních</t>
  </si>
  <si>
    <t>21 - Onkologická klinika</t>
  </si>
  <si>
    <t>26 - Oddělení rehabilitace</t>
  </si>
  <si>
    <t>03</t>
  </si>
  <si>
    <t>04</t>
  </si>
  <si>
    <t>08</t>
  </si>
  <si>
    <t>10</t>
  </si>
  <si>
    <t>94211</t>
  </si>
  <si>
    <t>DLOUHODOBÁ KULTIVACE BUNĚK RŮZNÝCH TKÁNÍ Z PRENATÁ</t>
  </si>
  <si>
    <t>17</t>
  </si>
  <si>
    <t>18</t>
  </si>
  <si>
    <t>20</t>
  </si>
  <si>
    <t>21</t>
  </si>
  <si>
    <t>26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</si>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</sst>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60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9" xfId="0" applyNumberFormat="1" applyFont="1" applyFill="1" applyBorder="1" applyAlignment="1">
      <alignment horizontal="right" vertical="top"/>
    </xf>
    <xf numFmtId="3" fontId="34" fillId="10" borderId="120" xfId="0" applyNumberFormat="1" applyFont="1" applyFill="1" applyBorder="1" applyAlignment="1">
      <alignment horizontal="right" vertical="top"/>
    </xf>
    <xf numFmtId="177" fontId="34" fillId="10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7" fontId="34" fillId="10" borderId="122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4" fillId="10" borderId="121" xfId="0" applyFont="1" applyFill="1" applyBorder="1" applyAlignment="1">
      <alignment horizontal="right" vertical="top"/>
    </xf>
    <xf numFmtId="0" fontId="34" fillId="10" borderId="122" xfId="0" applyFont="1" applyFill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177" fontId="36" fillId="10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3" fontId="36" fillId="0" borderId="130" xfId="0" applyNumberFormat="1" applyFont="1" applyBorder="1" applyAlignment="1">
      <alignment horizontal="right" vertical="top"/>
    </xf>
    <xf numFmtId="177" fontId="36" fillId="10" borderId="131" xfId="0" applyNumberFormat="1" applyFont="1" applyFill="1" applyBorder="1" applyAlignment="1">
      <alignment horizontal="right" vertical="top"/>
    </xf>
    <xf numFmtId="0" fontId="38" fillId="11" borderId="118" xfId="0" applyFont="1" applyFill="1" applyBorder="1" applyAlignment="1">
      <alignment vertical="top"/>
    </xf>
    <xf numFmtId="0" fontId="38" fillId="11" borderId="118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4"/>
    </xf>
    <xf numFmtId="0" fontId="39" fillId="11" borderId="123" xfId="0" applyFont="1" applyFill="1" applyBorder="1" applyAlignment="1">
      <alignment vertical="top" indent="6"/>
    </xf>
    <xf numFmtId="0" fontId="38" fillId="11" borderId="118" xfId="0" applyFont="1" applyFill="1" applyBorder="1" applyAlignment="1">
      <alignment vertical="top" indent="8"/>
    </xf>
    <xf numFmtId="0" fontId="39" fillId="11" borderId="123" xfId="0" applyFont="1" applyFill="1" applyBorder="1" applyAlignment="1">
      <alignment vertical="top" indent="2"/>
    </xf>
    <xf numFmtId="0" fontId="38" fillId="11" borderId="11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4"/>
    </xf>
    <xf numFmtId="0" fontId="33" fillId="11" borderId="118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8" xfId="53" applyNumberFormat="1" applyFont="1" applyFill="1" applyBorder="1" applyAlignment="1">
      <alignment horizontal="left"/>
    </xf>
    <xf numFmtId="164" fontId="32" fillId="2" borderId="132" xfId="53" applyNumberFormat="1" applyFont="1" applyFill="1" applyBorder="1" applyAlignment="1">
      <alignment horizontal="left"/>
    </xf>
    <xf numFmtId="0" fontId="32" fillId="2" borderId="132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3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34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35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35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34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40" xfId="0" applyFont="1" applyFill="1" applyBorder="1"/>
    <xf numFmtId="0" fontId="33" fillId="0" borderId="141" xfId="0" applyFont="1" applyFill="1" applyBorder="1"/>
    <xf numFmtId="0" fontId="33" fillId="0" borderId="141" xfId="0" applyFont="1" applyFill="1" applyBorder="1" applyAlignment="1">
      <alignment horizontal="right"/>
    </xf>
    <xf numFmtId="0" fontId="33" fillId="0" borderId="141" xfId="0" applyFont="1" applyFill="1" applyBorder="1" applyAlignment="1">
      <alignment horizontal="left"/>
    </xf>
    <xf numFmtId="164" fontId="33" fillId="0" borderId="141" xfId="0" applyNumberFormat="1" applyFont="1" applyFill="1" applyBorder="1"/>
    <xf numFmtId="165" fontId="33" fillId="0" borderId="141" xfId="0" applyNumberFormat="1" applyFont="1" applyFill="1" applyBorder="1"/>
    <xf numFmtId="9" fontId="33" fillId="0" borderId="141" xfId="0" applyNumberFormat="1" applyFont="1" applyFill="1" applyBorder="1"/>
    <xf numFmtId="9" fontId="33" fillId="0" borderId="142" xfId="0" applyNumberFormat="1" applyFont="1" applyFill="1" applyBorder="1"/>
    <xf numFmtId="0" fontId="33" fillId="0" borderId="143" xfId="0" applyFont="1" applyFill="1" applyBorder="1"/>
    <xf numFmtId="0" fontId="33" fillId="0" borderId="144" xfId="0" applyFont="1" applyFill="1" applyBorder="1"/>
    <xf numFmtId="0" fontId="33" fillId="0" borderId="144" xfId="0" applyFont="1" applyFill="1" applyBorder="1" applyAlignment="1">
      <alignment horizontal="right"/>
    </xf>
    <xf numFmtId="0" fontId="33" fillId="0" borderId="144" xfId="0" applyFont="1" applyFill="1" applyBorder="1" applyAlignment="1">
      <alignment horizontal="left"/>
    </xf>
    <xf numFmtId="164" fontId="33" fillId="0" borderId="144" xfId="0" applyNumberFormat="1" applyFont="1" applyFill="1" applyBorder="1"/>
    <xf numFmtId="165" fontId="33" fillId="0" borderId="144" xfId="0" applyNumberFormat="1" applyFont="1" applyFill="1" applyBorder="1"/>
    <xf numFmtId="9" fontId="33" fillId="0" borderId="144" xfId="0" applyNumberFormat="1" applyFont="1" applyFill="1" applyBorder="1"/>
    <xf numFmtId="9" fontId="33" fillId="0" borderId="145" xfId="0" applyNumberFormat="1" applyFont="1" applyFill="1" applyBorder="1"/>
    <xf numFmtId="0" fontId="40" fillId="2" borderId="55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26" xfId="0" applyNumberFormat="1" applyFont="1" applyFill="1" applyBorder="1"/>
    <xf numFmtId="3" fontId="33" fillId="0" borderId="141" xfId="0" applyNumberFormat="1" applyFont="1" applyFill="1" applyBorder="1"/>
    <xf numFmtId="3" fontId="33" fillId="0" borderId="142" xfId="0" applyNumberFormat="1" applyFont="1" applyFill="1" applyBorder="1"/>
    <xf numFmtId="3" fontId="33" fillId="0" borderId="144" xfId="0" applyNumberFormat="1" applyFont="1" applyFill="1" applyBorder="1"/>
    <xf numFmtId="3" fontId="33" fillId="0" borderId="145" xfId="0" applyNumberFormat="1" applyFont="1" applyFill="1" applyBorder="1"/>
    <xf numFmtId="3" fontId="33" fillId="0" borderId="147" xfId="0" applyNumberFormat="1" applyFont="1" applyFill="1" applyBorder="1"/>
    <xf numFmtId="9" fontId="33" fillId="0" borderId="147" xfId="0" applyNumberFormat="1" applyFont="1" applyFill="1" applyBorder="1"/>
    <xf numFmtId="3" fontId="33" fillId="0" borderId="148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25" xfId="0" applyFont="1" applyFill="1" applyBorder="1"/>
    <xf numFmtId="0" fontId="40" fillId="0" borderId="140" xfId="0" applyFont="1" applyFill="1" applyBorder="1"/>
    <xf numFmtId="0" fontId="40" fillId="0" borderId="146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57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41" xfId="0" applyNumberFormat="1" applyFont="1" applyFill="1" applyBorder="1" applyAlignment="1">
      <alignment horizontal="right"/>
    </xf>
    <xf numFmtId="164" fontId="33" fillId="0" borderId="144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41" xfId="0" applyNumberFormat="1" applyBorder="1"/>
    <xf numFmtId="9" fontId="0" fillId="0" borderId="141" xfId="0" applyNumberFormat="1" applyBorder="1"/>
    <xf numFmtId="9" fontId="0" fillId="0" borderId="142" xfId="0" applyNumberFormat="1" applyBorder="1"/>
    <xf numFmtId="169" fontId="0" fillId="0" borderId="144" xfId="0" applyNumberFormat="1" applyBorder="1"/>
    <xf numFmtId="9" fontId="0" fillId="0" borderId="144" xfId="0" applyNumberFormat="1" applyBorder="1"/>
    <xf numFmtId="9" fontId="0" fillId="0" borderId="145" xfId="0" applyNumberFormat="1" applyBorder="1"/>
    <xf numFmtId="0" fontId="60" fillId="0" borderId="140" xfId="0" applyFont="1" applyBorder="1" applyAlignment="1">
      <alignment horizontal="left" indent="1"/>
    </xf>
    <xf numFmtId="0" fontId="60" fillId="0" borderId="143" xfId="0" applyFont="1" applyBorder="1" applyAlignment="1">
      <alignment horizontal="left" indent="1"/>
    </xf>
    <xf numFmtId="0" fontId="60" fillId="4" borderId="140" xfId="0" applyFont="1" applyFill="1" applyBorder="1" applyAlignment="1">
      <alignment horizontal="left"/>
    </xf>
    <xf numFmtId="169" fontId="60" fillId="4" borderId="141" xfId="0" applyNumberFormat="1" applyFont="1" applyFill="1" applyBorder="1"/>
    <xf numFmtId="9" fontId="60" fillId="4" borderId="141" xfId="0" applyNumberFormat="1" applyFont="1" applyFill="1" applyBorder="1"/>
    <xf numFmtId="9" fontId="60" fillId="4" borderId="142" xfId="0" applyNumberFormat="1" applyFont="1" applyFill="1" applyBorder="1"/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44" xfId="0" applyNumberFormat="1" applyFont="1" applyFill="1" applyBorder="1"/>
    <xf numFmtId="169" fontId="33" fillId="0" borderId="145" xfId="0" applyNumberFormat="1" applyFont="1" applyFill="1" applyBorder="1"/>
    <xf numFmtId="0" fontId="40" fillId="0" borderId="143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141" xfId="0" applyNumberFormat="1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103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02"/>
      <tableStyleElement type="headerRow" dxfId="101"/>
      <tableStyleElement type="totalRow" dxfId="100"/>
      <tableStyleElement type="firstColumn" dxfId="99"/>
      <tableStyleElement type="lastColumn" dxfId="98"/>
      <tableStyleElement type="firstRowStripe" dxfId="97"/>
      <tableStyleElement type="firstColumnStripe" dxfId="96"/>
    </tableStyle>
    <tableStyle name="TableStyleMedium2 2" pivot="0" count="7">
      <tableStyleElement type="wholeTable" dxfId="95"/>
      <tableStyleElement type="headerRow" dxfId="94"/>
      <tableStyleElement type="totalRow" dxfId="93"/>
      <tableStyleElement type="firstColumn" dxfId="92"/>
      <tableStyleElement type="lastColumn" dxfId="91"/>
      <tableStyleElement type="firstRowStripe" dxfId="90"/>
      <tableStyleElement type="firstColumnStripe" dxfId="8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1.5800557626850988</c:v>
                </c:pt>
                <c:pt idx="1">
                  <c:v>1.6615904717702896</c:v>
                </c:pt>
                <c:pt idx="2">
                  <c:v>1.707115738306153</c:v>
                </c:pt>
                <c:pt idx="3">
                  <c:v>1.6501111504134947</c:v>
                </c:pt>
                <c:pt idx="4">
                  <c:v>1.6206403796936819</c:v>
                </c:pt>
                <c:pt idx="5">
                  <c:v>1.5409759896555857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712400"/>
        <c:axId val="12369988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2.8714841447799841</c:v>
                </c:pt>
                <c:pt idx="1">
                  <c:v>2.8714841447799841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709136"/>
        <c:axId val="123708592"/>
      </c:scatterChart>
      <c:catAx>
        <c:axId val="123712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369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6998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3712400"/>
        <c:crosses val="autoZero"/>
        <c:crossBetween val="between"/>
      </c:valAx>
      <c:valAx>
        <c:axId val="12370913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3708592"/>
        <c:crosses val="max"/>
        <c:crossBetween val="midCat"/>
      </c:valAx>
      <c:valAx>
        <c:axId val="1237085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370913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3" totalsRowShown="0" headerRowDxfId="88" tableBorderDxfId="87">
  <autoFilter ref="A7:S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86"/>
    <tableColumn id="2" name="popis" dataDxfId="85"/>
    <tableColumn id="3" name="01 uv_s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69">
      <calculatedColumnFormula>IF(Tabulka[[#This Row],[15_vzpl]]=0,"",Tabulka[[#This Row],[14_vzsk]]/Tabulka[[#This Row],[15_vzpl]])</calculatedColumnFormula>
    </tableColumn>
    <tableColumn id="20" name="17_vzroz" dataDxfId="68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05" totalsRowShown="0">
  <autoFilter ref="C3:S105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29" bestFit="1" customWidth="1"/>
    <col min="2" max="2" width="102.21875" style="129" bestFit="1" customWidth="1"/>
    <col min="3" max="3" width="16.109375" style="47" hidden="1" customWidth="1"/>
    <col min="4" max="16384" width="8.88671875" style="129"/>
  </cols>
  <sheetData>
    <row r="1" spans="1:3" ht="18.600000000000001" customHeight="1" thickBot="1" x14ac:dyDescent="0.4">
      <c r="A1" s="329" t="s">
        <v>107</v>
      </c>
      <c r="B1" s="329"/>
    </row>
    <row r="2" spans="1:3" ht="14.4" customHeight="1" thickBot="1" x14ac:dyDescent="0.35">
      <c r="A2" s="232" t="s">
        <v>265</v>
      </c>
      <c r="B2" s="46"/>
    </row>
    <row r="3" spans="1:3" ht="14.4" customHeight="1" thickBot="1" x14ac:dyDescent="0.35">
      <c r="A3" s="325" t="s">
        <v>139</v>
      </c>
      <c r="B3" s="326"/>
    </row>
    <row r="4" spans="1:3" ht="14.4" customHeight="1" x14ac:dyDescent="0.3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" customHeight="1" x14ac:dyDescent="0.3">
      <c r="A5" s="145" t="str">
        <f t="shared" si="0"/>
        <v>HI</v>
      </c>
      <c r="B5" s="89" t="s">
        <v>135</v>
      </c>
      <c r="C5" s="47" t="s">
        <v>110</v>
      </c>
    </row>
    <row r="6" spans="1:3" ht="14.4" customHeight="1" x14ac:dyDescent="0.3">
      <c r="A6" s="146" t="str">
        <f t="shared" si="0"/>
        <v>HI Graf</v>
      </c>
      <c r="B6" s="90" t="s">
        <v>103</v>
      </c>
      <c r="C6" s="47" t="s">
        <v>111</v>
      </c>
    </row>
    <row r="7" spans="1:3" ht="14.4" customHeight="1" x14ac:dyDescent="0.3">
      <c r="A7" s="146" t="str">
        <f t="shared" si="0"/>
        <v>Man Tab</v>
      </c>
      <c r="B7" s="90" t="s">
        <v>267</v>
      </c>
      <c r="C7" s="47" t="s">
        <v>112</v>
      </c>
    </row>
    <row r="8" spans="1:3" ht="14.4" customHeight="1" thickBot="1" x14ac:dyDescent="0.35">
      <c r="A8" s="147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7" t="s">
        <v>108</v>
      </c>
      <c r="B10" s="326"/>
    </row>
    <row r="11" spans="1:3" ht="14.4" customHeight="1" x14ac:dyDescent="0.3">
      <c r="A11" s="148" t="str">
        <f t="shared" ref="A11" si="1">HYPERLINK("#'"&amp;C11&amp;"'!A1",C11)</f>
        <v>Léky Žádanky</v>
      </c>
      <c r="B11" s="89" t="s">
        <v>136</v>
      </c>
      <c r="C11" s="47" t="s">
        <v>113</v>
      </c>
    </row>
    <row r="12" spans="1:3" ht="14.4" customHeight="1" x14ac:dyDescent="0.3">
      <c r="A12" s="146" t="str">
        <f t="shared" ref="A12:A21" si="2">HYPERLINK("#'"&amp;C12&amp;"'!A1",C12)</f>
        <v>LŽ Detail</v>
      </c>
      <c r="B12" s="90" t="s">
        <v>159</v>
      </c>
      <c r="C12" s="47" t="s">
        <v>114</v>
      </c>
    </row>
    <row r="13" spans="1:3" ht="14.4" customHeight="1" x14ac:dyDescent="0.3">
      <c r="A13" s="146" t="str">
        <f t="shared" si="2"/>
        <v>LŽ Statim</v>
      </c>
      <c r="B13" s="254" t="s">
        <v>191</v>
      </c>
      <c r="C13" s="47" t="s">
        <v>201</v>
      </c>
    </row>
    <row r="14" spans="1:3" ht="14.4" customHeight="1" x14ac:dyDescent="0.3">
      <c r="A14" s="146" t="str">
        <f t="shared" si="2"/>
        <v>Léky Recepty</v>
      </c>
      <c r="B14" s="90" t="s">
        <v>137</v>
      </c>
      <c r="C14" s="47" t="s">
        <v>115</v>
      </c>
    </row>
    <row r="15" spans="1:3" ht="14.4" customHeight="1" x14ac:dyDescent="0.3">
      <c r="A15" s="146" t="str">
        <f t="shared" si="2"/>
        <v>LRp Lékaři</v>
      </c>
      <c r="B15" s="90" t="s">
        <v>145</v>
      </c>
      <c r="C15" s="47" t="s">
        <v>146</v>
      </c>
    </row>
    <row r="16" spans="1:3" ht="14.4" customHeight="1" x14ac:dyDescent="0.3">
      <c r="A16" s="146" t="str">
        <f t="shared" si="2"/>
        <v>LRp Detail</v>
      </c>
      <c r="B16" s="90" t="s">
        <v>616</v>
      </c>
      <c r="C16" s="47" t="s">
        <v>116</v>
      </c>
    </row>
    <row r="17" spans="1:3" ht="28.8" customHeight="1" x14ac:dyDescent="0.3">
      <c r="A17" s="146" t="str">
        <f t="shared" si="2"/>
        <v>LRp PL</v>
      </c>
      <c r="B17" s="606" t="s">
        <v>617</v>
      </c>
      <c r="C17" s="47" t="s">
        <v>142</v>
      </c>
    </row>
    <row r="18" spans="1:3" ht="14.4" customHeight="1" x14ac:dyDescent="0.3">
      <c r="A18" s="146" t="str">
        <f>HYPERLINK("#'"&amp;C18&amp;"'!A1",C18)</f>
        <v>LRp PL Detail</v>
      </c>
      <c r="B18" s="90" t="s">
        <v>636</v>
      </c>
      <c r="C18" s="47" t="s">
        <v>143</v>
      </c>
    </row>
    <row r="19" spans="1:3" ht="14.4" customHeight="1" x14ac:dyDescent="0.3">
      <c r="A19" s="148" t="str">
        <f t="shared" ref="A19" si="3">HYPERLINK("#'"&amp;C19&amp;"'!A1",C19)</f>
        <v>Materiál Žádanky</v>
      </c>
      <c r="B19" s="90" t="s">
        <v>138</v>
      </c>
      <c r="C19" s="47" t="s">
        <v>117</v>
      </c>
    </row>
    <row r="20" spans="1:3" ht="14.4" customHeight="1" x14ac:dyDescent="0.3">
      <c r="A20" s="146" t="str">
        <f t="shared" si="2"/>
        <v>MŽ Detail</v>
      </c>
      <c r="B20" s="90" t="s">
        <v>938</v>
      </c>
      <c r="C20" s="47" t="s">
        <v>118</v>
      </c>
    </row>
    <row r="21" spans="1:3" ht="14.4" customHeight="1" thickBot="1" x14ac:dyDescent="0.35">
      <c r="A21" s="148" t="str">
        <f t="shared" si="2"/>
        <v>Osobní náklady</v>
      </c>
      <c r="B21" s="90" t="s">
        <v>105</v>
      </c>
      <c r="C21" s="47" t="s">
        <v>119</v>
      </c>
    </row>
    <row r="22" spans="1:3" ht="14.4" customHeight="1" thickBot="1" x14ac:dyDescent="0.35">
      <c r="A22" s="93"/>
      <c r="B22" s="93"/>
    </row>
    <row r="23" spans="1:3" ht="14.4" customHeight="1" thickBot="1" x14ac:dyDescent="0.35">
      <c r="A23" s="328" t="s">
        <v>109</v>
      </c>
      <c r="B23" s="326"/>
    </row>
    <row r="24" spans="1:3" ht="14.4" customHeight="1" x14ac:dyDescent="0.3">
      <c r="A24" s="149" t="str">
        <f t="shared" ref="A24:A29" si="4">HYPERLINK("#'"&amp;C24&amp;"'!A1",C24)</f>
        <v>ZV Vykáz.-A</v>
      </c>
      <c r="B24" s="89" t="s">
        <v>964</v>
      </c>
      <c r="C24" s="47" t="s">
        <v>122</v>
      </c>
    </row>
    <row r="25" spans="1:3" ht="14.4" customHeight="1" x14ac:dyDescent="0.3">
      <c r="A25" s="146" t="str">
        <f t="shared" ref="A25" si="5">HYPERLINK("#'"&amp;C25&amp;"'!A1",C25)</f>
        <v>ZV Vykáz.-A Lékaři</v>
      </c>
      <c r="B25" s="90" t="s">
        <v>970</v>
      </c>
      <c r="C25" s="47" t="s">
        <v>204</v>
      </c>
    </row>
    <row r="26" spans="1:3" ht="14.4" customHeight="1" x14ac:dyDescent="0.3">
      <c r="A26" s="146" t="str">
        <f t="shared" si="4"/>
        <v>ZV Vykáz.-A Detail</v>
      </c>
      <c r="B26" s="90" t="s">
        <v>1093</v>
      </c>
      <c r="C26" s="47" t="s">
        <v>123</v>
      </c>
    </row>
    <row r="27" spans="1:3" ht="14.4" customHeight="1" x14ac:dyDescent="0.3">
      <c r="A27" s="267" t="str">
        <f>HYPERLINK("#'"&amp;C27&amp;"'!A1",C27)</f>
        <v>ZV Vykáz.-A Det.Lék.</v>
      </c>
      <c r="B27" s="90" t="s">
        <v>1094</v>
      </c>
      <c r="C27" s="47" t="s">
        <v>208</v>
      </c>
    </row>
    <row r="28" spans="1:3" ht="14.4" customHeight="1" x14ac:dyDescent="0.3">
      <c r="A28" s="146" t="str">
        <f t="shared" si="4"/>
        <v>ZV Vykáz.-H</v>
      </c>
      <c r="B28" s="90" t="s">
        <v>126</v>
      </c>
      <c r="C28" s="47" t="s">
        <v>124</v>
      </c>
    </row>
    <row r="29" spans="1:3" ht="14.4" customHeight="1" x14ac:dyDescent="0.3">
      <c r="A29" s="146" t="str">
        <f t="shared" si="4"/>
        <v>ZV Vykáz.-H Detail</v>
      </c>
      <c r="B29" s="90" t="s">
        <v>1117</v>
      </c>
      <c r="C29" s="47" t="s">
        <v>125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29" customWidth="1"/>
    <col min="2" max="2" width="34.21875" style="129" customWidth="1"/>
    <col min="3" max="3" width="11.109375" style="129" bestFit="1" customWidth="1"/>
    <col min="4" max="4" width="7.33203125" style="129" bestFit="1" customWidth="1"/>
    <col min="5" max="5" width="11.109375" style="129" bestFit="1" customWidth="1"/>
    <col min="6" max="6" width="5.33203125" style="129" customWidth="1"/>
    <col min="7" max="7" width="7.33203125" style="129" bestFit="1" customWidth="1"/>
    <col min="8" max="8" width="5.33203125" style="129" customWidth="1"/>
    <col min="9" max="9" width="11.109375" style="129" customWidth="1"/>
    <col min="10" max="10" width="5.33203125" style="129" customWidth="1"/>
    <col min="11" max="11" width="7.33203125" style="129" customWidth="1"/>
    <col min="12" max="12" width="5.33203125" style="129" customWidth="1"/>
    <col min="13" max="13" width="0" style="129" hidden="1" customWidth="1"/>
    <col min="14" max="16384" width="8.88671875" style="129"/>
  </cols>
  <sheetData>
    <row r="1" spans="1:14" ht="18.600000000000001" customHeight="1" thickBot="1" x14ac:dyDescent="0.4">
      <c r="A1" s="368" t="s">
        <v>137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" customHeight="1" thickBot="1" x14ac:dyDescent="0.35">
      <c r="A2" s="232" t="s">
        <v>265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144</v>
      </c>
      <c r="J3" s="384"/>
      <c r="K3" s="384"/>
      <c r="L3" s="386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87">
        <v>28</v>
      </c>
      <c r="B5" s="488" t="s">
        <v>476</v>
      </c>
      <c r="C5" s="491">
        <v>8044.8700000000008</v>
      </c>
      <c r="D5" s="491">
        <v>42</v>
      </c>
      <c r="E5" s="491">
        <v>7170.4800000000014</v>
      </c>
      <c r="F5" s="543">
        <v>0.89131086021278161</v>
      </c>
      <c r="G5" s="491">
        <v>38</v>
      </c>
      <c r="H5" s="543">
        <v>0.90476190476190477</v>
      </c>
      <c r="I5" s="491">
        <v>874.38999999999987</v>
      </c>
      <c r="J5" s="543">
        <v>0.10868913978721841</v>
      </c>
      <c r="K5" s="491">
        <v>4</v>
      </c>
      <c r="L5" s="543">
        <v>9.5238095238095233E-2</v>
      </c>
      <c r="M5" s="491" t="s">
        <v>68</v>
      </c>
      <c r="N5" s="150"/>
    </row>
    <row r="6" spans="1:14" ht="14.4" customHeight="1" x14ac:dyDescent="0.3">
      <c r="A6" s="487">
        <v>28</v>
      </c>
      <c r="B6" s="488" t="s">
        <v>477</v>
      </c>
      <c r="C6" s="491">
        <v>8044.8700000000008</v>
      </c>
      <c r="D6" s="491">
        <v>42</v>
      </c>
      <c r="E6" s="491">
        <v>7170.4800000000014</v>
      </c>
      <c r="F6" s="543">
        <v>0.89131086021278161</v>
      </c>
      <c r="G6" s="491">
        <v>38</v>
      </c>
      <c r="H6" s="543">
        <v>0.90476190476190477</v>
      </c>
      <c r="I6" s="491">
        <v>874.38999999999987</v>
      </c>
      <c r="J6" s="543">
        <v>0.10868913978721841</v>
      </c>
      <c r="K6" s="491">
        <v>4</v>
      </c>
      <c r="L6" s="543">
        <v>9.5238095238095233E-2</v>
      </c>
      <c r="M6" s="491" t="s">
        <v>1</v>
      </c>
      <c r="N6" s="150"/>
    </row>
    <row r="7" spans="1:14" ht="14.4" customHeight="1" x14ac:dyDescent="0.3">
      <c r="A7" s="487" t="s">
        <v>444</v>
      </c>
      <c r="B7" s="488" t="s">
        <v>3</v>
      </c>
      <c r="C7" s="491">
        <v>8044.8700000000008</v>
      </c>
      <c r="D7" s="491">
        <v>42</v>
      </c>
      <c r="E7" s="491">
        <v>7170.4800000000014</v>
      </c>
      <c r="F7" s="543">
        <v>0.89131086021278161</v>
      </c>
      <c r="G7" s="491">
        <v>38</v>
      </c>
      <c r="H7" s="543">
        <v>0.90476190476190477</v>
      </c>
      <c r="I7" s="491">
        <v>874.38999999999987</v>
      </c>
      <c r="J7" s="543">
        <v>0.10868913978721841</v>
      </c>
      <c r="K7" s="491">
        <v>4</v>
      </c>
      <c r="L7" s="543">
        <v>9.5238095238095233E-2</v>
      </c>
      <c r="M7" s="491" t="s">
        <v>451</v>
      </c>
      <c r="N7" s="150"/>
    </row>
    <row r="9" spans="1:14" ht="14.4" customHeight="1" x14ac:dyDescent="0.3">
      <c r="A9" s="487">
        <v>28</v>
      </c>
      <c r="B9" s="488" t="s">
        <v>476</v>
      </c>
      <c r="C9" s="491" t="s">
        <v>446</v>
      </c>
      <c r="D9" s="491" t="s">
        <v>446</v>
      </c>
      <c r="E9" s="491" t="s">
        <v>446</v>
      </c>
      <c r="F9" s="543" t="s">
        <v>446</v>
      </c>
      <c r="G9" s="491" t="s">
        <v>446</v>
      </c>
      <c r="H9" s="543" t="s">
        <v>446</v>
      </c>
      <c r="I9" s="491" t="s">
        <v>446</v>
      </c>
      <c r="J9" s="543" t="s">
        <v>446</v>
      </c>
      <c r="K9" s="491" t="s">
        <v>446</v>
      </c>
      <c r="L9" s="543" t="s">
        <v>446</v>
      </c>
      <c r="M9" s="491" t="s">
        <v>68</v>
      </c>
      <c r="N9" s="150"/>
    </row>
    <row r="10" spans="1:14" ht="14.4" customHeight="1" x14ac:dyDescent="0.3">
      <c r="A10" s="487" t="s">
        <v>478</v>
      </c>
      <c r="B10" s="488" t="s">
        <v>477</v>
      </c>
      <c r="C10" s="491">
        <v>8044.8700000000008</v>
      </c>
      <c r="D10" s="491">
        <v>42</v>
      </c>
      <c r="E10" s="491">
        <v>7170.4800000000014</v>
      </c>
      <c r="F10" s="543">
        <v>0.89131086021278161</v>
      </c>
      <c r="G10" s="491">
        <v>38</v>
      </c>
      <c r="H10" s="543">
        <v>0.90476190476190477</v>
      </c>
      <c r="I10" s="491">
        <v>874.38999999999987</v>
      </c>
      <c r="J10" s="543">
        <v>0.10868913978721841</v>
      </c>
      <c r="K10" s="491">
        <v>4</v>
      </c>
      <c r="L10" s="543">
        <v>9.5238095238095233E-2</v>
      </c>
      <c r="M10" s="491" t="s">
        <v>1</v>
      </c>
      <c r="N10" s="150"/>
    </row>
    <row r="11" spans="1:14" ht="14.4" customHeight="1" x14ac:dyDescent="0.3">
      <c r="A11" s="487" t="s">
        <v>478</v>
      </c>
      <c r="B11" s="488" t="s">
        <v>479</v>
      </c>
      <c r="C11" s="491">
        <v>8044.8700000000008</v>
      </c>
      <c r="D11" s="491">
        <v>42</v>
      </c>
      <c r="E11" s="491">
        <v>7170.4800000000014</v>
      </c>
      <c r="F11" s="543">
        <v>0.89131086021278161</v>
      </c>
      <c r="G11" s="491">
        <v>38</v>
      </c>
      <c r="H11" s="543">
        <v>0.90476190476190477</v>
      </c>
      <c r="I11" s="491">
        <v>874.38999999999987</v>
      </c>
      <c r="J11" s="543">
        <v>0.10868913978721841</v>
      </c>
      <c r="K11" s="491">
        <v>4</v>
      </c>
      <c r="L11" s="543">
        <v>9.5238095238095233E-2</v>
      </c>
      <c r="M11" s="491" t="s">
        <v>455</v>
      </c>
      <c r="N11" s="150"/>
    </row>
    <row r="12" spans="1:14" ht="14.4" customHeight="1" x14ac:dyDescent="0.3">
      <c r="A12" s="487" t="s">
        <v>446</v>
      </c>
      <c r="B12" s="488" t="s">
        <v>446</v>
      </c>
      <c r="C12" s="491" t="s">
        <v>446</v>
      </c>
      <c r="D12" s="491" t="s">
        <v>446</v>
      </c>
      <c r="E12" s="491" t="s">
        <v>446</v>
      </c>
      <c r="F12" s="543" t="s">
        <v>446</v>
      </c>
      <c r="G12" s="491" t="s">
        <v>446</v>
      </c>
      <c r="H12" s="543" t="s">
        <v>446</v>
      </c>
      <c r="I12" s="491" t="s">
        <v>446</v>
      </c>
      <c r="J12" s="543" t="s">
        <v>446</v>
      </c>
      <c r="K12" s="491" t="s">
        <v>446</v>
      </c>
      <c r="L12" s="543" t="s">
        <v>446</v>
      </c>
      <c r="M12" s="491" t="s">
        <v>456</v>
      </c>
      <c r="N12" s="150"/>
    </row>
    <row r="13" spans="1:14" ht="14.4" customHeight="1" x14ac:dyDescent="0.3">
      <c r="A13" s="487" t="s">
        <v>444</v>
      </c>
      <c r="B13" s="488" t="s">
        <v>480</v>
      </c>
      <c r="C13" s="491">
        <v>8044.8700000000008</v>
      </c>
      <c r="D13" s="491">
        <v>42</v>
      </c>
      <c r="E13" s="491">
        <v>7170.4800000000014</v>
      </c>
      <c r="F13" s="543">
        <v>0.89131086021278161</v>
      </c>
      <c r="G13" s="491">
        <v>38</v>
      </c>
      <c r="H13" s="543">
        <v>0.90476190476190477</v>
      </c>
      <c r="I13" s="491">
        <v>874.38999999999987</v>
      </c>
      <c r="J13" s="543">
        <v>0.10868913978721841</v>
      </c>
      <c r="K13" s="491">
        <v>4</v>
      </c>
      <c r="L13" s="543">
        <v>9.5238095238095233E-2</v>
      </c>
      <c r="M13" s="491" t="s">
        <v>451</v>
      </c>
      <c r="N13" s="150"/>
    </row>
    <row r="14" spans="1:14" ht="14.4" customHeight="1" x14ac:dyDescent="0.3">
      <c r="A14" s="544" t="s">
        <v>242</v>
      </c>
    </row>
    <row r="15" spans="1:14" ht="14.4" customHeight="1" x14ac:dyDescent="0.3">
      <c r="A15" s="545" t="s">
        <v>481</v>
      </c>
    </row>
    <row r="16" spans="1:14" ht="14.4" customHeight="1" x14ac:dyDescent="0.3">
      <c r="A16" s="544" t="s">
        <v>482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29" customWidth="1"/>
    <col min="2" max="2" width="11.109375" style="207" bestFit="1" customWidth="1"/>
    <col min="3" max="3" width="11.109375" style="129" hidden="1" customWidth="1"/>
    <col min="4" max="4" width="7.33203125" style="207" bestFit="1" customWidth="1"/>
    <col min="5" max="5" width="7.33203125" style="129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29" hidden="1" customWidth="1"/>
    <col min="15" max="16384" width="8.88671875" style="129"/>
  </cols>
  <sheetData>
    <row r="1" spans="1:13" ht="18.600000000000001" customHeight="1" thickBot="1" x14ac:dyDescent="0.4">
      <c r="A1" s="368" t="s">
        <v>145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" customHeight="1" thickBot="1" x14ac:dyDescent="0.35">
      <c r="A2" s="232" t="s">
        <v>265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144</v>
      </c>
      <c r="K3" s="384"/>
      <c r="L3" s="384"/>
      <c r="M3" s="386"/>
    </row>
    <row r="4" spans="1:13" ht="14.4" customHeight="1" thickBot="1" x14ac:dyDescent="0.35">
      <c r="A4" s="519" t="s">
        <v>134</v>
      </c>
      <c r="B4" s="520" t="s">
        <v>19</v>
      </c>
      <c r="C4" s="549"/>
      <c r="D4" s="520" t="s">
        <v>20</v>
      </c>
      <c r="E4" s="549"/>
      <c r="F4" s="520" t="s">
        <v>19</v>
      </c>
      <c r="G4" s="523" t="s">
        <v>2</v>
      </c>
      <c r="H4" s="520" t="s">
        <v>20</v>
      </c>
      <c r="I4" s="523" t="s">
        <v>2</v>
      </c>
      <c r="J4" s="520" t="s">
        <v>19</v>
      </c>
      <c r="K4" s="523" t="s">
        <v>2</v>
      </c>
      <c r="L4" s="520" t="s">
        <v>20</v>
      </c>
      <c r="M4" s="524" t="s">
        <v>2</v>
      </c>
    </row>
    <row r="5" spans="1:13" ht="14.4" customHeight="1" x14ac:dyDescent="0.3">
      <c r="A5" s="546" t="s">
        <v>483</v>
      </c>
      <c r="B5" s="537">
        <v>0</v>
      </c>
      <c r="C5" s="499"/>
      <c r="D5" s="550">
        <v>1</v>
      </c>
      <c r="E5" s="553" t="s">
        <v>483</v>
      </c>
      <c r="F5" s="537">
        <v>0</v>
      </c>
      <c r="G5" s="525"/>
      <c r="H5" s="503">
        <v>1</v>
      </c>
      <c r="I5" s="526">
        <v>1</v>
      </c>
      <c r="J5" s="556"/>
      <c r="K5" s="525"/>
      <c r="L5" s="503"/>
      <c r="M5" s="526">
        <v>0</v>
      </c>
    </row>
    <row r="6" spans="1:13" ht="14.4" customHeight="1" x14ac:dyDescent="0.3">
      <c r="A6" s="547" t="s">
        <v>484</v>
      </c>
      <c r="B6" s="538">
        <v>107.27</v>
      </c>
      <c r="C6" s="506">
        <v>1</v>
      </c>
      <c r="D6" s="551">
        <v>1</v>
      </c>
      <c r="E6" s="554" t="s">
        <v>484</v>
      </c>
      <c r="F6" s="538">
        <v>107.27</v>
      </c>
      <c r="G6" s="527">
        <v>1</v>
      </c>
      <c r="H6" s="510">
        <v>1</v>
      </c>
      <c r="I6" s="528">
        <v>1</v>
      </c>
      <c r="J6" s="557"/>
      <c r="K6" s="527">
        <v>0</v>
      </c>
      <c r="L6" s="510"/>
      <c r="M6" s="528">
        <v>0</v>
      </c>
    </row>
    <row r="7" spans="1:13" ht="14.4" customHeight="1" x14ac:dyDescent="0.3">
      <c r="A7" s="547" t="s">
        <v>485</v>
      </c>
      <c r="B7" s="538">
        <v>3672.0500000000006</v>
      </c>
      <c r="C7" s="506">
        <v>1</v>
      </c>
      <c r="D7" s="551">
        <v>17</v>
      </c>
      <c r="E7" s="554" t="s">
        <v>485</v>
      </c>
      <c r="F7" s="538">
        <v>2820.9300000000007</v>
      </c>
      <c r="G7" s="527">
        <v>0.7682166637164527</v>
      </c>
      <c r="H7" s="510">
        <v>14</v>
      </c>
      <c r="I7" s="528">
        <v>0.82352941176470584</v>
      </c>
      <c r="J7" s="557">
        <v>851.11999999999989</v>
      </c>
      <c r="K7" s="527">
        <v>0.23178333628354728</v>
      </c>
      <c r="L7" s="510">
        <v>3</v>
      </c>
      <c r="M7" s="528">
        <v>0.17647058823529413</v>
      </c>
    </row>
    <row r="8" spans="1:13" ht="14.4" customHeight="1" thickBot="1" x14ac:dyDescent="0.35">
      <c r="A8" s="548" t="s">
        <v>486</v>
      </c>
      <c r="B8" s="539">
        <v>4265.55</v>
      </c>
      <c r="C8" s="513">
        <v>1</v>
      </c>
      <c r="D8" s="552">
        <v>23</v>
      </c>
      <c r="E8" s="555" t="s">
        <v>486</v>
      </c>
      <c r="F8" s="539">
        <v>4242.28</v>
      </c>
      <c r="G8" s="529">
        <v>0.99454466598680114</v>
      </c>
      <c r="H8" s="517">
        <v>22</v>
      </c>
      <c r="I8" s="530">
        <v>0.95652173913043481</v>
      </c>
      <c r="J8" s="558">
        <v>23.27</v>
      </c>
      <c r="K8" s="529">
        <v>5.4553340131987668E-3</v>
      </c>
      <c r="L8" s="517">
        <v>1</v>
      </c>
      <c r="M8" s="530">
        <v>4.3478260869565216E-2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45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29" hidden="1" customWidth="1" outlineLevel="1"/>
    <col min="2" max="2" width="28.33203125" style="129" hidden="1" customWidth="1" outlineLevel="1"/>
    <col min="3" max="3" width="9" style="129" customWidth="1" collapsed="1"/>
    <col min="4" max="4" width="18.77734375" style="218" customWidth="1"/>
    <col min="5" max="5" width="13.5546875" style="208" customWidth="1"/>
    <col min="6" max="6" width="6" style="129" bestFit="1" customWidth="1"/>
    <col min="7" max="7" width="8.77734375" style="129" customWidth="1"/>
    <col min="8" max="8" width="5" style="129" bestFit="1" customWidth="1"/>
    <col min="9" max="9" width="8.5546875" style="129" hidden="1" customWidth="1" outlineLevel="1"/>
    <col min="10" max="10" width="25.77734375" style="129" customWidth="1" collapsed="1"/>
    <col min="11" max="11" width="8.77734375" style="129" customWidth="1"/>
    <col min="12" max="12" width="7.77734375" style="209" customWidth="1"/>
    <col min="13" max="13" width="11.109375" style="209" customWidth="1"/>
    <col min="14" max="14" width="7.77734375" style="129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29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29"/>
  </cols>
  <sheetData>
    <row r="1" spans="1:21" ht="18.600000000000001" customHeight="1" thickBot="1" x14ac:dyDescent="0.4">
      <c r="A1" s="359" t="s">
        <v>616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" customHeight="1" thickBot="1" x14ac:dyDescent="0.35">
      <c r="A2" s="232" t="s">
        <v>265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8044.8700000000017</v>
      </c>
      <c r="N3" s="66">
        <f>SUBTOTAL(9,N7:N1048576)</f>
        <v>97</v>
      </c>
      <c r="O3" s="66">
        <f>SUBTOTAL(9,O7:O1048576)</f>
        <v>42</v>
      </c>
      <c r="P3" s="66">
        <f>SUBTOTAL(9,P7:P1048576)</f>
        <v>7170.4800000000023</v>
      </c>
      <c r="Q3" s="67">
        <f>IF(M3=0,0,P3/M3)</f>
        <v>0.89131086021278161</v>
      </c>
      <c r="R3" s="66">
        <f>SUBTOTAL(9,R7:R1048576)</f>
        <v>87</v>
      </c>
      <c r="S3" s="67">
        <f>IF(N3=0,0,R3/N3)</f>
        <v>0.89690721649484539</v>
      </c>
      <c r="T3" s="66">
        <f>SUBTOTAL(9,T7:T1048576)</f>
        <v>38</v>
      </c>
      <c r="U3" s="68">
        <f>IF(O3=0,0,T3/O3)</f>
        <v>0.90476190476190477</v>
      </c>
    </row>
    <row r="4" spans="1:21" ht="14.4" customHeight="1" x14ac:dyDescent="0.3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" customHeight="1" thickBot="1" x14ac:dyDescent="0.3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" customHeight="1" thickBot="1" x14ac:dyDescent="0.35">
      <c r="A6" s="559" t="s">
        <v>23</v>
      </c>
      <c r="B6" s="560" t="s">
        <v>5</v>
      </c>
      <c r="C6" s="559" t="s">
        <v>24</v>
      </c>
      <c r="D6" s="560" t="s">
        <v>6</v>
      </c>
      <c r="E6" s="560" t="s">
        <v>147</v>
      </c>
      <c r="F6" s="560" t="s">
        <v>25</v>
      </c>
      <c r="G6" s="560" t="s">
        <v>26</v>
      </c>
      <c r="H6" s="560" t="s">
        <v>8</v>
      </c>
      <c r="I6" s="560" t="s">
        <v>10</v>
      </c>
      <c r="J6" s="560" t="s">
        <v>11</v>
      </c>
      <c r="K6" s="560" t="s">
        <v>12</v>
      </c>
      <c r="L6" s="560" t="s">
        <v>27</v>
      </c>
      <c r="M6" s="561" t="s">
        <v>14</v>
      </c>
      <c r="N6" s="562" t="s">
        <v>28</v>
      </c>
      <c r="O6" s="562" t="s">
        <v>28</v>
      </c>
      <c r="P6" s="562" t="s">
        <v>14</v>
      </c>
      <c r="Q6" s="562" t="s">
        <v>2</v>
      </c>
      <c r="R6" s="562" t="s">
        <v>28</v>
      </c>
      <c r="S6" s="562" t="s">
        <v>2</v>
      </c>
      <c r="T6" s="562" t="s">
        <v>28</v>
      </c>
      <c r="U6" s="563" t="s">
        <v>2</v>
      </c>
    </row>
    <row r="7" spans="1:21" ht="14.4" customHeight="1" x14ac:dyDescent="0.3">
      <c r="A7" s="564">
        <v>28</v>
      </c>
      <c r="B7" s="565" t="s">
        <v>476</v>
      </c>
      <c r="C7" s="565" t="s">
        <v>478</v>
      </c>
      <c r="D7" s="566" t="s">
        <v>614</v>
      </c>
      <c r="E7" s="567" t="s">
        <v>485</v>
      </c>
      <c r="F7" s="565" t="s">
        <v>477</v>
      </c>
      <c r="G7" s="565" t="s">
        <v>487</v>
      </c>
      <c r="H7" s="565" t="s">
        <v>615</v>
      </c>
      <c r="I7" s="565" t="s">
        <v>488</v>
      </c>
      <c r="J7" s="565" t="s">
        <v>489</v>
      </c>
      <c r="K7" s="565" t="s">
        <v>490</v>
      </c>
      <c r="L7" s="568">
        <v>58.77</v>
      </c>
      <c r="M7" s="568">
        <v>58.77</v>
      </c>
      <c r="N7" s="565">
        <v>1</v>
      </c>
      <c r="O7" s="569">
        <v>1</v>
      </c>
      <c r="P7" s="568">
        <v>58.77</v>
      </c>
      <c r="Q7" s="570">
        <v>1</v>
      </c>
      <c r="R7" s="565">
        <v>1</v>
      </c>
      <c r="S7" s="570">
        <v>1</v>
      </c>
      <c r="T7" s="569">
        <v>1</v>
      </c>
      <c r="U7" s="122">
        <v>1</v>
      </c>
    </row>
    <row r="8" spans="1:21" ht="14.4" customHeight="1" x14ac:dyDescent="0.3">
      <c r="A8" s="571">
        <v>28</v>
      </c>
      <c r="B8" s="572" t="s">
        <v>476</v>
      </c>
      <c r="C8" s="572" t="s">
        <v>478</v>
      </c>
      <c r="D8" s="573" t="s">
        <v>614</v>
      </c>
      <c r="E8" s="574" t="s">
        <v>485</v>
      </c>
      <c r="F8" s="572" t="s">
        <v>477</v>
      </c>
      <c r="G8" s="572" t="s">
        <v>491</v>
      </c>
      <c r="H8" s="572" t="s">
        <v>446</v>
      </c>
      <c r="I8" s="572" t="s">
        <v>492</v>
      </c>
      <c r="J8" s="572" t="s">
        <v>493</v>
      </c>
      <c r="K8" s="572" t="s">
        <v>494</v>
      </c>
      <c r="L8" s="575">
        <v>37.61</v>
      </c>
      <c r="M8" s="575">
        <v>112.83</v>
      </c>
      <c r="N8" s="572">
        <v>3</v>
      </c>
      <c r="O8" s="576">
        <v>0.5</v>
      </c>
      <c r="P8" s="575">
        <v>112.83</v>
      </c>
      <c r="Q8" s="577">
        <v>1</v>
      </c>
      <c r="R8" s="572">
        <v>3</v>
      </c>
      <c r="S8" s="577">
        <v>1</v>
      </c>
      <c r="T8" s="576">
        <v>0.5</v>
      </c>
      <c r="U8" s="578">
        <v>1</v>
      </c>
    </row>
    <row r="9" spans="1:21" ht="14.4" customHeight="1" x14ac:dyDescent="0.3">
      <c r="A9" s="571">
        <v>28</v>
      </c>
      <c r="B9" s="572" t="s">
        <v>476</v>
      </c>
      <c r="C9" s="572" t="s">
        <v>478</v>
      </c>
      <c r="D9" s="573" t="s">
        <v>614</v>
      </c>
      <c r="E9" s="574" t="s">
        <v>485</v>
      </c>
      <c r="F9" s="572" t="s">
        <v>477</v>
      </c>
      <c r="G9" s="572" t="s">
        <v>495</v>
      </c>
      <c r="H9" s="572" t="s">
        <v>446</v>
      </c>
      <c r="I9" s="572" t="s">
        <v>496</v>
      </c>
      <c r="J9" s="572" t="s">
        <v>497</v>
      </c>
      <c r="K9" s="572" t="s">
        <v>498</v>
      </c>
      <c r="L9" s="575">
        <v>56.9</v>
      </c>
      <c r="M9" s="575">
        <v>170.7</v>
      </c>
      <c r="N9" s="572">
        <v>3</v>
      </c>
      <c r="O9" s="576">
        <v>1</v>
      </c>
      <c r="P9" s="575">
        <v>170.7</v>
      </c>
      <c r="Q9" s="577">
        <v>1</v>
      </c>
      <c r="R9" s="572">
        <v>3</v>
      </c>
      <c r="S9" s="577">
        <v>1</v>
      </c>
      <c r="T9" s="576">
        <v>1</v>
      </c>
      <c r="U9" s="578">
        <v>1</v>
      </c>
    </row>
    <row r="10" spans="1:21" ht="14.4" customHeight="1" x14ac:dyDescent="0.3">
      <c r="A10" s="571">
        <v>28</v>
      </c>
      <c r="B10" s="572" t="s">
        <v>476</v>
      </c>
      <c r="C10" s="572" t="s">
        <v>478</v>
      </c>
      <c r="D10" s="573" t="s">
        <v>614</v>
      </c>
      <c r="E10" s="574" t="s">
        <v>485</v>
      </c>
      <c r="F10" s="572" t="s">
        <v>477</v>
      </c>
      <c r="G10" s="572" t="s">
        <v>499</v>
      </c>
      <c r="H10" s="572" t="s">
        <v>446</v>
      </c>
      <c r="I10" s="572" t="s">
        <v>500</v>
      </c>
      <c r="J10" s="572" t="s">
        <v>501</v>
      </c>
      <c r="K10" s="572" t="s">
        <v>502</v>
      </c>
      <c r="L10" s="575">
        <v>107.27</v>
      </c>
      <c r="M10" s="575">
        <v>1287.24</v>
      </c>
      <c r="N10" s="572">
        <v>12</v>
      </c>
      <c r="O10" s="576">
        <v>3.5</v>
      </c>
      <c r="P10" s="575">
        <v>858.16000000000008</v>
      </c>
      <c r="Q10" s="577">
        <v>0.66666666666666674</v>
      </c>
      <c r="R10" s="572">
        <v>8</v>
      </c>
      <c r="S10" s="577">
        <v>0.66666666666666663</v>
      </c>
      <c r="T10" s="576">
        <v>2</v>
      </c>
      <c r="U10" s="578">
        <v>0.5714285714285714</v>
      </c>
    </row>
    <row r="11" spans="1:21" ht="14.4" customHeight="1" x14ac:dyDescent="0.3">
      <c r="A11" s="571">
        <v>28</v>
      </c>
      <c r="B11" s="572" t="s">
        <v>476</v>
      </c>
      <c r="C11" s="572" t="s">
        <v>478</v>
      </c>
      <c r="D11" s="573" t="s">
        <v>614</v>
      </c>
      <c r="E11" s="574" t="s">
        <v>485</v>
      </c>
      <c r="F11" s="572" t="s">
        <v>477</v>
      </c>
      <c r="G11" s="572" t="s">
        <v>499</v>
      </c>
      <c r="H11" s="572" t="s">
        <v>446</v>
      </c>
      <c r="I11" s="572" t="s">
        <v>503</v>
      </c>
      <c r="J11" s="572" t="s">
        <v>501</v>
      </c>
      <c r="K11" s="572" t="s">
        <v>502</v>
      </c>
      <c r="L11" s="575">
        <v>107.27</v>
      </c>
      <c r="M11" s="575">
        <v>214.54</v>
      </c>
      <c r="N11" s="572">
        <v>2</v>
      </c>
      <c r="O11" s="576">
        <v>0.5</v>
      </c>
      <c r="P11" s="575">
        <v>214.54</v>
      </c>
      <c r="Q11" s="577">
        <v>1</v>
      </c>
      <c r="R11" s="572">
        <v>2</v>
      </c>
      <c r="S11" s="577">
        <v>1</v>
      </c>
      <c r="T11" s="576">
        <v>0.5</v>
      </c>
      <c r="U11" s="578">
        <v>1</v>
      </c>
    </row>
    <row r="12" spans="1:21" ht="14.4" customHeight="1" x14ac:dyDescent="0.3">
      <c r="A12" s="571">
        <v>28</v>
      </c>
      <c r="B12" s="572" t="s">
        <v>476</v>
      </c>
      <c r="C12" s="572" t="s">
        <v>478</v>
      </c>
      <c r="D12" s="573" t="s">
        <v>614</v>
      </c>
      <c r="E12" s="574" t="s">
        <v>485</v>
      </c>
      <c r="F12" s="572" t="s">
        <v>477</v>
      </c>
      <c r="G12" s="572" t="s">
        <v>504</v>
      </c>
      <c r="H12" s="572" t="s">
        <v>446</v>
      </c>
      <c r="I12" s="572" t="s">
        <v>505</v>
      </c>
      <c r="J12" s="572" t="s">
        <v>506</v>
      </c>
      <c r="K12" s="572" t="s">
        <v>507</v>
      </c>
      <c r="L12" s="575">
        <v>60.9</v>
      </c>
      <c r="M12" s="575">
        <v>60.9</v>
      </c>
      <c r="N12" s="572">
        <v>1</v>
      </c>
      <c r="O12" s="576">
        <v>1</v>
      </c>
      <c r="P12" s="575">
        <v>60.9</v>
      </c>
      <c r="Q12" s="577">
        <v>1</v>
      </c>
      <c r="R12" s="572">
        <v>1</v>
      </c>
      <c r="S12" s="577">
        <v>1</v>
      </c>
      <c r="T12" s="576">
        <v>1</v>
      </c>
      <c r="U12" s="578">
        <v>1</v>
      </c>
    </row>
    <row r="13" spans="1:21" ht="14.4" customHeight="1" x14ac:dyDescent="0.3">
      <c r="A13" s="571">
        <v>28</v>
      </c>
      <c r="B13" s="572" t="s">
        <v>476</v>
      </c>
      <c r="C13" s="572" t="s">
        <v>478</v>
      </c>
      <c r="D13" s="573" t="s">
        <v>614</v>
      </c>
      <c r="E13" s="574" t="s">
        <v>485</v>
      </c>
      <c r="F13" s="572" t="s">
        <v>477</v>
      </c>
      <c r="G13" s="572" t="s">
        <v>508</v>
      </c>
      <c r="H13" s="572" t="s">
        <v>446</v>
      </c>
      <c r="I13" s="572" t="s">
        <v>509</v>
      </c>
      <c r="J13" s="572" t="s">
        <v>510</v>
      </c>
      <c r="K13" s="572" t="s">
        <v>511</v>
      </c>
      <c r="L13" s="575">
        <v>130.69999999999999</v>
      </c>
      <c r="M13" s="575">
        <v>130.69999999999999</v>
      </c>
      <c r="N13" s="572">
        <v>1</v>
      </c>
      <c r="O13" s="576">
        <v>0.5</v>
      </c>
      <c r="P13" s="575"/>
      <c r="Q13" s="577">
        <v>0</v>
      </c>
      <c r="R13" s="572"/>
      <c r="S13" s="577">
        <v>0</v>
      </c>
      <c r="T13" s="576"/>
      <c r="U13" s="578">
        <v>0</v>
      </c>
    </row>
    <row r="14" spans="1:21" ht="14.4" customHeight="1" x14ac:dyDescent="0.3">
      <c r="A14" s="571">
        <v>28</v>
      </c>
      <c r="B14" s="572" t="s">
        <v>476</v>
      </c>
      <c r="C14" s="572" t="s">
        <v>478</v>
      </c>
      <c r="D14" s="573" t="s">
        <v>614</v>
      </c>
      <c r="E14" s="574" t="s">
        <v>485</v>
      </c>
      <c r="F14" s="572" t="s">
        <v>477</v>
      </c>
      <c r="G14" s="572" t="s">
        <v>512</v>
      </c>
      <c r="H14" s="572" t="s">
        <v>446</v>
      </c>
      <c r="I14" s="572" t="s">
        <v>513</v>
      </c>
      <c r="J14" s="572" t="s">
        <v>514</v>
      </c>
      <c r="K14" s="572" t="s">
        <v>515</v>
      </c>
      <c r="L14" s="575">
        <v>130.36000000000001</v>
      </c>
      <c r="M14" s="575">
        <v>260.72000000000003</v>
      </c>
      <c r="N14" s="572">
        <v>2</v>
      </c>
      <c r="O14" s="576">
        <v>1</v>
      </c>
      <c r="P14" s="575">
        <v>260.72000000000003</v>
      </c>
      <c r="Q14" s="577">
        <v>1</v>
      </c>
      <c r="R14" s="572">
        <v>2</v>
      </c>
      <c r="S14" s="577">
        <v>1</v>
      </c>
      <c r="T14" s="576">
        <v>1</v>
      </c>
      <c r="U14" s="578">
        <v>1</v>
      </c>
    </row>
    <row r="15" spans="1:21" ht="14.4" customHeight="1" x14ac:dyDescent="0.3">
      <c r="A15" s="571">
        <v>28</v>
      </c>
      <c r="B15" s="572" t="s">
        <v>476</v>
      </c>
      <c r="C15" s="572" t="s">
        <v>478</v>
      </c>
      <c r="D15" s="573" t="s">
        <v>614</v>
      </c>
      <c r="E15" s="574" t="s">
        <v>485</v>
      </c>
      <c r="F15" s="572" t="s">
        <v>477</v>
      </c>
      <c r="G15" s="572" t="s">
        <v>512</v>
      </c>
      <c r="H15" s="572" t="s">
        <v>446</v>
      </c>
      <c r="I15" s="572" t="s">
        <v>516</v>
      </c>
      <c r="J15" s="572" t="s">
        <v>514</v>
      </c>
      <c r="K15" s="572" t="s">
        <v>515</v>
      </c>
      <c r="L15" s="575">
        <v>130.36000000000001</v>
      </c>
      <c r="M15" s="575">
        <v>260.72000000000003</v>
      </c>
      <c r="N15" s="572">
        <v>2</v>
      </c>
      <c r="O15" s="576">
        <v>0.5</v>
      </c>
      <c r="P15" s="575">
        <v>260.72000000000003</v>
      </c>
      <c r="Q15" s="577">
        <v>1</v>
      </c>
      <c r="R15" s="572">
        <v>2</v>
      </c>
      <c r="S15" s="577">
        <v>1</v>
      </c>
      <c r="T15" s="576">
        <v>0.5</v>
      </c>
      <c r="U15" s="578">
        <v>1</v>
      </c>
    </row>
    <row r="16" spans="1:21" ht="14.4" customHeight="1" x14ac:dyDescent="0.3">
      <c r="A16" s="571">
        <v>28</v>
      </c>
      <c r="B16" s="572" t="s">
        <v>476</v>
      </c>
      <c r="C16" s="572" t="s">
        <v>478</v>
      </c>
      <c r="D16" s="573" t="s">
        <v>614</v>
      </c>
      <c r="E16" s="574" t="s">
        <v>485</v>
      </c>
      <c r="F16" s="572" t="s">
        <v>477</v>
      </c>
      <c r="G16" s="572" t="s">
        <v>517</v>
      </c>
      <c r="H16" s="572" t="s">
        <v>615</v>
      </c>
      <c r="I16" s="572" t="s">
        <v>518</v>
      </c>
      <c r="J16" s="572" t="s">
        <v>519</v>
      </c>
      <c r="K16" s="572" t="s">
        <v>520</v>
      </c>
      <c r="L16" s="575">
        <v>15.9</v>
      </c>
      <c r="M16" s="575">
        <v>143.10000000000002</v>
      </c>
      <c r="N16" s="572">
        <v>9</v>
      </c>
      <c r="O16" s="576">
        <v>2</v>
      </c>
      <c r="P16" s="575">
        <v>95.4</v>
      </c>
      <c r="Q16" s="577">
        <v>0.66666666666666663</v>
      </c>
      <c r="R16" s="572">
        <v>6</v>
      </c>
      <c r="S16" s="577">
        <v>0.66666666666666663</v>
      </c>
      <c r="T16" s="576">
        <v>1.5</v>
      </c>
      <c r="U16" s="578">
        <v>0.75</v>
      </c>
    </row>
    <row r="17" spans="1:21" ht="14.4" customHeight="1" x14ac:dyDescent="0.3">
      <c r="A17" s="571">
        <v>28</v>
      </c>
      <c r="B17" s="572" t="s">
        <v>476</v>
      </c>
      <c r="C17" s="572" t="s">
        <v>478</v>
      </c>
      <c r="D17" s="573" t="s">
        <v>614</v>
      </c>
      <c r="E17" s="574" t="s">
        <v>485</v>
      </c>
      <c r="F17" s="572" t="s">
        <v>477</v>
      </c>
      <c r="G17" s="572" t="s">
        <v>521</v>
      </c>
      <c r="H17" s="572" t="s">
        <v>615</v>
      </c>
      <c r="I17" s="572" t="s">
        <v>522</v>
      </c>
      <c r="J17" s="572" t="s">
        <v>523</v>
      </c>
      <c r="K17" s="572" t="s">
        <v>524</v>
      </c>
      <c r="L17" s="575">
        <v>63.75</v>
      </c>
      <c r="M17" s="575">
        <v>63.75</v>
      </c>
      <c r="N17" s="572">
        <v>1</v>
      </c>
      <c r="O17" s="576">
        <v>0.5</v>
      </c>
      <c r="P17" s="575">
        <v>63.75</v>
      </c>
      <c r="Q17" s="577">
        <v>1</v>
      </c>
      <c r="R17" s="572">
        <v>1</v>
      </c>
      <c r="S17" s="577">
        <v>1</v>
      </c>
      <c r="T17" s="576">
        <v>0.5</v>
      </c>
      <c r="U17" s="578">
        <v>1</v>
      </c>
    </row>
    <row r="18" spans="1:21" ht="14.4" customHeight="1" x14ac:dyDescent="0.3">
      <c r="A18" s="571">
        <v>28</v>
      </c>
      <c r="B18" s="572" t="s">
        <v>476</v>
      </c>
      <c r="C18" s="572" t="s">
        <v>478</v>
      </c>
      <c r="D18" s="573" t="s">
        <v>614</v>
      </c>
      <c r="E18" s="574" t="s">
        <v>485</v>
      </c>
      <c r="F18" s="572" t="s">
        <v>477</v>
      </c>
      <c r="G18" s="572" t="s">
        <v>525</v>
      </c>
      <c r="H18" s="572" t="s">
        <v>446</v>
      </c>
      <c r="I18" s="572" t="s">
        <v>526</v>
      </c>
      <c r="J18" s="572" t="s">
        <v>527</v>
      </c>
      <c r="K18" s="572" t="s">
        <v>528</v>
      </c>
      <c r="L18" s="575">
        <v>243.64</v>
      </c>
      <c r="M18" s="575">
        <v>243.64</v>
      </c>
      <c r="N18" s="572">
        <v>1</v>
      </c>
      <c r="O18" s="576">
        <v>0.5</v>
      </c>
      <c r="P18" s="575"/>
      <c r="Q18" s="577">
        <v>0</v>
      </c>
      <c r="R18" s="572"/>
      <c r="S18" s="577">
        <v>0</v>
      </c>
      <c r="T18" s="576"/>
      <c r="U18" s="578">
        <v>0</v>
      </c>
    </row>
    <row r="19" spans="1:21" ht="14.4" customHeight="1" x14ac:dyDescent="0.3">
      <c r="A19" s="571">
        <v>28</v>
      </c>
      <c r="B19" s="572" t="s">
        <v>476</v>
      </c>
      <c r="C19" s="572" t="s">
        <v>478</v>
      </c>
      <c r="D19" s="573" t="s">
        <v>614</v>
      </c>
      <c r="E19" s="574" t="s">
        <v>485</v>
      </c>
      <c r="F19" s="572" t="s">
        <v>477</v>
      </c>
      <c r="G19" s="572" t="s">
        <v>529</v>
      </c>
      <c r="H19" s="572" t="s">
        <v>615</v>
      </c>
      <c r="I19" s="572" t="s">
        <v>530</v>
      </c>
      <c r="J19" s="572" t="s">
        <v>531</v>
      </c>
      <c r="K19" s="572" t="s">
        <v>532</v>
      </c>
      <c r="L19" s="575">
        <v>221.48</v>
      </c>
      <c r="M19" s="575">
        <v>664.43999999999994</v>
      </c>
      <c r="N19" s="572">
        <v>3</v>
      </c>
      <c r="O19" s="576">
        <v>1</v>
      </c>
      <c r="P19" s="575">
        <v>664.43999999999994</v>
      </c>
      <c r="Q19" s="577">
        <v>1</v>
      </c>
      <c r="R19" s="572">
        <v>3</v>
      </c>
      <c r="S19" s="577">
        <v>1</v>
      </c>
      <c r="T19" s="576">
        <v>1</v>
      </c>
      <c r="U19" s="578">
        <v>1</v>
      </c>
    </row>
    <row r="20" spans="1:21" ht="14.4" customHeight="1" x14ac:dyDescent="0.3">
      <c r="A20" s="571">
        <v>28</v>
      </c>
      <c r="B20" s="572" t="s">
        <v>476</v>
      </c>
      <c r="C20" s="572" t="s">
        <v>478</v>
      </c>
      <c r="D20" s="573" t="s">
        <v>614</v>
      </c>
      <c r="E20" s="574" t="s">
        <v>485</v>
      </c>
      <c r="F20" s="572" t="s">
        <v>477</v>
      </c>
      <c r="G20" s="572" t="s">
        <v>533</v>
      </c>
      <c r="H20" s="572" t="s">
        <v>615</v>
      </c>
      <c r="I20" s="572" t="s">
        <v>534</v>
      </c>
      <c r="J20" s="572" t="s">
        <v>535</v>
      </c>
      <c r="K20" s="572" t="s">
        <v>536</v>
      </c>
      <c r="L20" s="575">
        <v>0</v>
      </c>
      <c r="M20" s="575">
        <v>0</v>
      </c>
      <c r="N20" s="572">
        <v>1</v>
      </c>
      <c r="O20" s="576">
        <v>0.5</v>
      </c>
      <c r="P20" s="575">
        <v>0</v>
      </c>
      <c r="Q20" s="577"/>
      <c r="R20" s="572">
        <v>1</v>
      </c>
      <c r="S20" s="577">
        <v>1</v>
      </c>
      <c r="T20" s="576">
        <v>0.5</v>
      </c>
      <c r="U20" s="578">
        <v>1</v>
      </c>
    </row>
    <row r="21" spans="1:21" ht="14.4" customHeight="1" x14ac:dyDescent="0.3">
      <c r="A21" s="571">
        <v>28</v>
      </c>
      <c r="B21" s="572" t="s">
        <v>476</v>
      </c>
      <c r="C21" s="572" t="s">
        <v>478</v>
      </c>
      <c r="D21" s="573" t="s">
        <v>614</v>
      </c>
      <c r="E21" s="574" t="s">
        <v>485</v>
      </c>
      <c r="F21" s="572" t="s">
        <v>477</v>
      </c>
      <c r="G21" s="572" t="s">
        <v>533</v>
      </c>
      <c r="H21" s="572" t="s">
        <v>615</v>
      </c>
      <c r="I21" s="572" t="s">
        <v>537</v>
      </c>
      <c r="J21" s="572" t="s">
        <v>535</v>
      </c>
      <c r="K21" s="572" t="s">
        <v>538</v>
      </c>
      <c r="L21" s="575">
        <v>0</v>
      </c>
      <c r="M21" s="575">
        <v>0</v>
      </c>
      <c r="N21" s="572">
        <v>5</v>
      </c>
      <c r="O21" s="576">
        <v>2</v>
      </c>
      <c r="P21" s="575">
        <v>0</v>
      </c>
      <c r="Q21" s="577"/>
      <c r="R21" s="572">
        <v>5</v>
      </c>
      <c r="S21" s="577">
        <v>1</v>
      </c>
      <c r="T21" s="576">
        <v>2</v>
      </c>
      <c r="U21" s="578">
        <v>1</v>
      </c>
    </row>
    <row r="22" spans="1:21" ht="14.4" customHeight="1" x14ac:dyDescent="0.3">
      <c r="A22" s="571">
        <v>28</v>
      </c>
      <c r="B22" s="572" t="s">
        <v>476</v>
      </c>
      <c r="C22" s="572" t="s">
        <v>478</v>
      </c>
      <c r="D22" s="573" t="s">
        <v>614</v>
      </c>
      <c r="E22" s="574" t="s">
        <v>485</v>
      </c>
      <c r="F22" s="572" t="s">
        <v>477</v>
      </c>
      <c r="G22" s="572" t="s">
        <v>539</v>
      </c>
      <c r="H22" s="572" t="s">
        <v>446</v>
      </c>
      <c r="I22" s="572" t="s">
        <v>540</v>
      </c>
      <c r="J22" s="572" t="s">
        <v>541</v>
      </c>
      <c r="K22" s="572" t="s">
        <v>542</v>
      </c>
      <c r="L22" s="575">
        <v>0</v>
      </c>
      <c r="M22" s="575">
        <v>0</v>
      </c>
      <c r="N22" s="572">
        <v>1</v>
      </c>
      <c r="O22" s="576">
        <v>1</v>
      </c>
      <c r="P22" s="575">
        <v>0</v>
      </c>
      <c r="Q22" s="577"/>
      <c r="R22" s="572">
        <v>1</v>
      </c>
      <c r="S22" s="577">
        <v>1</v>
      </c>
      <c r="T22" s="576">
        <v>1</v>
      </c>
      <c r="U22" s="578">
        <v>1</v>
      </c>
    </row>
    <row r="23" spans="1:21" ht="14.4" customHeight="1" x14ac:dyDescent="0.3">
      <c r="A23" s="571">
        <v>28</v>
      </c>
      <c r="B23" s="572" t="s">
        <v>476</v>
      </c>
      <c r="C23" s="572" t="s">
        <v>478</v>
      </c>
      <c r="D23" s="573" t="s">
        <v>614</v>
      </c>
      <c r="E23" s="574" t="s">
        <v>486</v>
      </c>
      <c r="F23" s="572" t="s">
        <v>477</v>
      </c>
      <c r="G23" s="572" t="s">
        <v>543</v>
      </c>
      <c r="H23" s="572" t="s">
        <v>615</v>
      </c>
      <c r="I23" s="572" t="s">
        <v>544</v>
      </c>
      <c r="J23" s="572" t="s">
        <v>545</v>
      </c>
      <c r="K23" s="572" t="s">
        <v>546</v>
      </c>
      <c r="L23" s="575">
        <v>170.52</v>
      </c>
      <c r="M23" s="575">
        <v>341.04</v>
      </c>
      <c r="N23" s="572">
        <v>2</v>
      </c>
      <c r="O23" s="576">
        <v>1</v>
      </c>
      <c r="P23" s="575">
        <v>341.04</v>
      </c>
      <c r="Q23" s="577">
        <v>1</v>
      </c>
      <c r="R23" s="572">
        <v>2</v>
      </c>
      <c r="S23" s="577">
        <v>1</v>
      </c>
      <c r="T23" s="576">
        <v>1</v>
      </c>
      <c r="U23" s="578">
        <v>1</v>
      </c>
    </row>
    <row r="24" spans="1:21" ht="14.4" customHeight="1" x14ac:dyDescent="0.3">
      <c r="A24" s="571">
        <v>28</v>
      </c>
      <c r="B24" s="572" t="s">
        <v>476</v>
      </c>
      <c r="C24" s="572" t="s">
        <v>478</v>
      </c>
      <c r="D24" s="573" t="s">
        <v>614</v>
      </c>
      <c r="E24" s="574" t="s">
        <v>486</v>
      </c>
      <c r="F24" s="572" t="s">
        <v>477</v>
      </c>
      <c r="G24" s="572" t="s">
        <v>547</v>
      </c>
      <c r="H24" s="572" t="s">
        <v>615</v>
      </c>
      <c r="I24" s="572" t="s">
        <v>548</v>
      </c>
      <c r="J24" s="572" t="s">
        <v>549</v>
      </c>
      <c r="K24" s="572" t="s">
        <v>550</v>
      </c>
      <c r="L24" s="575">
        <v>117.55</v>
      </c>
      <c r="M24" s="575">
        <v>117.55</v>
      </c>
      <c r="N24" s="572">
        <v>1</v>
      </c>
      <c r="O24" s="576">
        <v>1</v>
      </c>
      <c r="P24" s="575">
        <v>117.55</v>
      </c>
      <c r="Q24" s="577">
        <v>1</v>
      </c>
      <c r="R24" s="572">
        <v>1</v>
      </c>
      <c r="S24" s="577">
        <v>1</v>
      </c>
      <c r="T24" s="576">
        <v>1</v>
      </c>
      <c r="U24" s="578">
        <v>1</v>
      </c>
    </row>
    <row r="25" spans="1:21" ht="14.4" customHeight="1" x14ac:dyDescent="0.3">
      <c r="A25" s="571">
        <v>28</v>
      </c>
      <c r="B25" s="572" t="s">
        <v>476</v>
      </c>
      <c r="C25" s="572" t="s">
        <v>478</v>
      </c>
      <c r="D25" s="573" t="s">
        <v>614</v>
      </c>
      <c r="E25" s="574" t="s">
        <v>486</v>
      </c>
      <c r="F25" s="572" t="s">
        <v>477</v>
      </c>
      <c r="G25" s="572" t="s">
        <v>487</v>
      </c>
      <c r="H25" s="572" t="s">
        <v>446</v>
      </c>
      <c r="I25" s="572" t="s">
        <v>551</v>
      </c>
      <c r="J25" s="572" t="s">
        <v>552</v>
      </c>
      <c r="K25" s="572" t="s">
        <v>553</v>
      </c>
      <c r="L25" s="575">
        <v>97.96</v>
      </c>
      <c r="M25" s="575">
        <v>97.96</v>
      </c>
      <c r="N25" s="572">
        <v>1</v>
      </c>
      <c r="O25" s="576">
        <v>0.5</v>
      </c>
      <c r="P25" s="575">
        <v>97.96</v>
      </c>
      <c r="Q25" s="577">
        <v>1</v>
      </c>
      <c r="R25" s="572">
        <v>1</v>
      </c>
      <c r="S25" s="577">
        <v>1</v>
      </c>
      <c r="T25" s="576">
        <v>0.5</v>
      </c>
      <c r="U25" s="578">
        <v>1</v>
      </c>
    </row>
    <row r="26" spans="1:21" ht="14.4" customHeight="1" x14ac:dyDescent="0.3">
      <c r="A26" s="571">
        <v>28</v>
      </c>
      <c r="B26" s="572" t="s">
        <v>476</v>
      </c>
      <c r="C26" s="572" t="s">
        <v>478</v>
      </c>
      <c r="D26" s="573" t="s">
        <v>614</v>
      </c>
      <c r="E26" s="574" t="s">
        <v>486</v>
      </c>
      <c r="F26" s="572" t="s">
        <v>477</v>
      </c>
      <c r="G26" s="572" t="s">
        <v>554</v>
      </c>
      <c r="H26" s="572" t="s">
        <v>446</v>
      </c>
      <c r="I26" s="572" t="s">
        <v>555</v>
      </c>
      <c r="J26" s="572" t="s">
        <v>556</v>
      </c>
      <c r="K26" s="572" t="s">
        <v>557</v>
      </c>
      <c r="L26" s="575">
        <v>161.4</v>
      </c>
      <c r="M26" s="575">
        <v>322.8</v>
      </c>
      <c r="N26" s="572">
        <v>2</v>
      </c>
      <c r="O26" s="576">
        <v>1.5</v>
      </c>
      <c r="P26" s="575">
        <v>322.8</v>
      </c>
      <c r="Q26" s="577">
        <v>1</v>
      </c>
      <c r="R26" s="572">
        <v>2</v>
      </c>
      <c r="S26" s="577">
        <v>1</v>
      </c>
      <c r="T26" s="576">
        <v>1.5</v>
      </c>
      <c r="U26" s="578">
        <v>1</v>
      </c>
    </row>
    <row r="27" spans="1:21" ht="14.4" customHeight="1" x14ac:dyDescent="0.3">
      <c r="A27" s="571">
        <v>28</v>
      </c>
      <c r="B27" s="572" t="s">
        <v>476</v>
      </c>
      <c r="C27" s="572" t="s">
        <v>478</v>
      </c>
      <c r="D27" s="573" t="s">
        <v>614</v>
      </c>
      <c r="E27" s="574" t="s">
        <v>486</v>
      </c>
      <c r="F27" s="572" t="s">
        <v>477</v>
      </c>
      <c r="G27" s="572" t="s">
        <v>558</v>
      </c>
      <c r="H27" s="572" t="s">
        <v>446</v>
      </c>
      <c r="I27" s="572" t="s">
        <v>559</v>
      </c>
      <c r="J27" s="572" t="s">
        <v>560</v>
      </c>
      <c r="K27" s="572" t="s">
        <v>561</v>
      </c>
      <c r="L27" s="575">
        <v>159.16999999999999</v>
      </c>
      <c r="M27" s="575">
        <v>159.16999999999999</v>
      </c>
      <c r="N27" s="572">
        <v>1</v>
      </c>
      <c r="O27" s="576">
        <v>0.5</v>
      </c>
      <c r="P27" s="575">
        <v>159.16999999999999</v>
      </c>
      <c r="Q27" s="577">
        <v>1</v>
      </c>
      <c r="R27" s="572">
        <v>1</v>
      </c>
      <c r="S27" s="577">
        <v>1</v>
      </c>
      <c r="T27" s="576">
        <v>0.5</v>
      </c>
      <c r="U27" s="578">
        <v>1</v>
      </c>
    </row>
    <row r="28" spans="1:21" ht="14.4" customHeight="1" x14ac:dyDescent="0.3">
      <c r="A28" s="571">
        <v>28</v>
      </c>
      <c r="B28" s="572" t="s">
        <v>476</v>
      </c>
      <c r="C28" s="572" t="s">
        <v>478</v>
      </c>
      <c r="D28" s="573" t="s">
        <v>614</v>
      </c>
      <c r="E28" s="574" t="s">
        <v>486</v>
      </c>
      <c r="F28" s="572" t="s">
        <v>477</v>
      </c>
      <c r="G28" s="572" t="s">
        <v>562</v>
      </c>
      <c r="H28" s="572" t="s">
        <v>615</v>
      </c>
      <c r="I28" s="572" t="s">
        <v>563</v>
      </c>
      <c r="J28" s="572" t="s">
        <v>564</v>
      </c>
      <c r="K28" s="572" t="s">
        <v>565</v>
      </c>
      <c r="L28" s="575">
        <v>173.12</v>
      </c>
      <c r="M28" s="575">
        <v>519.36</v>
      </c>
      <c r="N28" s="572">
        <v>3</v>
      </c>
      <c r="O28" s="576">
        <v>1</v>
      </c>
      <c r="P28" s="575">
        <v>519.36</v>
      </c>
      <c r="Q28" s="577">
        <v>1</v>
      </c>
      <c r="R28" s="572">
        <v>3</v>
      </c>
      <c r="S28" s="577">
        <v>1</v>
      </c>
      <c r="T28" s="576">
        <v>1</v>
      </c>
      <c r="U28" s="578">
        <v>1</v>
      </c>
    </row>
    <row r="29" spans="1:21" ht="14.4" customHeight="1" x14ac:dyDescent="0.3">
      <c r="A29" s="571">
        <v>28</v>
      </c>
      <c r="B29" s="572" t="s">
        <v>476</v>
      </c>
      <c r="C29" s="572" t="s">
        <v>478</v>
      </c>
      <c r="D29" s="573" t="s">
        <v>614</v>
      </c>
      <c r="E29" s="574" t="s">
        <v>486</v>
      </c>
      <c r="F29" s="572" t="s">
        <v>477</v>
      </c>
      <c r="G29" s="572" t="s">
        <v>499</v>
      </c>
      <c r="H29" s="572" t="s">
        <v>446</v>
      </c>
      <c r="I29" s="572" t="s">
        <v>500</v>
      </c>
      <c r="J29" s="572" t="s">
        <v>501</v>
      </c>
      <c r="K29" s="572" t="s">
        <v>502</v>
      </c>
      <c r="L29" s="575">
        <v>107.27</v>
      </c>
      <c r="M29" s="575">
        <v>1394.51</v>
      </c>
      <c r="N29" s="572">
        <v>13</v>
      </c>
      <c r="O29" s="576">
        <v>3.5</v>
      </c>
      <c r="P29" s="575">
        <v>1394.51</v>
      </c>
      <c r="Q29" s="577">
        <v>1</v>
      </c>
      <c r="R29" s="572">
        <v>13</v>
      </c>
      <c r="S29" s="577">
        <v>1</v>
      </c>
      <c r="T29" s="576">
        <v>3.5</v>
      </c>
      <c r="U29" s="578">
        <v>1</v>
      </c>
    </row>
    <row r="30" spans="1:21" ht="14.4" customHeight="1" x14ac:dyDescent="0.3">
      <c r="A30" s="571">
        <v>28</v>
      </c>
      <c r="B30" s="572" t="s">
        <v>476</v>
      </c>
      <c r="C30" s="572" t="s">
        <v>478</v>
      </c>
      <c r="D30" s="573" t="s">
        <v>614</v>
      </c>
      <c r="E30" s="574" t="s">
        <v>486</v>
      </c>
      <c r="F30" s="572" t="s">
        <v>477</v>
      </c>
      <c r="G30" s="572" t="s">
        <v>566</v>
      </c>
      <c r="H30" s="572" t="s">
        <v>446</v>
      </c>
      <c r="I30" s="572" t="s">
        <v>567</v>
      </c>
      <c r="J30" s="572" t="s">
        <v>568</v>
      </c>
      <c r="K30" s="572" t="s">
        <v>569</v>
      </c>
      <c r="L30" s="575">
        <v>34.15</v>
      </c>
      <c r="M30" s="575">
        <v>204.89999999999998</v>
      </c>
      <c r="N30" s="572">
        <v>6</v>
      </c>
      <c r="O30" s="576">
        <v>2</v>
      </c>
      <c r="P30" s="575">
        <v>204.89999999999998</v>
      </c>
      <c r="Q30" s="577">
        <v>1</v>
      </c>
      <c r="R30" s="572">
        <v>6</v>
      </c>
      <c r="S30" s="577">
        <v>1</v>
      </c>
      <c r="T30" s="576">
        <v>2</v>
      </c>
      <c r="U30" s="578">
        <v>1</v>
      </c>
    </row>
    <row r="31" spans="1:21" ht="14.4" customHeight="1" x14ac:dyDescent="0.3">
      <c r="A31" s="571">
        <v>28</v>
      </c>
      <c r="B31" s="572" t="s">
        <v>476</v>
      </c>
      <c r="C31" s="572" t="s">
        <v>478</v>
      </c>
      <c r="D31" s="573" t="s">
        <v>614</v>
      </c>
      <c r="E31" s="574" t="s">
        <v>486</v>
      </c>
      <c r="F31" s="572" t="s">
        <v>477</v>
      </c>
      <c r="G31" s="572" t="s">
        <v>570</v>
      </c>
      <c r="H31" s="572" t="s">
        <v>446</v>
      </c>
      <c r="I31" s="572" t="s">
        <v>571</v>
      </c>
      <c r="J31" s="572" t="s">
        <v>572</v>
      </c>
      <c r="K31" s="572" t="s">
        <v>573</v>
      </c>
      <c r="L31" s="575">
        <v>48.09</v>
      </c>
      <c r="M31" s="575">
        <v>144.27000000000001</v>
      </c>
      <c r="N31" s="572">
        <v>3</v>
      </c>
      <c r="O31" s="576">
        <v>2.5</v>
      </c>
      <c r="P31" s="575">
        <v>144.27000000000001</v>
      </c>
      <c r="Q31" s="577">
        <v>1</v>
      </c>
      <c r="R31" s="572">
        <v>3</v>
      </c>
      <c r="S31" s="577">
        <v>1</v>
      </c>
      <c r="T31" s="576">
        <v>2.5</v>
      </c>
      <c r="U31" s="578">
        <v>1</v>
      </c>
    </row>
    <row r="32" spans="1:21" ht="14.4" customHeight="1" x14ac:dyDescent="0.3">
      <c r="A32" s="571">
        <v>28</v>
      </c>
      <c r="B32" s="572" t="s">
        <v>476</v>
      </c>
      <c r="C32" s="572" t="s">
        <v>478</v>
      </c>
      <c r="D32" s="573" t="s">
        <v>614</v>
      </c>
      <c r="E32" s="574" t="s">
        <v>486</v>
      </c>
      <c r="F32" s="572" t="s">
        <v>477</v>
      </c>
      <c r="G32" s="572" t="s">
        <v>574</v>
      </c>
      <c r="H32" s="572" t="s">
        <v>446</v>
      </c>
      <c r="I32" s="572" t="s">
        <v>575</v>
      </c>
      <c r="J32" s="572" t="s">
        <v>576</v>
      </c>
      <c r="K32" s="572" t="s">
        <v>577</v>
      </c>
      <c r="L32" s="575">
        <v>98.75</v>
      </c>
      <c r="M32" s="575">
        <v>98.75</v>
      </c>
      <c r="N32" s="572">
        <v>1</v>
      </c>
      <c r="O32" s="576">
        <v>0.5</v>
      </c>
      <c r="P32" s="575">
        <v>98.75</v>
      </c>
      <c r="Q32" s="577">
        <v>1</v>
      </c>
      <c r="R32" s="572">
        <v>1</v>
      </c>
      <c r="S32" s="577">
        <v>1</v>
      </c>
      <c r="T32" s="576">
        <v>0.5</v>
      </c>
      <c r="U32" s="578">
        <v>1</v>
      </c>
    </row>
    <row r="33" spans="1:21" ht="14.4" customHeight="1" x14ac:dyDescent="0.3">
      <c r="A33" s="571">
        <v>28</v>
      </c>
      <c r="B33" s="572" t="s">
        <v>476</v>
      </c>
      <c r="C33" s="572" t="s">
        <v>478</v>
      </c>
      <c r="D33" s="573" t="s">
        <v>614</v>
      </c>
      <c r="E33" s="574" t="s">
        <v>486</v>
      </c>
      <c r="F33" s="572" t="s">
        <v>477</v>
      </c>
      <c r="G33" s="572" t="s">
        <v>574</v>
      </c>
      <c r="H33" s="572" t="s">
        <v>446</v>
      </c>
      <c r="I33" s="572" t="s">
        <v>578</v>
      </c>
      <c r="J33" s="572" t="s">
        <v>579</v>
      </c>
      <c r="K33" s="572" t="s">
        <v>580</v>
      </c>
      <c r="L33" s="575">
        <v>23.27</v>
      </c>
      <c r="M33" s="575">
        <v>23.27</v>
      </c>
      <c r="N33" s="572">
        <v>1</v>
      </c>
      <c r="O33" s="576">
        <v>1</v>
      </c>
      <c r="P33" s="575"/>
      <c r="Q33" s="577">
        <v>0</v>
      </c>
      <c r="R33" s="572"/>
      <c r="S33" s="577">
        <v>0</v>
      </c>
      <c r="T33" s="576"/>
      <c r="U33" s="578">
        <v>0</v>
      </c>
    </row>
    <row r="34" spans="1:21" ht="14.4" customHeight="1" x14ac:dyDescent="0.3">
      <c r="A34" s="571">
        <v>28</v>
      </c>
      <c r="B34" s="572" t="s">
        <v>476</v>
      </c>
      <c r="C34" s="572" t="s">
        <v>478</v>
      </c>
      <c r="D34" s="573" t="s">
        <v>614</v>
      </c>
      <c r="E34" s="574" t="s">
        <v>486</v>
      </c>
      <c r="F34" s="572" t="s">
        <v>477</v>
      </c>
      <c r="G34" s="572" t="s">
        <v>574</v>
      </c>
      <c r="H34" s="572" t="s">
        <v>446</v>
      </c>
      <c r="I34" s="572" t="s">
        <v>581</v>
      </c>
      <c r="J34" s="572" t="s">
        <v>579</v>
      </c>
      <c r="K34" s="572" t="s">
        <v>582</v>
      </c>
      <c r="L34" s="575">
        <v>98.75</v>
      </c>
      <c r="M34" s="575">
        <v>98.75</v>
      </c>
      <c r="N34" s="572">
        <v>1</v>
      </c>
      <c r="O34" s="576">
        <v>1</v>
      </c>
      <c r="P34" s="575">
        <v>98.75</v>
      </c>
      <c r="Q34" s="577">
        <v>1</v>
      </c>
      <c r="R34" s="572">
        <v>1</v>
      </c>
      <c r="S34" s="577">
        <v>1</v>
      </c>
      <c r="T34" s="576">
        <v>1</v>
      </c>
      <c r="U34" s="578">
        <v>1</v>
      </c>
    </row>
    <row r="35" spans="1:21" ht="14.4" customHeight="1" x14ac:dyDescent="0.3">
      <c r="A35" s="571">
        <v>28</v>
      </c>
      <c r="B35" s="572" t="s">
        <v>476</v>
      </c>
      <c r="C35" s="572" t="s">
        <v>478</v>
      </c>
      <c r="D35" s="573" t="s">
        <v>614</v>
      </c>
      <c r="E35" s="574" t="s">
        <v>486</v>
      </c>
      <c r="F35" s="572" t="s">
        <v>477</v>
      </c>
      <c r="G35" s="572" t="s">
        <v>583</v>
      </c>
      <c r="H35" s="572" t="s">
        <v>446</v>
      </c>
      <c r="I35" s="572" t="s">
        <v>584</v>
      </c>
      <c r="J35" s="572" t="s">
        <v>585</v>
      </c>
      <c r="K35" s="572" t="s">
        <v>586</v>
      </c>
      <c r="L35" s="575">
        <v>61.97</v>
      </c>
      <c r="M35" s="575">
        <v>61.97</v>
      </c>
      <c r="N35" s="572">
        <v>1</v>
      </c>
      <c r="O35" s="576">
        <v>1</v>
      </c>
      <c r="P35" s="575">
        <v>61.97</v>
      </c>
      <c r="Q35" s="577">
        <v>1</v>
      </c>
      <c r="R35" s="572">
        <v>1</v>
      </c>
      <c r="S35" s="577">
        <v>1</v>
      </c>
      <c r="T35" s="576">
        <v>1</v>
      </c>
      <c r="U35" s="578">
        <v>1</v>
      </c>
    </row>
    <row r="36" spans="1:21" ht="14.4" customHeight="1" x14ac:dyDescent="0.3">
      <c r="A36" s="571">
        <v>28</v>
      </c>
      <c r="B36" s="572" t="s">
        <v>476</v>
      </c>
      <c r="C36" s="572" t="s">
        <v>478</v>
      </c>
      <c r="D36" s="573" t="s">
        <v>614</v>
      </c>
      <c r="E36" s="574" t="s">
        <v>486</v>
      </c>
      <c r="F36" s="572" t="s">
        <v>477</v>
      </c>
      <c r="G36" s="572" t="s">
        <v>587</v>
      </c>
      <c r="H36" s="572" t="s">
        <v>446</v>
      </c>
      <c r="I36" s="572" t="s">
        <v>588</v>
      </c>
      <c r="J36" s="572" t="s">
        <v>589</v>
      </c>
      <c r="K36" s="572" t="s">
        <v>590</v>
      </c>
      <c r="L36" s="575">
        <v>147.85</v>
      </c>
      <c r="M36" s="575">
        <v>147.85</v>
      </c>
      <c r="N36" s="572">
        <v>1</v>
      </c>
      <c r="O36" s="576">
        <v>1</v>
      </c>
      <c r="P36" s="575">
        <v>147.85</v>
      </c>
      <c r="Q36" s="577">
        <v>1</v>
      </c>
      <c r="R36" s="572">
        <v>1</v>
      </c>
      <c r="S36" s="577">
        <v>1</v>
      </c>
      <c r="T36" s="576">
        <v>1</v>
      </c>
      <c r="U36" s="578">
        <v>1</v>
      </c>
    </row>
    <row r="37" spans="1:21" ht="14.4" customHeight="1" x14ac:dyDescent="0.3">
      <c r="A37" s="571">
        <v>28</v>
      </c>
      <c r="B37" s="572" t="s">
        <v>476</v>
      </c>
      <c r="C37" s="572" t="s">
        <v>478</v>
      </c>
      <c r="D37" s="573" t="s">
        <v>614</v>
      </c>
      <c r="E37" s="574" t="s">
        <v>486</v>
      </c>
      <c r="F37" s="572" t="s">
        <v>477</v>
      </c>
      <c r="G37" s="572" t="s">
        <v>591</v>
      </c>
      <c r="H37" s="572" t="s">
        <v>446</v>
      </c>
      <c r="I37" s="572" t="s">
        <v>592</v>
      </c>
      <c r="J37" s="572" t="s">
        <v>593</v>
      </c>
      <c r="K37" s="572" t="s">
        <v>594</v>
      </c>
      <c r="L37" s="575">
        <v>58.62</v>
      </c>
      <c r="M37" s="575">
        <v>58.62</v>
      </c>
      <c r="N37" s="572">
        <v>1</v>
      </c>
      <c r="O37" s="576">
        <v>0.5</v>
      </c>
      <c r="P37" s="575">
        <v>58.62</v>
      </c>
      <c r="Q37" s="577">
        <v>1</v>
      </c>
      <c r="R37" s="572">
        <v>1</v>
      </c>
      <c r="S37" s="577">
        <v>1</v>
      </c>
      <c r="T37" s="576">
        <v>0.5</v>
      </c>
      <c r="U37" s="578">
        <v>1</v>
      </c>
    </row>
    <row r="38" spans="1:21" ht="14.4" customHeight="1" x14ac:dyDescent="0.3">
      <c r="A38" s="571">
        <v>28</v>
      </c>
      <c r="B38" s="572" t="s">
        <v>476</v>
      </c>
      <c r="C38" s="572" t="s">
        <v>478</v>
      </c>
      <c r="D38" s="573" t="s">
        <v>614</v>
      </c>
      <c r="E38" s="574" t="s">
        <v>486</v>
      </c>
      <c r="F38" s="572" t="s">
        <v>477</v>
      </c>
      <c r="G38" s="572" t="s">
        <v>595</v>
      </c>
      <c r="H38" s="572" t="s">
        <v>446</v>
      </c>
      <c r="I38" s="572" t="s">
        <v>596</v>
      </c>
      <c r="J38" s="572" t="s">
        <v>597</v>
      </c>
      <c r="K38" s="572" t="s">
        <v>598</v>
      </c>
      <c r="L38" s="575">
        <v>38.56</v>
      </c>
      <c r="M38" s="575">
        <v>38.56</v>
      </c>
      <c r="N38" s="572">
        <v>1</v>
      </c>
      <c r="O38" s="576">
        <v>1</v>
      </c>
      <c r="P38" s="575">
        <v>38.56</v>
      </c>
      <c r="Q38" s="577">
        <v>1</v>
      </c>
      <c r="R38" s="572">
        <v>1</v>
      </c>
      <c r="S38" s="577">
        <v>1</v>
      </c>
      <c r="T38" s="576">
        <v>1</v>
      </c>
      <c r="U38" s="578">
        <v>1</v>
      </c>
    </row>
    <row r="39" spans="1:21" ht="14.4" customHeight="1" x14ac:dyDescent="0.3">
      <c r="A39" s="571">
        <v>28</v>
      </c>
      <c r="B39" s="572" t="s">
        <v>476</v>
      </c>
      <c r="C39" s="572" t="s">
        <v>478</v>
      </c>
      <c r="D39" s="573" t="s">
        <v>614</v>
      </c>
      <c r="E39" s="574" t="s">
        <v>486</v>
      </c>
      <c r="F39" s="572" t="s">
        <v>477</v>
      </c>
      <c r="G39" s="572" t="s">
        <v>599</v>
      </c>
      <c r="H39" s="572" t="s">
        <v>446</v>
      </c>
      <c r="I39" s="572" t="s">
        <v>600</v>
      </c>
      <c r="J39" s="572" t="s">
        <v>601</v>
      </c>
      <c r="K39" s="572" t="s">
        <v>602</v>
      </c>
      <c r="L39" s="575">
        <v>0</v>
      </c>
      <c r="M39" s="575">
        <v>0</v>
      </c>
      <c r="N39" s="572">
        <v>1</v>
      </c>
      <c r="O39" s="576">
        <v>0.5</v>
      </c>
      <c r="P39" s="575">
        <v>0</v>
      </c>
      <c r="Q39" s="577"/>
      <c r="R39" s="572">
        <v>1</v>
      </c>
      <c r="S39" s="577">
        <v>1</v>
      </c>
      <c r="T39" s="576">
        <v>0.5</v>
      </c>
      <c r="U39" s="578">
        <v>1</v>
      </c>
    </row>
    <row r="40" spans="1:21" ht="14.4" customHeight="1" x14ac:dyDescent="0.3">
      <c r="A40" s="571">
        <v>28</v>
      </c>
      <c r="B40" s="572" t="s">
        <v>476</v>
      </c>
      <c r="C40" s="572" t="s">
        <v>478</v>
      </c>
      <c r="D40" s="573" t="s">
        <v>614</v>
      </c>
      <c r="E40" s="574" t="s">
        <v>486</v>
      </c>
      <c r="F40" s="572" t="s">
        <v>477</v>
      </c>
      <c r="G40" s="572" t="s">
        <v>521</v>
      </c>
      <c r="H40" s="572" t="s">
        <v>615</v>
      </c>
      <c r="I40" s="572" t="s">
        <v>522</v>
      </c>
      <c r="J40" s="572" t="s">
        <v>523</v>
      </c>
      <c r="K40" s="572" t="s">
        <v>524</v>
      </c>
      <c r="L40" s="575">
        <v>63.75</v>
      </c>
      <c r="M40" s="575">
        <v>127.5</v>
      </c>
      <c r="N40" s="572">
        <v>2</v>
      </c>
      <c r="O40" s="576">
        <v>1</v>
      </c>
      <c r="P40" s="575">
        <v>127.5</v>
      </c>
      <c r="Q40" s="577">
        <v>1</v>
      </c>
      <c r="R40" s="572">
        <v>2</v>
      </c>
      <c r="S40" s="577">
        <v>1</v>
      </c>
      <c r="T40" s="576">
        <v>1</v>
      </c>
      <c r="U40" s="578">
        <v>1</v>
      </c>
    </row>
    <row r="41" spans="1:21" ht="14.4" customHeight="1" x14ac:dyDescent="0.3">
      <c r="A41" s="571">
        <v>28</v>
      </c>
      <c r="B41" s="572" t="s">
        <v>476</v>
      </c>
      <c r="C41" s="572" t="s">
        <v>478</v>
      </c>
      <c r="D41" s="573" t="s">
        <v>614</v>
      </c>
      <c r="E41" s="574" t="s">
        <v>486</v>
      </c>
      <c r="F41" s="572" t="s">
        <v>477</v>
      </c>
      <c r="G41" s="572" t="s">
        <v>539</v>
      </c>
      <c r="H41" s="572" t="s">
        <v>446</v>
      </c>
      <c r="I41" s="572" t="s">
        <v>603</v>
      </c>
      <c r="J41" s="572" t="s">
        <v>604</v>
      </c>
      <c r="K41" s="572" t="s">
        <v>605</v>
      </c>
      <c r="L41" s="575">
        <v>0</v>
      </c>
      <c r="M41" s="575">
        <v>0</v>
      </c>
      <c r="N41" s="572">
        <v>2</v>
      </c>
      <c r="O41" s="576">
        <v>0.5</v>
      </c>
      <c r="P41" s="575">
        <v>0</v>
      </c>
      <c r="Q41" s="577"/>
      <c r="R41" s="572">
        <v>2</v>
      </c>
      <c r="S41" s="577">
        <v>1</v>
      </c>
      <c r="T41" s="576">
        <v>0.5</v>
      </c>
      <c r="U41" s="578">
        <v>1</v>
      </c>
    </row>
    <row r="42" spans="1:21" ht="14.4" customHeight="1" x14ac:dyDescent="0.3">
      <c r="A42" s="571">
        <v>28</v>
      </c>
      <c r="B42" s="572" t="s">
        <v>476</v>
      </c>
      <c r="C42" s="572" t="s">
        <v>478</v>
      </c>
      <c r="D42" s="573" t="s">
        <v>614</v>
      </c>
      <c r="E42" s="574" t="s">
        <v>486</v>
      </c>
      <c r="F42" s="572" t="s">
        <v>477</v>
      </c>
      <c r="G42" s="572" t="s">
        <v>606</v>
      </c>
      <c r="H42" s="572" t="s">
        <v>615</v>
      </c>
      <c r="I42" s="572" t="s">
        <v>607</v>
      </c>
      <c r="J42" s="572" t="s">
        <v>608</v>
      </c>
      <c r="K42" s="572" t="s">
        <v>609</v>
      </c>
      <c r="L42" s="575">
        <v>154.36000000000001</v>
      </c>
      <c r="M42" s="575">
        <v>308.72000000000003</v>
      </c>
      <c r="N42" s="572">
        <v>2</v>
      </c>
      <c r="O42" s="576">
        <v>1.5</v>
      </c>
      <c r="P42" s="575">
        <v>308.72000000000003</v>
      </c>
      <c r="Q42" s="577">
        <v>1</v>
      </c>
      <c r="R42" s="572">
        <v>2</v>
      </c>
      <c r="S42" s="577">
        <v>1</v>
      </c>
      <c r="T42" s="576">
        <v>1.5</v>
      </c>
      <c r="U42" s="578">
        <v>1</v>
      </c>
    </row>
    <row r="43" spans="1:21" ht="14.4" customHeight="1" x14ac:dyDescent="0.3">
      <c r="A43" s="571">
        <v>28</v>
      </c>
      <c r="B43" s="572" t="s">
        <v>476</v>
      </c>
      <c r="C43" s="572" t="s">
        <v>478</v>
      </c>
      <c r="D43" s="573" t="s">
        <v>614</v>
      </c>
      <c r="E43" s="574" t="s">
        <v>483</v>
      </c>
      <c r="F43" s="572" t="s">
        <v>477</v>
      </c>
      <c r="G43" s="572" t="s">
        <v>610</v>
      </c>
      <c r="H43" s="572" t="s">
        <v>446</v>
      </c>
      <c r="I43" s="572" t="s">
        <v>611</v>
      </c>
      <c r="J43" s="572" t="s">
        <v>612</v>
      </c>
      <c r="K43" s="572" t="s">
        <v>613</v>
      </c>
      <c r="L43" s="575">
        <v>0</v>
      </c>
      <c r="M43" s="575">
        <v>0</v>
      </c>
      <c r="N43" s="572">
        <v>1</v>
      </c>
      <c r="O43" s="576">
        <v>0.5</v>
      </c>
      <c r="P43" s="575">
        <v>0</v>
      </c>
      <c r="Q43" s="577"/>
      <c r="R43" s="572">
        <v>1</v>
      </c>
      <c r="S43" s="577">
        <v>1</v>
      </c>
      <c r="T43" s="576">
        <v>0.5</v>
      </c>
      <c r="U43" s="578">
        <v>1</v>
      </c>
    </row>
    <row r="44" spans="1:21" ht="14.4" customHeight="1" x14ac:dyDescent="0.3">
      <c r="A44" s="571">
        <v>28</v>
      </c>
      <c r="B44" s="572" t="s">
        <v>476</v>
      </c>
      <c r="C44" s="572" t="s">
        <v>478</v>
      </c>
      <c r="D44" s="573" t="s">
        <v>614</v>
      </c>
      <c r="E44" s="574" t="s">
        <v>483</v>
      </c>
      <c r="F44" s="572" t="s">
        <v>477</v>
      </c>
      <c r="G44" s="572" t="s">
        <v>533</v>
      </c>
      <c r="H44" s="572" t="s">
        <v>615</v>
      </c>
      <c r="I44" s="572" t="s">
        <v>537</v>
      </c>
      <c r="J44" s="572" t="s">
        <v>535</v>
      </c>
      <c r="K44" s="572" t="s">
        <v>538</v>
      </c>
      <c r="L44" s="575">
        <v>0</v>
      </c>
      <c r="M44" s="575">
        <v>0</v>
      </c>
      <c r="N44" s="572">
        <v>1</v>
      </c>
      <c r="O44" s="576">
        <v>0.5</v>
      </c>
      <c r="P44" s="575">
        <v>0</v>
      </c>
      <c r="Q44" s="577"/>
      <c r="R44" s="572">
        <v>1</v>
      </c>
      <c r="S44" s="577">
        <v>1</v>
      </c>
      <c r="T44" s="576">
        <v>0.5</v>
      </c>
      <c r="U44" s="578">
        <v>1</v>
      </c>
    </row>
    <row r="45" spans="1:21" ht="14.4" customHeight="1" thickBot="1" x14ac:dyDescent="0.35">
      <c r="A45" s="579">
        <v>28</v>
      </c>
      <c r="B45" s="580" t="s">
        <v>476</v>
      </c>
      <c r="C45" s="580" t="s">
        <v>478</v>
      </c>
      <c r="D45" s="581" t="s">
        <v>614</v>
      </c>
      <c r="E45" s="582" t="s">
        <v>484</v>
      </c>
      <c r="F45" s="580" t="s">
        <v>477</v>
      </c>
      <c r="G45" s="580" t="s">
        <v>499</v>
      </c>
      <c r="H45" s="580" t="s">
        <v>446</v>
      </c>
      <c r="I45" s="580" t="s">
        <v>500</v>
      </c>
      <c r="J45" s="580" t="s">
        <v>501</v>
      </c>
      <c r="K45" s="580" t="s">
        <v>502</v>
      </c>
      <c r="L45" s="583">
        <v>107.27</v>
      </c>
      <c r="M45" s="583">
        <v>107.27</v>
      </c>
      <c r="N45" s="580">
        <v>1</v>
      </c>
      <c r="O45" s="584">
        <v>1</v>
      </c>
      <c r="P45" s="583">
        <v>107.27</v>
      </c>
      <c r="Q45" s="585">
        <v>1</v>
      </c>
      <c r="R45" s="580">
        <v>1</v>
      </c>
      <c r="S45" s="585">
        <v>1</v>
      </c>
      <c r="T45" s="584">
        <v>1</v>
      </c>
      <c r="U45" s="586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29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29" customWidth="1"/>
    <col min="8" max="16384" width="8.88671875" style="129"/>
  </cols>
  <sheetData>
    <row r="1" spans="1:6" ht="37.799999999999997" customHeight="1" thickBot="1" x14ac:dyDescent="0.4">
      <c r="A1" s="367" t="s">
        <v>617</v>
      </c>
      <c r="B1" s="368"/>
      <c r="C1" s="368"/>
      <c r="D1" s="368"/>
      <c r="E1" s="368"/>
      <c r="F1" s="368"/>
    </row>
    <row r="2" spans="1:6" ht="14.4" customHeight="1" thickBot="1" x14ac:dyDescent="0.35">
      <c r="A2" s="232" t="s">
        <v>265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" customHeight="1" thickBot="1" x14ac:dyDescent="0.35">
      <c r="A4" s="587" t="s">
        <v>160</v>
      </c>
      <c r="B4" s="588" t="s">
        <v>14</v>
      </c>
      <c r="C4" s="589" t="s">
        <v>2</v>
      </c>
      <c r="D4" s="588" t="s">
        <v>14</v>
      </c>
      <c r="E4" s="589" t="s">
        <v>2</v>
      </c>
      <c r="F4" s="590" t="s">
        <v>14</v>
      </c>
    </row>
    <row r="5" spans="1:6" ht="14.4" customHeight="1" x14ac:dyDescent="0.3">
      <c r="A5" s="603" t="s">
        <v>485</v>
      </c>
      <c r="B5" s="116"/>
      <c r="C5" s="570">
        <v>0</v>
      </c>
      <c r="D5" s="116">
        <v>930.06</v>
      </c>
      <c r="E5" s="570">
        <v>1</v>
      </c>
      <c r="F5" s="591">
        <v>930.06</v>
      </c>
    </row>
    <row r="6" spans="1:6" ht="14.4" customHeight="1" x14ac:dyDescent="0.3">
      <c r="A6" s="604" t="s">
        <v>483</v>
      </c>
      <c r="B6" s="592"/>
      <c r="C6" s="577"/>
      <c r="D6" s="592">
        <v>0</v>
      </c>
      <c r="E6" s="577"/>
      <c r="F6" s="593">
        <v>0</v>
      </c>
    </row>
    <row r="7" spans="1:6" ht="14.4" customHeight="1" thickBot="1" x14ac:dyDescent="0.35">
      <c r="A7" s="605" t="s">
        <v>486</v>
      </c>
      <c r="B7" s="596"/>
      <c r="C7" s="597">
        <v>0</v>
      </c>
      <c r="D7" s="596">
        <v>1414.17</v>
      </c>
      <c r="E7" s="597">
        <v>1</v>
      </c>
      <c r="F7" s="598">
        <v>1414.17</v>
      </c>
    </row>
    <row r="8" spans="1:6" ht="14.4" customHeight="1" thickBot="1" x14ac:dyDescent="0.35">
      <c r="A8" s="599" t="s">
        <v>3</v>
      </c>
      <c r="B8" s="600"/>
      <c r="C8" s="601">
        <v>0</v>
      </c>
      <c r="D8" s="600">
        <v>2344.23</v>
      </c>
      <c r="E8" s="601">
        <v>1</v>
      </c>
      <c r="F8" s="602">
        <v>2344.23</v>
      </c>
    </row>
    <row r="9" spans="1:6" ht="14.4" customHeight="1" thickBot="1" x14ac:dyDescent="0.35"/>
    <row r="10" spans="1:6" ht="14.4" customHeight="1" x14ac:dyDescent="0.3">
      <c r="A10" s="603" t="s">
        <v>618</v>
      </c>
      <c r="B10" s="116"/>
      <c r="C10" s="570">
        <v>0</v>
      </c>
      <c r="D10" s="116">
        <v>58.77</v>
      </c>
      <c r="E10" s="570">
        <v>1</v>
      </c>
      <c r="F10" s="591">
        <v>58.77</v>
      </c>
    </row>
    <row r="11" spans="1:6" ht="14.4" customHeight="1" x14ac:dyDescent="0.3">
      <c r="A11" s="604" t="s">
        <v>619</v>
      </c>
      <c r="B11" s="592"/>
      <c r="C11" s="577">
        <v>0</v>
      </c>
      <c r="D11" s="592">
        <v>191.25</v>
      </c>
      <c r="E11" s="577">
        <v>1</v>
      </c>
      <c r="F11" s="593">
        <v>191.25</v>
      </c>
    </row>
    <row r="12" spans="1:6" ht="14.4" customHeight="1" x14ac:dyDescent="0.3">
      <c r="A12" s="604" t="s">
        <v>620</v>
      </c>
      <c r="B12" s="592"/>
      <c r="C12" s="577">
        <v>0</v>
      </c>
      <c r="D12" s="592">
        <v>143.10000000000002</v>
      </c>
      <c r="E12" s="577">
        <v>1</v>
      </c>
      <c r="F12" s="593">
        <v>143.10000000000002</v>
      </c>
    </row>
    <row r="13" spans="1:6" ht="14.4" customHeight="1" x14ac:dyDescent="0.3">
      <c r="A13" s="604" t="s">
        <v>621</v>
      </c>
      <c r="B13" s="592"/>
      <c r="C13" s="577">
        <v>0</v>
      </c>
      <c r="D13" s="592">
        <v>664.43999999999994</v>
      </c>
      <c r="E13" s="577">
        <v>1</v>
      </c>
      <c r="F13" s="593">
        <v>664.43999999999994</v>
      </c>
    </row>
    <row r="14" spans="1:6" ht="14.4" customHeight="1" x14ac:dyDescent="0.3">
      <c r="A14" s="604" t="s">
        <v>622</v>
      </c>
      <c r="B14" s="592"/>
      <c r="C14" s="577">
        <v>0</v>
      </c>
      <c r="D14" s="592">
        <v>117.55</v>
      </c>
      <c r="E14" s="577">
        <v>1</v>
      </c>
      <c r="F14" s="593">
        <v>117.55</v>
      </c>
    </row>
    <row r="15" spans="1:6" ht="14.4" customHeight="1" x14ac:dyDescent="0.3">
      <c r="A15" s="604" t="s">
        <v>623</v>
      </c>
      <c r="B15" s="592"/>
      <c r="C15" s="577">
        <v>0</v>
      </c>
      <c r="D15" s="592">
        <v>341.04</v>
      </c>
      <c r="E15" s="577">
        <v>1</v>
      </c>
      <c r="F15" s="593">
        <v>341.04</v>
      </c>
    </row>
    <row r="16" spans="1:6" ht="14.4" customHeight="1" x14ac:dyDescent="0.3">
      <c r="A16" s="604" t="s">
        <v>624</v>
      </c>
      <c r="B16" s="592"/>
      <c r="C16" s="577">
        <v>0</v>
      </c>
      <c r="D16" s="592">
        <v>308.72000000000003</v>
      </c>
      <c r="E16" s="577">
        <v>1</v>
      </c>
      <c r="F16" s="593">
        <v>308.72000000000003</v>
      </c>
    </row>
    <row r="17" spans="1:6" ht="14.4" customHeight="1" x14ac:dyDescent="0.3">
      <c r="A17" s="604" t="s">
        <v>625</v>
      </c>
      <c r="B17" s="592"/>
      <c r="C17" s="577">
        <v>0</v>
      </c>
      <c r="D17" s="592">
        <v>519.36</v>
      </c>
      <c r="E17" s="577">
        <v>1</v>
      </c>
      <c r="F17" s="593">
        <v>519.36</v>
      </c>
    </row>
    <row r="18" spans="1:6" ht="14.4" customHeight="1" thickBot="1" x14ac:dyDescent="0.35">
      <c r="A18" s="605" t="s">
        <v>626</v>
      </c>
      <c r="B18" s="596"/>
      <c r="C18" s="597"/>
      <c r="D18" s="596">
        <v>0</v>
      </c>
      <c r="E18" s="597"/>
      <c r="F18" s="598">
        <v>0</v>
      </c>
    </row>
    <row r="19" spans="1:6" ht="14.4" customHeight="1" thickBot="1" x14ac:dyDescent="0.35">
      <c r="A19" s="599" t="s">
        <v>3</v>
      </c>
      <c r="B19" s="600"/>
      <c r="C19" s="601">
        <v>0</v>
      </c>
      <c r="D19" s="600">
        <v>2344.23</v>
      </c>
      <c r="E19" s="601">
        <v>1</v>
      </c>
      <c r="F19" s="602">
        <v>2344.23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{7074360A-68D0-4CCF-8C56-608ECFBF001F}</x14:id>
        </ext>
      </extLst>
    </cfRule>
  </conditionalFormatting>
  <conditionalFormatting sqref="F10:F1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{8F364A6C-27A8-4C2E-B48F-0DAC0BDF02C1}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074360A-68D0-4CCF-8C56-608ECFBF001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F5:F7</xm:sqref>
        </x14:conditionalFormatting>
        <x14:conditionalFormatting xmlns:xm="http://schemas.microsoft.com/office/excel/2006/main">
          <x14:cfRule type="dataBar" id="{8F364A6C-27A8-4C2E-B48F-0DAC0BDF02C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F10:F18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29" customWidth="1"/>
    <col min="2" max="2" width="8.88671875" style="129" bestFit="1" customWidth="1"/>
    <col min="3" max="3" width="7" style="129" bestFit="1" customWidth="1"/>
    <col min="4" max="5" width="22.21875" style="129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29"/>
  </cols>
  <sheetData>
    <row r="1" spans="1:13" ht="18.600000000000001" customHeight="1" thickBot="1" x14ac:dyDescent="0.4">
      <c r="A1" s="368" t="s">
        <v>636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" customHeight="1" thickBot="1" x14ac:dyDescent="0.35">
      <c r="A2" s="232" t="s">
        <v>265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31</v>
      </c>
      <c r="J3" s="43">
        <f>SUBTOTAL(9,J6:J1048576)</f>
        <v>2344.23</v>
      </c>
      <c r="K3" s="44">
        <f>IF(M3=0,0,J3/M3)</f>
        <v>1</v>
      </c>
      <c r="L3" s="43">
        <f>SUBTOTAL(9,L6:L1048576)</f>
        <v>31</v>
      </c>
      <c r="M3" s="45">
        <f>SUBTOTAL(9,M6:M1048576)</f>
        <v>2344.23</v>
      </c>
    </row>
    <row r="4" spans="1:13" ht="14.4" customHeight="1" thickBot="1" x14ac:dyDescent="0.3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" customHeight="1" thickBot="1" x14ac:dyDescent="0.35">
      <c r="A5" s="587" t="s">
        <v>134</v>
      </c>
      <c r="B5" s="607" t="s">
        <v>130</v>
      </c>
      <c r="C5" s="607" t="s">
        <v>70</v>
      </c>
      <c r="D5" s="607" t="s">
        <v>131</v>
      </c>
      <c r="E5" s="607" t="s">
        <v>132</v>
      </c>
      <c r="F5" s="608" t="s">
        <v>28</v>
      </c>
      <c r="G5" s="608" t="s">
        <v>14</v>
      </c>
      <c r="H5" s="589" t="s">
        <v>133</v>
      </c>
      <c r="I5" s="588" t="s">
        <v>28</v>
      </c>
      <c r="J5" s="608" t="s">
        <v>14</v>
      </c>
      <c r="K5" s="589" t="s">
        <v>133</v>
      </c>
      <c r="L5" s="588" t="s">
        <v>28</v>
      </c>
      <c r="M5" s="609" t="s">
        <v>14</v>
      </c>
    </row>
    <row r="6" spans="1:13" ht="14.4" customHeight="1" x14ac:dyDescent="0.3">
      <c r="A6" s="564" t="s">
        <v>483</v>
      </c>
      <c r="B6" s="565" t="s">
        <v>627</v>
      </c>
      <c r="C6" s="565" t="s">
        <v>537</v>
      </c>
      <c r="D6" s="565" t="s">
        <v>535</v>
      </c>
      <c r="E6" s="565" t="s">
        <v>538</v>
      </c>
      <c r="F6" s="116"/>
      <c r="G6" s="116"/>
      <c r="H6" s="570"/>
      <c r="I6" s="116">
        <v>1</v>
      </c>
      <c r="J6" s="116">
        <v>0</v>
      </c>
      <c r="K6" s="570"/>
      <c r="L6" s="116">
        <v>1</v>
      </c>
      <c r="M6" s="591">
        <v>0</v>
      </c>
    </row>
    <row r="7" spans="1:13" ht="14.4" customHeight="1" x14ac:dyDescent="0.3">
      <c r="A7" s="571" t="s">
        <v>485</v>
      </c>
      <c r="B7" s="572" t="s">
        <v>628</v>
      </c>
      <c r="C7" s="572" t="s">
        <v>518</v>
      </c>
      <c r="D7" s="572" t="s">
        <v>519</v>
      </c>
      <c r="E7" s="572" t="s">
        <v>520</v>
      </c>
      <c r="F7" s="592"/>
      <c r="G7" s="592"/>
      <c r="H7" s="577">
        <v>0</v>
      </c>
      <c r="I7" s="592">
        <v>9</v>
      </c>
      <c r="J7" s="592">
        <v>143.10000000000002</v>
      </c>
      <c r="K7" s="577">
        <v>1</v>
      </c>
      <c r="L7" s="592">
        <v>9</v>
      </c>
      <c r="M7" s="593">
        <v>143.10000000000002</v>
      </c>
    </row>
    <row r="8" spans="1:13" ht="14.4" customHeight="1" x14ac:dyDescent="0.3">
      <c r="A8" s="571" t="s">
        <v>485</v>
      </c>
      <c r="B8" s="572" t="s">
        <v>629</v>
      </c>
      <c r="C8" s="572" t="s">
        <v>530</v>
      </c>
      <c r="D8" s="572" t="s">
        <v>531</v>
      </c>
      <c r="E8" s="572" t="s">
        <v>532</v>
      </c>
      <c r="F8" s="592"/>
      <c r="G8" s="592"/>
      <c r="H8" s="577">
        <v>0</v>
      </c>
      <c r="I8" s="592">
        <v>3</v>
      </c>
      <c r="J8" s="592">
        <v>664.43999999999994</v>
      </c>
      <c r="K8" s="577">
        <v>1</v>
      </c>
      <c r="L8" s="592">
        <v>3</v>
      </c>
      <c r="M8" s="593">
        <v>664.43999999999994</v>
      </c>
    </row>
    <row r="9" spans="1:13" ht="14.4" customHeight="1" x14ac:dyDescent="0.3">
      <c r="A9" s="571" t="s">
        <v>485</v>
      </c>
      <c r="B9" s="572" t="s">
        <v>627</v>
      </c>
      <c r="C9" s="572" t="s">
        <v>534</v>
      </c>
      <c r="D9" s="572" t="s">
        <v>535</v>
      </c>
      <c r="E9" s="572" t="s">
        <v>536</v>
      </c>
      <c r="F9" s="592"/>
      <c r="G9" s="592"/>
      <c r="H9" s="577"/>
      <c r="I9" s="592">
        <v>1</v>
      </c>
      <c r="J9" s="592">
        <v>0</v>
      </c>
      <c r="K9" s="577"/>
      <c r="L9" s="592">
        <v>1</v>
      </c>
      <c r="M9" s="593">
        <v>0</v>
      </c>
    </row>
    <row r="10" spans="1:13" ht="14.4" customHeight="1" x14ac:dyDescent="0.3">
      <c r="A10" s="571" t="s">
        <v>485</v>
      </c>
      <c r="B10" s="572" t="s">
        <v>627</v>
      </c>
      <c r="C10" s="572" t="s">
        <v>537</v>
      </c>
      <c r="D10" s="572" t="s">
        <v>535</v>
      </c>
      <c r="E10" s="572" t="s">
        <v>538</v>
      </c>
      <c r="F10" s="592"/>
      <c r="G10" s="592"/>
      <c r="H10" s="577"/>
      <c r="I10" s="592">
        <v>5</v>
      </c>
      <c r="J10" s="592">
        <v>0</v>
      </c>
      <c r="K10" s="577"/>
      <c r="L10" s="592">
        <v>5</v>
      </c>
      <c r="M10" s="593">
        <v>0</v>
      </c>
    </row>
    <row r="11" spans="1:13" ht="14.4" customHeight="1" x14ac:dyDescent="0.3">
      <c r="A11" s="571" t="s">
        <v>485</v>
      </c>
      <c r="B11" s="572" t="s">
        <v>630</v>
      </c>
      <c r="C11" s="572" t="s">
        <v>522</v>
      </c>
      <c r="D11" s="572" t="s">
        <v>523</v>
      </c>
      <c r="E11" s="572" t="s">
        <v>524</v>
      </c>
      <c r="F11" s="592"/>
      <c r="G11" s="592"/>
      <c r="H11" s="577">
        <v>0</v>
      </c>
      <c r="I11" s="592">
        <v>1</v>
      </c>
      <c r="J11" s="592">
        <v>63.75</v>
      </c>
      <c r="K11" s="577">
        <v>1</v>
      </c>
      <c r="L11" s="592">
        <v>1</v>
      </c>
      <c r="M11" s="593">
        <v>63.75</v>
      </c>
    </row>
    <row r="12" spans="1:13" ht="14.4" customHeight="1" x14ac:dyDescent="0.3">
      <c r="A12" s="571" t="s">
        <v>485</v>
      </c>
      <c r="B12" s="572" t="s">
        <v>631</v>
      </c>
      <c r="C12" s="572" t="s">
        <v>488</v>
      </c>
      <c r="D12" s="572" t="s">
        <v>489</v>
      </c>
      <c r="E12" s="572" t="s">
        <v>490</v>
      </c>
      <c r="F12" s="592"/>
      <c r="G12" s="592"/>
      <c r="H12" s="577">
        <v>0</v>
      </c>
      <c r="I12" s="592">
        <v>1</v>
      </c>
      <c r="J12" s="592">
        <v>58.77</v>
      </c>
      <c r="K12" s="577">
        <v>1</v>
      </c>
      <c r="L12" s="592">
        <v>1</v>
      </c>
      <c r="M12" s="593">
        <v>58.77</v>
      </c>
    </row>
    <row r="13" spans="1:13" ht="14.4" customHeight="1" x14ac:dyDescent="0.3">
      <c r="A13" s="571" t="s">
        <v>486</v>
      </c>
      <c r="B13" s="572" t="s">
        <v>632</v>
      </c>
      <c r="C13" s="572" t="s">
        <v>607</v>
      </c>
      <c r="D13" s="572" t="s">
        <v>608</v>
      </c>
      <c r="E13" s="572" t="s">
        <v>609</v>
      </c>
      <c r="F13" s="592"/>
      <c r="G13" s="592"/>
      <c r="H13" s="577">
        <v>0</v>
      </c>
      <c r="I13" s="592">
        <v>2</v>
      </c>
      <c r="J13" s="592">
        <v>308.72000000000003</v>
      </c>
      <c r="K13" s="577">
        <v>1</v>
      </c>
      <c r="L13" s="592">
        <v>2</v>
      </c>
      <c r="M13" s="593">
        <v>308.72000000000003</v>
      </c>
    </row>
    <row r="14" spans="1:13" ht="14.4" customHeight="1" x14ac:dyDescent="0.3">
      <c r="A14" s="571" t="s">
        <v>486</v>
      </c>
      <c r="B14" s="572" t="s">
        <v>633</v>
      </c>
      <c r="C14" s="572" t="s">
        <v>544</v>
      </c>
      <c r="D14" s="572" t="s">
        <v>545</v>
      </c>
      <c r="E14" s="572" t="s">
        <v>546</v>
      </c>
      <c r="F14" s="592"/>
      <c r="G14" s="592"/>
      <c r="H14" s="577">
        <v>0</v>
      </c>
      <c r="I14" s="592">
        <v>2</v>
      </c>
      <c r="J14" s="592">
        <v>341.04</v>
      </c>
      <c r="K14" s="577">
        <v>1</v>
      </c>
      <c r="L14" s="592">
        <v>2</v>
      </c>
      <c r="M14" s="593">
        <v>341.04</v>
      </c>
    </row>
    <row r="15" spans="1:13" ht="14.4" customHeight="1" x14ac:dyDescent="0.3">
      <c r="A15" s="571" t="s">
        <v>486</v>
      </c>
      <c r="B15" s="572" t="s">
        <v>634</v>
      </c>
      <c r="C15" s="572" t="s">
        <v>563</v>
      </c>
      <c r="D15" s="572" t="s">
        <v>564</v>
      </c>
      <c r="E15" s="572" t="s">
        <v>565</v>
      </c>
      <c r="F15" s="592"/>
      <c r="G15" s="592"/>
      <c r="H15" s="577">
        <v>0</v>
      </c>
      <c r="I15" s="592">
        <v>3</v>
      </c>
      <c r="J15" s="592">
        <v>519.36</v>
      </c>
      <c r="K15" s="577">
        <v>1</v>
      </c>
      <c r="L15" s="592">
        <v>3</v>
      </c>
      <c r="M15" s="593">
        <v>519.36</v>
      </c>
    </row>
    <row r="16" spans="1:13" ht="14.4" customHeight="1" x14ac:dyDescent="0.3">
      <c r="A16" s="571" t="s">
        <v>486</v>
      </c>
      <c r="B16" s="572" t="s">
        <v>630</v>
      </c>
      <c r="C16" s="572" t="s">
        <v>522</v>
      </c>
      <c r="D16" s="572" t="s">
        <v>523</v>
      </c>
      <c r="E16" s="572" t="s">
        <v>524</v>
      </c>
      <c r="F16" s="592"/>
      <c r="G16" s="592"/>
      <c r="H16" s="577">
        <v>0</v>
      </c>
      <c r="I16" s="592">
        <v>2</v>
      </c>
      <c r="J16" s="592">
        <v>127.5</v>
      </c>
      <c r="K16" s="577">
        <v>1</v>
      </c>
      <c r="L16" s="592">
        <v>2</v>
      </c>
      <c r="M16" s="593">
        <v>127.5</v>
      </c>
    </row>
    <row r="17" spans="1:13" ht="14.4" customHeight="1" thickBot="1" x14ac:dyDescent="0.35">
      <c r="A17" s="579" t="s">
        <v>486</v>
      </c>
      <c r="B17" s="580" t="s">
        <v>635</v>
      </c>
      <c r="C17" s="580" t="s">
        <v>548</v>
      </c>
      <c r="D17" s="580" t="s">
        <v>549</v>
      </c>
      <c r="E17" s="580" t="s">
        <v>550</v>
      </c>
      <c r="F17" s="594"/>
      <c r="G17" s="594"/>
      <c r="H17" s="585">
        <v>0</v>
      </c>
      <c r="I17" s="594">
        <v>1</v>
      </c>
      <c r="J17" s="594">
        <v>117.55</v>
      </c>
      <c r="K17" s="585">
        <v>1</v>
      </c>
      <c r="L17" s="594">
        <v>1</v>
      </c>
      <c r="M17" s="595">
        <v>117.55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138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265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38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444</v>
      </c>
      <c r="B5" s="488" t="s">
        <v>445</v>
      </c>
      <c r="C5" s="489" t="s">
        <v>446</v>
      </c>
      <c r="D5" s="489" t="s">
        <v>446</v>
      </c>
      <c r="E5" s="489"/>
      <c r="F5" s="489" t="s">
        <v>446</v>
      </c>
      <c r="G5" s="489" t="s">
        <v>446</v>
      </c>
      <c r="H5" s="489" t="s">
        <v>446</v>
      </c>
      <c r="I5" s="490" t="s">
        <v>446</v>
      </c>
      <c r="J5" s="491" t="s">
        <v>68</v>
      </c>
    </row>
    <row r="6" spans="1:10" ht="14.4" customHeight="1" x14ac:dyDescent="0.3">
      <c r="A6" s="487" t="s">
        <v>444</v>
      </c>
      <c r="B6" s="488" t="s">
        <v>637</v>
      </c>
      <c r="C6" s="489">
        <v>1749.8815799999995</v>
      </c>
      <c r="D6" s="489">
        <v>1842.7615600000004</v>
      </c>
      <c r="E6" s="489"/>
      <c r="F6" s="489">
        <v>1548.86285</v>
      </c>
      <c r="G6" s="489">
        <v>2100</v>
      </c>
      <c r="H6" s="489">
        <v>-551.13715000000002</v>
      </c>
      <c r="I6" s="490">
        <v>0.73755373809523805</v>
      </c>
      <c r="J6" s="491" t="s">
        <v>1</v>
      </c>
    </row>
    <row r="7" spans="1:10" ht="14.4" customHeight="1" x14ac:dyDescent="0.3">
      <c r="A7" s="487" t="s">
        <v>444</v>
      </c>
      <c r="B7" s="488" t="s">
        <v>638</v>
      </c>
      <c r="C7" s="489">
        <v>78.859500000000011</v>
      </c>
      <c r="D7" s="489">
        <v>190.74561999999995</v>
      </c>
      <c r="E7" s="489"/>
      <c r="F7" s="489">
        <v>82.937289999999976</v>
      </c>
      <c r="G7" s="489">
        <v>175.00000433349609</v>
      </c>
      <c r="H7" s="489">
        <v>-92.062714333496118</v>
      </c>
      <c r="I7" s="490">
        <v>0.47392735969278638</v>
      </c>
      <c r="J7" s="491" t="s">
        <v>1</v>
      </c>
    </row>
    <row r="8" spans="1:10" ht="14.4" customHeight="1" x14ac:dyDescent="0.3">
      <c r="A8" s="487" t="s">
        <v>444</v>
      </c>
      <c r="B8" s="488" t="s">
        <v>639</v>
      </c>
      <c r="C8" s="489">
        <v>3.9062299999999999</v>
      </c>
      <c r="D8" s="489">
        <v>5.7597999999999994</v>
      </c>
      <c r="E8" s="489"/>
      <c r="F8" s="489">
        <v>2.9082400000000002</v>
      </c>
      <c r="G8" s="489">
        <v>10</v>
      </c>
      <c r="H8" s="489">
        <v>-7.0917599999999998</v>
      </c>
      <c r="I8" s="490">
        <v>0.29082400000000003</v>
      </c>
      <c r="J8" s="491" t="s">
        <v>1</v>
      </c>
    </row>
    <row r="9" spans="1:10" ht="14.4" customHeight="1" x14ac:dyDescent="0.3">
      <c r="A9" s="487" t="s">
        <v>444</v>
      </c>
      <c r="B9" s="488" t="s">
        <v>640</v>
      </c>
      <c r="C9" s="489">
        <v>51.596260000000001</v>
      </c>
      <c r="D9" s="489">
        <v>98.224249999999998</v>
      </c>
      <c r="E9" s="489"/>
      <c r="F9" s="489">
        <v>22.516949999999998</v>
      </c>
      <c r="G9" s="489">
        <v>95.565634765624992</v>
      </c>
      <c r="H9" s="489">
        <v>-73.048684765624998</v>
      </c>
      <c r="I9" s="490">
        <v>0.23561764702576282</v>
      </c>
      <c r="J9" s="491" t="s">
        <v>1</v>
      </c>
    </row>
    <row r="10" spans="1:10" ht="14.4" customHeight="1" x14ac:dyDescent="0.3">
      <c r="A10" s="487" t="s">
        <v>444</v>
      </c>
      <c r="B10" s="488" t="s">
        <v>641</v>
      </c>
      <c r="C10" s="489">
        <v>0</v>
      </c>
      <c r="D10" s="489">
        <v>0</v>
      </c>
      <c r="E10" s="489"/>
      <c r="F10" s="489">
        <v>0</v>
      </c>
      <c r="G10" s="489">
        <v>0</v>
      </c>
      <c r="H10" s="489">
        <v>0</v>
      </c>
      <c r="I10" s="490" t="s">
        <v>446</v>
      </c>
      <c r="J10" s="491" t="s">
        <v>1</v>
      </c>
    </row>
    <row r="11" spans="1:10" ht="14.4" customHeight="1" x14ac:dyDescent="0.3">
      <c r="A11" s="487" t="s">
        <v>444</v>
      </c>
      <c r="B11" s="488" t="s">
        <v>642</v>
      </c>
      <c r="C11" s="489">
        <v>1.1760000000000002</v>
      </c>
      <c r="D11" s="489">
        <v>1.6180000000000001</v>
      </c>
      <c r="E11" s="489"/>
      <c r="F11" s="489">
        <v>1.4120000000000001</v>
      </c>
      <c r="G11" s="489">
        <v>3.0000001525878908</v>
      </c>
      <c r="H11" s="489">
        <v>-1.5880001525878906</v>
      </c>
      <c r="I11" s="490">
        <v>0.47066664272732328</v>
      </c>
      <c r="J11" s="491" t="s">
        <v>1</v>
      </c>
    </row>
    <row r="12" spans="1:10" ht="14.4" customHeight="1" x14ac:dyDescent="0.3">
      <c r="A12" s="487" t="s">
        <v>444</v>
      </c>
      <c r="B12" s="488" t="s">
        <v>643</v>
      </c>
      <c r="C12" s="489">
        <v>6.0600000000000005</v>
      </c>
      <c r="D12" s="489">
        <v>7.8920000000000003</v>
      </c>
      <c r="E12" s="489"/>
      <c r="F12" s="489">
        <v>9.2567199999999996</v>
      </c>
      <c r="G12" s="489">
        <v>9.9113735351562493</v>
      </c>
      <c r="H12" s="489">
        <v>-0.65465353515624969</v>
      </c>
      <c r="I12" s="490">
        <v>0.93394926214473162</v>
      </c>
      <c r="J12" s="491" t="s">
        <v>1</v>
      </c>
    </row>
    <row r="13" spans="1:10" ht="14.4" customHeight="1" x14ac:dyDescent="0.3">
      <c r="A13" s="487" t="s">
        <v>444</v>
      </c>
      <c r="B13" s="488" t="s">
        <v>450</v>
      </c>
      <c r="C13" s="489">
        <v>1891.4795699999995</v>
      </c>
      <c r="D13" s="489">
        <v>2147.0012300000003</v>
      </c>
      <c r="E13" s="489"/>
      <c r="F13" s="489">
        <v>1667.8940500000001</v>
      </c>
      <c r="G13" s="489">
        <v>2393.4770127868651</v>
      </c>
      <c r="H13" s="489">
        <v>-725.58296278686498</v>
      </c>
      <c r="I13" s="490">
        <v>0.69684983022167135</v>
      </c>
      <c r="J13" s="491" t="s">
        <v>451</v>
      </c>
    </row>
    <row r="15" spans="1:10" ht="14.4" customHeight="1" x14ac:dyDescent="0.3">
      <c r="A15" s="487" t="s">
        <v>444</v>
      </c>
      <c r="B15" s="488" t="s">
        <v>445</v>
      </c>
      <c r="C15" s="489" t="s">
        <v>446</v>
      </c>
      <c r="D15" s="489" t="s">
        <v>446</v>
      </c>
      <c r="E15" s="489"/>
      <c r="F15" s="489" t="s">
        <v>446</v>
      </c>
      <c r="G15" s="489" t="s">
        <v>446</v>
      </c>
      <c r="H15" s="489" t="s">
        <v>446</v>
      </c>
      <c r="I15" s="490" t="s">
        <v>446</v>
      </c>
      <c r="J15" s="491" t="s">
        <v>68</v>
      </c>
    </row>
    <row r="16" spans="1:10" ht="14.4" customHeight="1" x14ac:dyDescent="0.3">
      <c r="A16" s="487" t="s">
        <v>452</v>
      </c>
      <c r="B16" s="488" t="s">
        <v>453</v>
      </c>
      <c r="C16" s="489" t="s">
        <v>446</v>
      </c>
      <c r="D16" s="489" t="s">
        <v>446</v>
      </c>
      <c r="E16" s="489"/>
      <c r="F16" s="489" t="s">
        <v>446</v>
      </c>
      <c r="G16" s="489" t="s">
        <v>446</v>
      </c>
      <c r="H16" s="489" t="s">
        <v>446</v>
      </c>
      <c r="I16" s="490" t="s">
        <v>446</v>
      </c>
      <c r="J16" s="491" t="s">
        <v>0</v>
      </c>
    </row>
    <row r="17" spans="1:10" ht="14.4" customHeight="1" x14ac:dyDescent="0.3">
      <c r="A17" s="487" t="s">
        <v>452</v>
      </c>
      <c r="B17" s="488" t="s">
        <v>638</v>
      </c>
      <c r="C17" s="489">
        <v>0</v>
      </c>
      <c r="D17" s="489">
        <v>1.0224500000000001</v>
      </c>
      <c r="E17" s="489"/>
      <c r="F17" s="489">
        <v>0</v>
      </c>
      <c r="G17" s="489">
        <v>1</v>
      </c>
      <c r="H17" s="489">
        <v>-1</v>
      </c>
      <c r="I17" s="490">
        <v>0</v>
      </c>
      <c r="J17" s="491" t="s">
        <v>1</v>
      </c>
    </row>
    <row r="18" spans="1:10" ht="14.4" customHeight="1" x14ac:dyDescent="0.3">
      <c r="A18" s="487" t="s">
        <v>452</v>
      </c>
      <c r="B18" s="488" t="s">
        <v>639</v>
      </c>
      <c r="C18" s="489">
        <v>1.6986299999999999</v>
      </c>
      <c r="D18" s="489">
        <v>4.3216599999999996</v>
      </c>
      <c r="E18" s="489"/>
      <c r="F18" s="489">
        <v>1.80324</v>
      </c>
      <c r="G18" s="489">
        <v>8</v>
      </c>
      <c r="H18" s="489">
        <v>-6.1967600000000003</v>
      </c>
      <c r="I18" s="490">
        <v>0.22540499999999999</v>
      </c>
      <c r="J18" s="491" t="s">
        <v>1</v>
      </c>
    </row>
    <row r="19" spans="1:10" ht="14.4" customHeight="1" x14ac:dyDescent="0.3">
      <c r="A19" s="487" t="s">
        <v>452</v>
      </c>
      <c r="B19" s="488" t="s">
        <v>640</v>
      </c>
      <c r="C19" s="489">
        <v>5.6496100000000009</v>
      </c>
      <c r="D19" s="489">
        <v>5.0431599999999985</v>
      </c>
      <c r="E19" s="489"/>
      <c r="F19" s="489">
        <v>3.3095299999999996</v>
      </c>
      <c r="G19" s="489">
        <v>9</v>
      </c>
      <c r="H19" s="489">
        <v>-5.6904700000000004</v>
      </c>
      <c r="I19" s="490">
        <v>0.36772555555555553</v>
      </c>
      <c r="J19" s="491" t="s">
        <v>1</v>
      </c>
    </row>
    <row r="20" spans="1:10" ht="14.4" customHeight="1" x14ac:dyDescent="0.3">
      <c r="A20" s="487" t="s">
        <v>452</v>
      </c>
      <c r="B20" s="488" t="s">
        <v>641</v>
      </c>
      <c r="C20" s="489">
        <v>0</v>
      </c>
      <c r="D20" s="489">
        <v>0</v>
      </c>
      <c r="E20" s="489"/>
      <c r="F20" s="489">
        <v>0</v>
      </c>
      <c r="G20" s="489">
        <v>0</v>
      </c>
      <c r="H20" s="489">
        <v>0</v>
      </c>
      <c r="I20" s="490" t="s">
        <v>446</v>
      </c>
      <c r="J20" s="491" t="s">
        <v>1</v>
      </c>
    </row>
    <row r="21" spans="1:10" ht="14.4" customHeight="1" x14ac:dyDescent="0.3">
      <c r="A21" s="487" t="s">
        <v>452</v>
      </c>
      <c r="B21" s="488" t="s">
        <v>642</v>
      </c>
      <c r="C21" s="489">
        <v>0.90300000000000002</v>
      </c>
      <c r="D21" s="489">
        <v>1.403</v>
      </c>
      <c r="E21" s="489"/>
      <c r="F21" s="489">
        <v>1.0820000000000001</v>
      </c>
      <c r="G21" s="489">
        <v>3</v>
      </c>
      <c r="H21" s="489">
        <v>-1.9179999999999999</v>
      </c>
      <c r="I21" s="490">
        <v>0.36066666666666669</v>
      </c>
      <c r="J21" s="491" t="s">
        <v>1</v>
      </c>
    </row>
    <row r="22" spans="1:10" ht="14.4" customHeight="1" x14ac:dyDescent="0.3">
      <c r="A22" s="487" t="s">
        <v>452</v>
      </c>
      <c r="B22" s="488" t="s">
        <v>643</v>
      </c>
      <c r="C22" s="489">
        <v>2.556</v>
      </c>
      <c r="D22" s="489">
        <v>3.45</v>
      </c>
      <c r="E22" s="489"/>
      <c r="F22" s="489">
        <v>4.4967199999999998</v>
      </c>
      <c r="G22" s="489">
        <v>4</v>
      </c>
      <c r="H22" s="489">
        <v>0.49671999999999983</v>
      </c>
      <c r="I22" s="490">
        <v>1.12418</v>
      </c>
      <c r="J22" s="491" t="s">
        <v>1</v>
      </c>
    </row>
    <row r="23" spans="1:10" ht="14.4" customHeight="1" x14ac:dyDescent="0.3">
      <c r="A23" s="487" t="s">
        <v>452</v>
      </c>
      <c r="B23" s="488" t="s">
        <v>454</v>
      </c>
      <c r="C23" s="489">
        <v>10.80724</v>
      </c>
      <c r="D23" s="489">
        <v>15.240269999999999</v>
      </c>
      <c r="E23" s="489"/>
      <c r="F23" s="489">
        <v>10.691489999999998</v>
      </c>
      <c r="G23" s="489">
        <v>24</v>
      </c>
      <c r="H23" s="489">
        <v>-13.308510000000002</v>
      </c>
      <c r="I23" s="490">
        <v>0.44547874999999992</v>
      </c>
      <c r="J23" s="491" t="s">
        <v>455</v>
      </c>
    </row>
    <row r="24" spans="1:10" ht="14.4" customHeight="1" x14ac:dyDescent="0.3">
      <c r="A24" s="487" t="s">
        <v>446</v>
      </c>
      <c r="B24" s="488" t="s">
        <v>446</v>
      </c>
      <c r="C24" s="489" t="s">
        <v>446</v>
      </c>
      <c r="D24" s="489" t="s">
        <v>446</v>
      </c>
      <c r="E24" s="489"/>
      <c r="F24" s="489" t="s">
        <v>446</v>
      </c>
      <c r="G24" s="489" t="s">
        <v>446</v>
      </c>
      <c r="H24" s="489" t="s">
        <v>446</v>
      </c>
      <c r="I24" s="490" t="s">
        <v>446</v>
      </c>
      <c r="J24" s="491" t="s">
        <v>456</v>
      </c>
    </row>
    <row r="25" spans="1:10" ht="14.4" customHeight="1" x14ac:dyDescent="0.3">
      <c r="A25" s="487" t="s">
        <v>457</v>
      </c>
      <c r="B25" s="488" t="s">
        <v>458</v>
      </c>
      <c r="C25" s="489" t="s">
        <v>446</v>
      </c>
      <c r="D25" s="489" t="s">
        <v>446</v>
      </c>
      <c r="E25" s="489"/>
      <c r="F25" s="489" t="s">
        <v>446</v>
      </c>
      <c r="G25" s="489" t="s">
        <v>446</v>
      </c>
      <c r="H25" s="489" t="s">
        <v>446</v>
      </c>
      <c r="I25" s="490" t="s">
        <v>446</v>
      </c>
      <c r="J25" s="491" t="s">
        <v>0</v>
      </c>
    </row>
    <row r="26" spans="1:10" ht="14.4" customHeight="1" x14ac:dyDescent="0.3">
      <c r="A26" s="487" t="s">
        <v>457</v>
      </c>
      <c r="B26" s="488" t="s">
        <v>637</v>
      </c>
      <c r="C26" s="489">
        <v>1749.8815799999995</v>
      </c>
      <c r="D26" s="489">
        <v>1842.7615600000004</v>
      </c>
      <c r="E26" s="489"/>
      <c r="F26" s="489">
        <v>1548.86285</v>
      </c>
      <c r="G26" s="489">
        <v>2100</v>
      </c>
      <c r="H26" s="489">
        <v>-551.13715000000002</v>
      </c>
      <c r="I26" s="490">
        <v>0.73755373809523805</v>
      </c>
      <c r="J26" s="491" t="s">
        <v>1</v>
      </c>
    </row>
    <row r="27" spans="1:10" ht="14.4" customHeight="1" x14ac:dyDescent="0.3">
      <c r="A27" s="487" t="s">
        <v>457</v>
      </c>
      <c r="B27" s="488" t="s">
        <v>638</v>
      </c>
      <c r="C27" s="489">
        <v>78.859500000000011</v>
      </c>
      <c r="D27" s="489">
        <v>189.72316999999995</v>
      </c>
      <c r="E27" s="489"/>
      <c r="F27" s="489">
        <v>82.937289999999976</v>
      </c>
      <c r="G27" s="489">
        <v>174</v>
      </c>
      <c r="H27" s="489">
        <v>-91.062710000000024</v>
      </c>
      <c r="I27" s="490">
        <v>0.47665109195402283</v>
      </c>
      <c r="J27" s="491" t="s">
        <v>1</v>
      </c>
    </row>
    <row r="28" spans="1:10" ht="14.4" customHeight="1" x14ac:dyDescent="0.3">
      <c r="A28" s="487" t="s">
        <v>457</v>
      </c>
      <c r="B28" s="488" t="s">
        <v>639</v>
      </c>
      <c r="C28" s="489">
        <v>2.2075999999999998</v>
      </c>
      <c r="D28" s="489">
        <v>1.43814</v>
      </c>
      <c r="E28" s="489"/>
      <c r="F28" s="489">
        <v>1.105</v>
      </c>
      <c r="G28" s="489">
        <v>2</v>
      </c>
      <c r="H28" s="489">
        <v>-0.89500000000000002</v>
      </c>
      <c r="I28" s="490">
        <v>0.55249999999999999</v>
      </c>
      <c r="J28" s="491" t="s">
        <v>1</v>
      </c>
    </row>
    <row r="29" spans="1:10" ht="14.4" customHeight="1" x14ac:dyDescent="0.3">
      <c r="A29" s="487" t="s">
        <v>457</v>
      </c>
      <c r="B29" s="488" t="s">
        <v>640</v>
      </c>
      <c r="C29" s="489">
        <v>45.946649999999998</v>
      </c>
      <c r="D29" s="489">
        <v>93.181089999999998</v>
      </c>
      <c r="E29" s="489"/>
      <c r="F29" s="489">
        <v>19.207419999999999</v>
      </c>
      <c r="G29" s="489">
        <v>87</v>
      </c>
      <c r="H29" s="489">
        <v>-67.792580000000001</v>
      </c>
      <c r="I29" s="490">
        <v>0.22077494252873561</v>
      </c>
      <c r="J29" s="491" t="s">
        <v>1</v>
      </c>
    </row>
    <row r="30" spans="1:10" ht="14.4" customHeight="1" x14ac:dyDescent="0.3">
      <c r="A30" s="487" t="s">
        <v>457</v>
      </c>
      <c r="B30" s="488" t="s">
        <v>642</v>
      </c>
      <c r="C30" s="489">
        <v>0.27300000000000002</v>
      </c>
      <c r="D30" s="489">
        <v>0.215</v>
      </c>
      <c r="E30" s="489"/>
      <c r="F30" s="489">
        <v>0.33</v>
      </c>
      <c r="G30" s="489">
        <v>0</v>
      </c>
      <c r="H30" s="489">
        <v>0.33</v>
      </c>
      <c r="I30" s="490" t="s">
        <v>446</v>
      </c>
      <c r="J30" s="491" t="s">
        <v>1</v>
      </c>
    </row>
    <row r="31" spans="1:10" ht="14.4" customHeight="1" x14ac:dyDescent="0.3">
      <c r="A31" s="487" t="s">
        <v>457</v>
      </c>
      <c r="B31" s="488" t="s">
        <v>643</v>
      </c>
      <c r="C31" s="489">
        <v>3.504</v>
      </c>
      <c r="D31" s="489">
        <v>4.4420000000000002</v>
      </c>
      <c r="E31" s="489"/>
      <c r="F31" s="489">
        <v>4.76</v>
      </c>
      <c r="G31" s="489">
        <v>6</v>
      </c>
      <c r="H31" s="489">
        <v>-1.2400000000000002</v>
      </c>
      <c r="I31" s="490">
        <v>0.79333333333333333</v>
      </c>
      <c r="J31" s="491" t="s">
        <v>1</v>
      </c>
    </row>
    <row r="32" spans="1:10" ht="14.4" customHeight="1" x14ac:dyDescent="0.3">
      <c r="A32" s="487" t="s">
        <v>457</v>
      </c>
      <c r="B32" s="488" t="s">
        <v>459</v>
      </c>
      <c r="C32" s="489">
        <v>1880.6723299999994</v>
      </c>
      <c r="D32" s="489">
        <v>2131.7609600000005</v>
      </c>
      <c r="E32" s="489"/>
      <c r="F32" s="489">
        <v>1657.2025599999999</v>
      </c>
      <c r="G32" s="489">
        <v>2370</v>
      </c>
      <c r="H32" s="489">
        <v>-712.79744000000005</v>
      </c>
      <c r="I32" s="490">
        <v>0.69924158649789026</v>
      </c>
      <c r="J32" s="491" t="s">
        <v>455</v>
      </c>
    </row>
    <row r="33" spans="1:10" ht="14.4" customHeight="1" x14ac:dyDescent="0.3">
      <c r="A33" s="487" t="s">
        <v>446</v>
      </c>
      <c r="B33" s="488" t="s">
        <v>446</v>
      </c>
      <c r="C33" s="489" t="s">
        <v>446</v>
      </c>
      <c r="D33" s="489" t="s">
        <v>446</v>
      </c>
      <c r="E33" s="489"/>
      <c r="F33" s="489" t="s">
        <v>446</v>
      </c>
      <c r="G33" s="489" t="s">
        <v>446</v>
      </c>
      <c r="H33" s="489" t="s">
        <v>446</v>
      </c>
      <c r="I33" s="490" t="s">
        <v>446</v>
      </c>
      <c r="J33" s="491" t="s">
        <v>456</v>
      </c>
    </row>
    <row r="34" spans="1:10" ht="14.4" customHeight="1" x14ac:dyDescent="0.3">
      <c r="A34" s="487" t="s">
        <v>444</v>
      </c>
      <c r="B34" s="488" t="s">
        <v>450</v>
      </c>
      <c r="C34" s="489">
        <v>1891.4795699999995</v>
      </c>
      <c r="D34" s="489">
        <v>2147.0012300000008</v>
      </c>
      <c r="E34" s="489"/>
      <c r="F34" s="489">
        <v>1667.8940499999999</v>
      </c>
      <c r="G34" s="489">
        <v>2393</v>
      </c>
      <c r="H34" s="489">
        <v>-725.10595000000012</v>
      </c>
      <c r="I34" s="490">
        <v>0.69698873798579186</v>
      </c>
      <c r="J34" s="491" t="s">
        <v>451</v>
      </c>
    </row>
  </sheetData>
  <mergeCells count="3">
    <mergeCell ref="A1:I1"/>
    <mergeCell ref="F3:I3"/>
    <mergeCell ref="C4:D4"/>
  </mergeCells>
  <conditionalFormatting sqref="F14 F35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34">
    <cfRule type="expression" dxfId="11" priority="6">
      <formula>$H15&gt;0</formula>
    </cfRule>
  </conditionalFormatting>
  <conditionalFormatting sqref="A15:A34">
    <cfRule type="expression" dxfId="10" priority="5">
      <formula>AND($J15&lt;&gt;"mezeraKL",$J15&lt;&gt;"")</formula>
    </cfRule>
  </conditionalFormatting>
  <conditionalFormatting sqref="I15:I34">
    <cfRule type="expression" dxfId="9" priority="7">
      <formula>$I15&gt;1</formula>
    </cfRule>
  </conditionalFormatting>
  <conditionalFormatting sqref="B15:B34">
    <cfRule type="expression" dxfId="8" priority="4">
      <formula>OR($J15="NS",$J15="SumaNS",$J15="Účet")</formula>
    </cfRule>
  </conditionalFormatting>
  <conditionalFormatting sqref="A15:D34 F15:I34">
    <cfRule type="expression" dxfId="7" priority="8">
      <formula>AND($J15&lt;&gt;"",$J15&lt;&gt;"mezeraKL")</formula>
    </cfRule>
  </conditionalFormatting>
  <conditionalFormatting sqref="B15:D34 F15:I34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34 F15:I34">
    <cfRule type="expression" dxfId="5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5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29"/>
  </cols>
  <sheetData>
    <row r="1" spans="1:11" ht="18.600000000000001" customHeight="1" thickBot="1" x14ac:dyDescent="0.4">
      <c r="A1" s="366" t="s">
        <v>938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" customHeight="1" thickBot="1" x14ac:dyDescent="0.35">
      <c r="A2" s="232" t="s">
        <v>265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18.781519490550718</v>
      </c>
      <c r="J3" s="98">
        <f>SUBTOTAL(9,J5:J1048576)</f>
        <v>89471</v>
      </c>
      <c r="K3" s="99">
        <f>SUBTOTAL(9,K5:K1048576)</f>
        <v>1680401.3303390632</v>
      </c>
    </row>
    <row r="4" spans="1:11" s="208" customFormat="1" ht="14.4" customHeight="1" thickBot="1" x14ac:dyDescent="0.35">
      <c r="A4" s="610" t="s">
        <v>4</v>
      </c>
      <c r="B4" s="611" t="s">
        <v>5</v>
      </c>
      <c r="C4" s="611" t="s">
        <v>0</v>
      </c>
      <c r="D4" s="611" t="s">
        <v>6</v>
      </c>
      <c r="E4" s="611" t="s">
        <v>7</v>
      </c>
      <c r="F4" s="611" t="s">
        <v>1</v>
      </c>
      <c r="G4" s="611" t="s">
        <v>70</v>
      </c>
      <c r="H4" s="495" t="s">
        <v>11</v>
      </c>
      <c r="I4" s="496" t="s">
        <v>141</v>
      </c>
      <c r="J4" s="496" t="s">
        <v>13</v>
      </c>
      <c r="K4" s="497" t="s">
        <v>155</v>
      </c>
    </row>
    <row r="5" spans="1:11" ht="14.4" customHeight="1" x14ac:dyDescent="0.3">
      <c r="A5" s="564" t="s">
        <v>444</v>
      </c>
      <c r="B5" s="565" t="s">
        <v>445</v>
      </c>
      <c r="C5" s="568" t="s">
        <v>452</v>
      </c>
      <c r="D5" s="612" t="s">
        <v>453</v>
      </c>
      <c r="E5" s="568" t="s">
        <v>644</v>
      </c>
      <c r="F5" s="612" t="s">
        <v>645</v>
      </c>
      <c r="G5" s="568" t="s">
        <v>646</v>
      </c>
      <c r="H5" s="568" t="s">
        <v>647</v>
      </c>
      <c r="I5" s="116">
        <v>0.63999998569488525</v>
      </c>
      <c r="J5" s="116">
        <v>500</v>
      </c>
      <c r="K5" s="591">
        <v>320</v>
      </c>
    </row>
    <row r="6" spans="1:11" ht="14.4" customHeight="1" x14ac:dyDescent="0.3">
      <c r="A6" s="571" t="s">
        <v>444</v>
      </c>
      <c r="B6" s="572" t="s">
        <v>445</v>
      </c>
      <c r="C6" s="575" t="s">
        <v>452</v>
      </c>
      <c r="D6" s="613" t="s">
        <v>453</v>
      </c>
      <c r="E6" s="575" t="s">
        <v>644</v>
      </c>
      <c r="F6" s="613" t="s">
        <v>645</v>
      </c>
      <c r="G6" s="575" t="s">
        <v>648</v>
      </c>
      <c r="H6" s="575" t="s">
        <v>649</v>
      </c>
      <c r="I6" s="592">
        <v>1.1799999475479126</v>
      </c>
      <c r="J6" s="592">
        <v>6</v>
      </c>
      <c r="K6" s="593">
        <v>7.0799999237060547</v>
      </c>
    </row>
    <row r="7" spans="1:11" ht="14.4" customHeight="1" x14ac:dyDescent="0.3">
      <c r="A7" s="571" t="s">
        <v>444</v>
      </c>
      <c r="B7" s="572" t="s">
        <v>445</v>
      </c>
      <c r="C7" s="575" t="s">
        <v>452</v>
      </c>
      <c r="D7" s="613" t="s">
        <v>453</v>
      </c>
      <c r="E7" s="575" t="s">
        <v>644</v>
      </c>
      <c r="F7" s="613" t="s">
        <v>645</v>
      </c>
      <c r="G7" s="575" t="s">
        <v>650</v>
      </c>
      <c r="H7" s="575" t="s">
        <v>651</v>
      </c>
      <c r="I7" s="592">
        <v>22.299999237060547</v>
      </c>
      <c r="J7" s="592">
        <v>2</v>
      </c>
      <c r="K7" s="593">
        <v>44.599998474121094</v>
      </c>
    </row>
    <row r="8" spans="1:11" ht="14.4" customHeight="1" x14ac:dyDescent="0.3">
      <c r="A8" s="571" t="s">
        <v>444</v>
      </c>
      <c r="B8" s="572" t="s">
        <v>445</v>
      </c>
      <c r="C8" s="575" t="s">
        <v>452</v>
      </c>
      <c r="D8" s="613" t="s">
        <v>453</v>
      </c>
      <c r="E8" s="575" t="s">
        <v>644</v>
      </c>
      <c r="F8" s="613" t="s">
        <v>645</v>
      </c>
      <c r="G8" s="575" t="s">
        <v>652</v>
      </c>
      <c r="H8" s="575" t="s">
        <v>653</v>
      </c>
      <c r="I8" s="592">
        <v>27.878332773844402</v>
      </c>
      <c r="J8" s="592">
        <v>6</v>
      </c>
      <c r="K8" s="593">
        <v>167.26999664306641</v>
      </c>
    </row>
    <row r="9" spans="1:11" ht="14.4" customHeight="1" x14ac:dyDescent="0.3">
      <c r="A9" s="571" t="s">
        <v>444</v>
      </c>
      <c r="B9" s="572" t="s">
        <v>445</v>
      </c>
      <c r="C9" s="575" t="s">
        <v>452</v>
      </c>
      <c r="D9" s="613" t="s">
        <v>453</v>
      </c>
      <c r="E9" s="575" t="s">
        <v>644</v>
      </c>
      <c r="F9" s="613" t="s">
        <v>645</v>
      </c>
      <c r="G9" s="575" t="s">
        <v>654</v>
      </c>
      <c r="H9" s="575" t="s">
        <v>655</v>
      </c>
      <c r="I9" s="592">
        <v>28.731666247049969</v>
      </c>
      <c r="J9" s="592">
        <v>44</v>
      </c>
      <c r="K9" s="593">
        <v>1264.2899780273437</v>
      </c>
    </row>
    <row r="10" spans="1:11" ht="14.4" customHeight="1" x14ac:dyDescent="0.3">
      <c r="A10" s="571" t="s">
        <v>444</v>
      </c>
      <c r="B10" s="572" t="s">
        <v>445</v>
      </c>
      <c r="C10" s="575" t="s">
        <v>452</v>
      </c>
      <c r="D10" s="613" t="s">
        <v>453</v>
      </c>
      <c r="E10" s="575" t="s">
        <v>656</v>
      </c>
      <c r="F10" s="613" t="s">
        <v>657</v>
      </c>
      <c r="G10" s="575" t="s">
        <v>658</v>
      </c>
      <c r="H10" s="575" t="s">
        <v>659</v>
      </c>
      <c r="I10" s="592">
        <v>9.9999997764825821E-3</v>
      </c>
      <c r="J10" s="592">
        <v>600</v>
      </c>
      <c r="K10" s="593">
        <v>6</v>
      </c>
    </row>
    <row r="11" spans="1:11" ht="14.4" customHeight="1" x14ac:dyDescent="0.3">
      <c r="A11" s="571" t="s">
        <v>444</v>
      </c>
      <c r="B11" s="572" t="s">
        <v>445</v>
      </c>
      <c r="C11" s="575" t="s">
        <v>452</v>
      </c>
      <c r="D11" s="613" t="s">
        <v>453</v>
      </c>
      <c r="E11" s="575" t="s">
        <v>656</v>
      </c>
      <c r="F11" s="613" t="s">
        <v>657</v>
      </c>
      <c r="G11" s="575" t="s">
        <v>660</v>
      </c>
      <c r="H11" s="575" t="s">
        <v>661</v>
      </c>
      <c r="I11" s="592">
        <v>140.39999389648437</v>
      </c>
      <c r="J11" s="592">
        <v>2</v>
      </c>
      <c r="K11" s="593">
        <v>280.79998779296875</v>
      </c>
    </row>
    <row r="12" spans="1:11" ht="14.4" customHeight="1" x14ac:dyDescent="0.3">
      <c r="A12" s="571" t="s">
        <v>444</v>
      </c>
      <c r="B12" s="572" t="s">
        <v>445</v>
      </c>
      <c r="C12" s="575" t="s">
        <v>452</v>
      </c>
      <c r="D12" s="613" t="s">
        <v>453</v>
      </c>
      <c r="E12" s="575" t="s">
        <v>656</v>
      </c>
      <c r="F12" s="613" t="s">
        <v>657</v>
      </c>
      <c r="G12" s="575" t="s">
        <v>662</v>
      </c>
      <c r="H12" s="575" t="s">
        <v>663</v>
      </c>
      <c r="I12" s="592">
        <v>0.25</v>
      </c>
      <c r="J12" s="592">
        <v>200</v>
      </c>
      <c r="K12" s="593">
        <v>50</v>
      </c>
    </row>
    <row r="13" spans="1:11" ht="14.4" customHeight="1" x14ac:dyDescent="0.3">
      <c r="A13" s="571" t="s">
        <v>444</v>
      </c>
      <c r="B13" s="572" t="s">
        <v>445</v>
      </c>
      <c r="C13" s="575" t="s">
        <v>452</v>
      </c>
      <c r="D13" s="613" t="s">
        <v>453</v>
      </c>
      <c r="E13" s="575" t="s">
        <v>656</v>
      </c>
      <c r="F13" s="613" t="s">
        <v>657</v>
      </c>
      <c r="G13" s="575" t="s">
        <v>664</v>
      </c>
      <c r="H13" s="575" t="s">
        <v>665</v>
      </c>
      <c r="I13" s="592">
        <v>13.310000419616699</v>
      </c>
      <c r="J13" s="592">
        <v>30</v>
      </c>
      <c r="K13" s="593">
        <v>399.30001831054687</v>
      </c>
    </row>
    <row r="14" spans="1:11" ht="14.4" customHeight="1" x14ac:dyDescent="0.3">
      <c r="A14" s="571" t="s">
        <v>444</v>
      </c>
      <c r="B14" s="572" t="s">
        <v>445</v>
      </c>
      <c r="C14" s="575" t="s">
        <v>452</v>
      </c>
      <c r="D14" s="613" t="s">
        <v>453</v>
      </c>
      <c r="E14" s="575" t="s">
        <v>656</v>
      </c>
      <c r="F14" s="613" t="s">
        <v>657</v>
      </c>
      <c r="G14" s="575" t="s">
        <v>666</v>
      </c>
      <c r="H14" s="575" t="s">
        <v>667</v>
      </c>
      <c r="I14" s="592">
        <v>15.039999961853027</v>
      </c>
      <c r="J14" s="592">
        <v>1</v>
      </c>
      <c r="K14" s="593">
        <v>15.039999961853027</v>
      </c>
    </row>
    <row r="15" spans="1:11" ht="14.4" customHeight="1" x14ac:dyDescent="0.3">
      <c r="A15" s="571" t="s">
        <v>444</v>
      </c>
      <c r="B15" s="572" t="s">
        <v>445</v>
      </c>
      <c r="C15" s="575" t="s">
        <v>452</v>
      </c>
      <c r="D15" s="613" t="s">
        <v>453</v>
      </c>
      <c r="E15" s="575" t="s">
        <v>656</v>
      </c>
      <c r="F15" s="613" t="s">
        <v>657</v>
      </c>
      <c r="G15" s="575" t="s">
        <v>668</v>
      </c>
      <c r="H15" s="575" t="s">
        <v>669</v>
      </c>
      <c r="I15" s="592">
        <v>6.2399997711181641</v>
      </c>
      <c r="J15" s="592">
        <v>1</v>
      </c>
      <c r="K15" s="593">
        <v>6.2399997711181641</v>
      </c>
    </row>
    <row r="16" spans="1:11" ht="14.4" customHeight="1" x14ac:dyDescent="0.3">
      <c r="A16" s="571" t="s">
        <v>444</v>
      </c>
      <c r="B16" s="572" t="s">
        <v>445</v>
      </c>
      <c r="C16" s="575" t="s">
        <v>452</v>
      </c>
      <c r="D16" s="613" t="s">
        <v>453</v>
      </c>
      <c r="E16" s="575" t="s">
        <v>656</v>
      </c>
      <c r="F16" s="613" t="s">
        <v>657</v>
      </c>
      <c r="G16" s="575" t="s">
        <v>670</v>
      </c>
      <c r="H16" s="575" t="s">
        <v>671</v>
      </c>
      <c r="I16" s="592">
        <v>2.369999885559082</v>
      </c>
      <c r="J16" s="592">
        <v>20</v>
      </c>
      <c r="K16" s="593">
        <v>47.400001525878906</v>
      </c>
    </row>
    <row r="17" spans="1:11" ht="14.4" customHeight="1" x14ac:dyDescent="0.3">
      <c r="A17" s="571" t="s">
        <v>444</v>
      </c>
      <c r="B17" s="572" t="s">
        <v>445</v>
      </c>
      <c r="C17" s="575" t="s">
        <v>452</v>
      </c>
      <c r="D17" s="613" t="s">
        <v>453</v>
      </c>
      <c r="E17" s="575" t="s">
        <v>656</v>
      </c>
      <c r="F17" s="613" t="s">
        <v>657</v>
      </c>
      <c r="G17" s="575" t="s">
        <v>672</v>
      </c>
      <c r="H17" s="575" t="s">
        <v>673</v>
      </c>
      <c r="I17" s="592">
        <v>2.0349999666213989</v>
      </c>
      <c r="J17" s="592">
        <v>650</v>
      </c>
      <c r="K17" s="593">
        <v>1323</v>
      </c>
    </row>
    <row r="18" spans="1:11" ht="14.4" customHeight="1" x14ac:dyDescent="0.3">
      <c r="A18" s="571" t="s">
        <v>444</v>
      </c>
      <c r="B18" s="572" t="s">
        <v>445</v>
      </c>
      <c r="C18" s="575" t="s">
        <v>452</v>
      </c>
      <c r="D18" s="613" t="s">
        <v>453</v>
      </c>
      <c r="E18" s="575" t="s">
        <v>656</v>
      </c>
      <c r="F18" s="613" t="s">
        <v>657</v>
      </c>
      <c r="G18" s="575" t="s">
        <v>674</v>
      </c>
      <c r="H18" s="575" t="s">
        <v>675</v>
      </c>
      <c r="I18" s="592">
        <v>2.7000000476837158</v>
      </c>
      <c r="J18" s="592">
        <v>50</v>
      </c>
      <c r="K18" s="593">
        <v>135</v>
      </c>
    </row>
    <row r="19" spans="1:11" ht="14.4" customHeight="1" x14ac:dyDescent="0.3">
      <c r="A19" s="571" t="s">
        <v>444</v>
      </c>
      <c r="B19" s="572" t="s">
        <v>445</v>
      </c>
      <c r="C19" s="575" t="s">
        <v>452</v>
      </c>
      <c r="D19" s="613" t="s">
        <v>453</v>
      </c>
      <c r="E19" s="575" t="s">
        <v>656</v>
      </c>
      <c r="F19" s="613" t="s">
        <v>657</v>
      </c>
      <c r="G19" s="575" t="s">
        <v>676</v>
      </c>
      <c r="H19" s="575" t="s">
        <v>677</v>
      </c>
      <c r="I19" s="592">
        <v>2.1650000810623169</v>
      </c>
      <c r="J19" s="592">
        <v>75</v>
      </c>
      <c r="K19" s="593">
        <v>162.25</v>
      </c>
    </row>
    <row r="20" spans="1:11" ht="14.4" customHeight="1" x14ac:dyDescent="0.3">
      <c r="A20" s="571" t="s">
        <v>444</v>
      </c>
      <c r="B20" s="572" t="s">
        <v>445</v>
      </c>
      <c r="C20" s="575" t="s">
        <v>452</v>
      </c>
      <c r="D20" s="613" t="s">
        <v>453</v>
      </c>
      <c r="E20" s="575" t="s">
        <v>656</v>
      </c>
      <c r="F20" s="613" t="s">
        <v>657</v>
      </c>
      <c r="G20" s="575" t="s">
        <v>678</v>
      </c>
      <c r="H20" s="575" t="s">
        <v>679</v>
      </c>
      <c r="I20" s="592">
        <v>2.5271428312574113</v>
      </c>
      <c r="J20" s="592">
        <v>350</v>
      </c>
      <c r="K20" s="593">
        <v>884.49999237060547</v>
      </c>
    </row>
    <row r="21" spans="1:11" ht="14.4" customHeight="1" x14ac:dyDescent="0.3">
      <c r="A21" s="571" t="s">
        <v>444</v>
      </c>
      <c r="B21" s="572" t="s">
        <v>445</v>
      </c>
      <c r="C21" s="575" t="s">
        <v>452</v>
      </c>
      <c r="D21" s="613" t="s">
        <v>453</v>
      </c>
      <c r="E21" s="575" t="s">
        <v>680</v>
      </c>
      <c r="F21" s="613" t="s">
        <v>681</v>
      </c>
      <c r="G21" s="575" t="s">
        <v>682</v>
      </c>
      <c r="H21" s="575" t="s">
        <v>683</v>
      </c>
      <c r="I21" s="592">
        <v>1.8033332824707031</v>
      </c>
      <c r="J21" s="592">
        <v>600</v>
      </c>
      <c r="K21" s="593">
        <v>1082</v>
      </c>
    </row>
    <row r="22" spans="1:11" ht="14.4" customHeight="1" x14ac:dyDescent="0.3">
      <c r="A22" s="571" t="s">
        <v>444</v>
      </c>
      <c r="B22" s="572" t="s">
        <v>445</v>
      </c>
      <c r="C22" s="575" t="s">
        <v>452</v>
      </c>
      <c r="D22" s="613" t="s">
        <v>453</v>
      </c>
      <c r="E22" s="575" t="s">
        <v>684</v>
      </c>
      <c r="F22" s="613" t="s">
        <v>685</v>
      </c>
      <c r="G22" s="575" t="s">
        <v>686</v>
      </c>
      <c r="H22" s="575" t="s">
        <v>687</v>
      </c>
      <c r="I22" s="592">
        <v>0.63249999284744263</v>
      </c>
      <c r="J22" s="592">
        <v>1400</v>
      </c>
      <c r="K22" s="593">
        <v>886</v>
      </c>
    </row>
    <row r="23" spans="1:11" ht="14.4" customHeight="1" x14ac:dyDescent="0.3">
      <c r="A23" s="571" t="s">
        <v>444</v>
      </c>
      <c r="B23" s="572" t="s">
        <v>445</v>
      </c>
      <c r="C23" s="575" t="s">
        <v>452</v>
      </c>
      <c r="D23" s="613" t="s">
        <v>453</v>
      </c>
      <c r="E23" s="575" t="s">
        <v>684</v>
      </c>
      <c r="F23" s="613" t="s">
        <v>685</v>
      </c>
      <c r="G23" s="575" t="s">
        <v>688</v>
      </c>
      <c r="H23" s="575" t="s">
        <v>689</v>
      </c>
      <c r="I23" s="592">
        <v>0.63249999284744263</v>
      </c>
      <c r="J23" s="592">
        <v>3000</v>
      </c>
      <c r="K23" s="593">
        <v>1898</v>
      </c>
    </row>
    <row r="24" spans="1:11" ht="14.4" customHeight="1" x14ac:dyDescent="0.3">
      <c r="A24" s="571" t="s">
        <v>444</v>
      </c>
      <c r="B24" s="572" t="s">
        <v>445</v>
      </c>
      <c r="C24" s="575" t="s">
        <v>452</v>
      </c>
      <c r="D24" s="613" t="s">
        <v>453</v>
      </c>
      <c r="E24" s="575" t="s">
        <v>684</v>
      </c>
      <c r="F24" s="613" t="s">
        <v>685</v>
      </c>
      <c r="G24" s="575" t="s">
        <v>690</v>
      </c>
      <c r="H24" s="575" t="s">
        <v>691</v>
      </c>
      <c r="I24" s="592">
        <v>0.62999999523162842</v>
      </c>
      <c r="J24" s="592">
        <v>800</v>
      </c>
      <c r="K24" s="593">
        <v>504</v>
      </c>
    </row>
    <row r="25" spans="1:11" ht="14.4" customHeight="1" x14ac:dyDescent="0.3">
      <c r="A25" s="571" t="s">
        <v>444</v>
      </c>
      <c r="B25" s="572" t="s">
        <v>445</v>
      </c>
      <c r="C25" s="575" t="s">
        <v>452</v>
      </c>
      <c r="D25" s="613" t="s">
        <v>453</v>
      </c>
      <c r="E25" s="575" t="s">
        <v>684</v>
      </c>
      <c r="F25" s="613" t="s">
        <v>685</v>
      </c>
      <c r="G25" s="575" t="s">
        <v>692</v>
      </c>
      <c r="H25" s="575" t="s">
        <v>693</v>
      </c>
      <c r="I25" s="592">
        <v>7.5</v>
      </c>
      <c r="J25" s="592">
        <v>2</v>
      </c>
      <c r="K25" s="593">
        <v>15</v>
      </c>
    </row>
    <row r="26" spans="1:11" ht="14.4" customHeight="1" x14ac:dyDescent="0.3">
      <c r="A26" s="571" t="s">
        <v>444</v>
      </c>
      <c r="B26" s="572" t="s">
        <v>445</v>
      </c>
      <c r="C26" s="575" t="s">
        <v>452</v>
      </c>
      <c r="D26" s="613" t="s">
        <v>453</v>
      </c>
      <c r="E26" s="575" t="s">
        <v>684</v>
      </c>
      <c r="F26" s="613" t="s">
        <v>685</v>
      </c>
      <c r="G26" s="575" t="s">
        <v>686</v>
      </c>
      <c r="H26" s="575" t="s">
        <v>694</v>
      </c>
      <c r="I26" s="592">
        <v>0.62999999523162842</v>
      </c>
      <c r="J26" s="592">
        <v>400</v>
      </c>
      <c r="K26" s="593">
        <v>252</v>
      </c>
    </row>
    <row r="27" spans="1:11" ht="14.4" customHeight="1" x14ac:dyDescent="0.3">
      <c r="A27" s="571" t="s">
        <v>444</v>
      </c>
      <c r="B27" s="572" t="s">
        <v>445</v>
      </c>
      <c r="C27" s="575" t="s">
        <v>452</v>
      </c>
      <c r="D27" s="613" t="s">
        <v>453</v>
      </c>
      <c r="E27" s="575" t="s">
        <v>684</v>
      </c>
      <c r="F27" s="613" t="s">
        <v>685</v>
      </c>
      <c r="G27" s="575" t="s">
        <v>688</v>
      </c>
      <c r="H27" s="575" t="s">
        <v>695</v>
      </c>
      <c r="I27" s="592">
        <v>0.62999999523162842</v>
      </c>
      <c r="J27" s="592">
        <v>400</v>
      </c>
      <c r="K27" s="593">
        <v>252</v>
      </c>
    </row>
    <row r="28" spans="1:11" ht="14.4" customHeight="1" x14ac:dyDescent="0.3">
      <c r="A28" s="571" t="s">
        <v>444</v>
      </c>
      <c r="B28" s="572" t="s">
        <v>445</v>
      </c>
      <c r="C28" s="575" t="s">
        <v>452</v>
      </c>
      <c r="D28" s="613" t="s">
        <v>453</v>
      </c>
      <c r="E28" s="575" t="s">
        <v>684</v>
      </c>
      <c r="F28" s="613" t="s">
        <v>685</v>
      </c>
      <c r="G28" s="575" t="s">
        <v>688</v>
      </c>
      <c r="H28" s="575" t="s">
        <v>696</v>
      </c>
      <c r="I28" s="592">
        <v>0.62000000476837158</v>
      </c>
      <c r="J28" s="592">
        <v>400</v>
      </c>
      <c r="K28" s="593">
        <v>248</v>
      </c>
    </row>
    <row r="29" spans="1:11" ht="14.4" customHeight="1" x14ac:dyDescent="0.3">
      <c r="A29" s="571" t="s">
        <v>444</v>
      </c>
      <c r="B29" s="572" t="s">
        <v>445</v>
      </c>
      <c r="C29" s="575" t="s">
        <v>452</v>
      </c>
      <c r="D29" s="613" t="s">
        <v>453</v>
      </c>
      <c r="E29" s="575" t="s">
        <v>684</v>
      </c>
      <c r="F29" s="613" t="s">
        <v>685</v>
      </c>
      <c r="G29" s="575" t="s">
        <v>697</v>
      </c>
      <c r="H29" s="575" t="s">
        <v>698</v>
      </c>
      <c r="I29" s="592">
        <v>0.73500001430511475</v>
      </c>
      <c r="J29" s="592">
        <v>600</v>
      </c>
      <c r="K29" s="593">
        <v>441.72000122070312</v>
      </c>
    </row>
    <row r="30" spans="1:11" ht="14.4" customHeight="1" x14ac:dyDescent="0.3">
      <c r="A30" s="571" t="s">
        <v>444</v>
      </c>
      <c r="B30" s="572" t="s">
        <v>445</v>
      </c>
      <c r="C30" s="575" t="s">
        <v>457</v>
      </c>
      <c r="D30" s="613" t="s">
        <v>458</v>
      </c>
      <c r="E30" s="575" t="s">
        <v>699</v>
      </c>
      <c r="F30" s="613" t="s">
        <v>700</v>
      </c>
      <c r="G30" s="575" t="s">
        <v>701</v>
      </c>
      <c r="H30" s="575" t="s">
        <v>702</v>
      </c>
      <c r="I30" s="592">
        <v>7986</v>
      </c>
      <c r="J30" s="592">
        <v>1</v>
      </c>
      <c r="K30" s="593">
        <v>7986</v>
      </c>
    </row>
    <row r="31" spans="1:11" ht="14.4" customHeight="1" x14ac:dyDescent="0.3">
      <c r="A31" s="571" t="s">
        <v>444</v>
      </c>
      <c r="B31" s="572" t="s">
        <v>445</v>
      </c>
      <c r="C31" s="575" t="s">
        <v>457</v>
      </c>
      <c r="D31" s="613" t="s">
        <v>458</v>
      </c>
      <c r="E31" s="575" t="s">
        <v>699</v>
      </c>
      <c r="F31" s="613" t="s">
        <v>700</v>
      </c>
      <c r="G31" s="575" t="s">
        <v>703</v>
      </c>
      <c r="H31" s="575" t="s">
        <v>704</v>
      </c>
      <c r="I31" s="592">
        <v>1303.7750244140625</v>
      </c>
      <c r="J31" s="592">
        <v>40</v>
      </c>
      <c r="K31" s="593">
        <v>52151</v>
      </c>
    </row>
    <row r="32" spans="1:11" ht="14.4" customHeight="1" x14ac:dyDescent="0.3">
      <c r="A32" s="571" t="s">
        <v>444</v>
      </c>
      <c r="B32" s="572" t="s">
        <v>445</v>
      </c>
      <c r="C32" s="575" t="s">
        <v>457</v>
      </c>
      <c r="D32" s="613" t="s">
        <v>458</v>
      </c>
      <c r="E32" s="575" t="s">
        <v>699</v>
      </c>
      <c r="F32" s="613" t="s">
        <v>700</v>
      </c>
      <c r="G32" s="575" t="s">
        <v>705</v>
      </c>
      <c r="H32" s="575" t="s">
        <v>706</v>
      </c>
      <c r="I32" s="592">
        <v>182.71000671386719</v>
      </c>
      <c r="J32" s="592">
        <v>2</v>
      </c>
      <c r="K32" s="593">
        <v>365.42001342773437</v>
      </c>
    </row>
    <row r="33" spans="1:11" ht="14.4" customHeight="1" x14ac:dyDescent="0.3">
      <c r="A33" s="571" t="s">
        <v>444</v>
      </c>
      <c r="B33" s="572" t="s">
        <v>445</v>
      </c>
      <c r="C33" s="575" t="s">
        <v>457</v>
      </c>
      <c r="D33" s="613" t="s">
        <v>458</v>
      </c>
      <c r="E33" s="575" t="s">
        <v>699</v>
      </c>
      <c r="F33" s="613" t="s">
        <v>700</v>
      </c>
      <c r="G33" s="575" t="s">
        <v>707</v>
      </c>
      <c r="H33" s="575" t="s">
        <v>708</v>
      </c>
      <c r="I33" s="592">
        <v>7393.10009765625</v>
      </c>
      <c r="J33" s="592">
        <v>1</v>
      </c>
      <c r="K33" s="593">
        <v>7393.10009765625</v>
      </c>
    </row>
    <row r="34" spans="1:11" ht="14.4" customHeight="1" x14ac:dyDescent="0.3">
      <c r="A34" s="571" t="s">
        <v>444</v>
      </c>
      <c r="B34" s="572" t="s">
        <v>445</v>
      </c>
      <c r="C34" s="575" t="s">
        <v>457</v>
      </c>
      <c r="D34" s="613" t="s">
        <v>458</v>
      </c>
      <c r="E34" s="575" t="s">
        <v>699</v>
      </c>
      <c r="F34" s="613" t="s">
        <v>700</v>
      </c>
      <c r="G34" s="575" t="s">
        <v>709</v>
      </c>
      <c r="H34" s="575" t="s">
        <v>710</v>
      </c>
      <c r="I34" s="592">
        <v>4185.9949951171875</v>
      </c>
      <c r="J34" s="592">
        <v>2</v>
      </c>
      <c r="K34" s="593">
        <v>8371.989990234375</v>
      </c>
    </row>
    <row r="35" spans="1:11" ht="14.4" customHeight="1" x14ac:dyDescent="0.3">
      <c r="A35" s="571" t="s">
        <v>444</v>
      </c>
      <c r="B35" s="572" t="s">
        <v>445</v>
      </c>
      <c r="C35" s="575" t="s">
        <v>457</v>
      </c>
      <c r="D35" s="613" t="s">
        <v>458</v>
      </c>
      <c r="E35" s="575" t="s">
        <v>699</v>
      </c>
      <c r="F35" s="613" t="s">
        <v>700</v>
      </c>
      <c r="G35" s="575" t="s">
        <v>711</v>
      </c>
      <c r="H35" s="575" t="s">
        <v>712</v>
      </c>
      <c r="I35" s="592">
        <v>9486.400390625</v>
      </c>
      <c r="J35" s="592">
        <v>1</v>
      </c>
      <c r="K35" s="593">
        <v>9486.400390625</v>
      </c>
    </row>
    <row r="36" spans="1:11" ht="14.4" customHeight="1" x14ac:dyDescent="0.3">
      <c r="A36" s="571" t="s">
        <v>444</v>
      </c>
      <c r="B36" s="572" t="s">
        <v>445</v>
      </c>
      <c r="C36" s="575" t="s">
        <v>457</v>
      </c>
      <c r="D36" s="613" t="s">
        <v>458</v>
      </c>
      <c r="E36" s="575" t="s">
        <v>699</v>
      </c>
      <c r="F36" s="613" t="s">
        <v>700</v>
      </c>
      <c r="G36" s="575" t="s">
        <v>713</v>
      </c>
      <c r="H36" s="575" t="s">
        <v>714</v>
      </c>
      <c r="I36" s="592">
        <v>50493.30078125</v>
      </c>
      <c r="J36" s="592">
        <v>1</v>
      </c>
      <c r="K36" s="593">
        <v>50493.30078125</v>
      </c>
    </row>
    <row r="37" spans="1:11" ht="14.4" customHeight="1" x14ac:dyDescent="0.3">
      <c r="A37" s="571" t="s">
        <v>444</v>
      </c>
      <c r="B37" s="572" t="s">
        <v>445</v>
      </c>
      <c r="C37" s="575" t="s">
        <v>457</v>
      </c>
      <c r="D37" s="613" t="s">
        <v>458</v>
      </c>
      <c r="E37" s="575" t="s">
        <v>699</v>
      </c>
      <c r="F37" s="613" t="s">
        <v>700</v>
      </c>
      <c r="G37" s="575" t="s">
        <v>715</v>
      </c>
      <c r="H37" s="575" t="s">
        <v>716</v>
      </c>
      <c r="I37" s="592">
        <v>48266.2</v>
      </c>
      <c r="J37" s="592">
        <v>5</v>
      </c>
      <c r="K37" s="593">
        <v>241331</v>
      </c>
    </row>
    <row r="38" spans="1:11" ht="14.4" customHeight="1" x14ac:dyDescent="0.3">
      <c r="A38" s="571" t="s">
        <v>444</v>
      </c>
      <c r="B38" s="572" t="s">
        <v>445</v>
      </c>
      <c r="C38" s="575" t="s">
        <v>457</v>
      </c>
      <c r="D38" s="613" t="s">
        <v>458</v>
      </c>
      <c r="E38" s="575" t="s">
        <v>699</v>
      </c>
      <c r="F38" s="613" t="s">
        <v>700</v>
      </c>
      <c r="G38" s="575" t="s">
        <v>717</v>
      </c>
      <c r="H38" s="575" t="s">
        <v>718</v>
      </c>
      <c r="I38" s="592">
        <v>87725</v>
      </c>
      <c r="J38" s="592">
        <v>1</v>
      </c>
      <c r="K38" s="593">
        <v>87725</v>
      </c>
    </row>
    <row r="39" spans="1:11" ht="14.4" customHeight="1" x14ac:dyDescent="0.3">
      <c r="A39" s="571" t="s">
        <v>444</v>
      </c>
      <c r="B39" s="572" t="s">
        <v>445</v>
      </c>
      <c r="C39" s="575" t="s">
        <v>457</v>
      </c>
      <c r="D39" s="613" t="s">
        <v>458</v>
      </c>
      <c r="E39" s="575" t="s">
        <v>699</v>
      </c>
      <c r="F39" s="613" t="s">
        <v>700</v>
      </c>
      <c r="G39" s="575" t="s">
        <v>719</v>
      </c>
      <c r="H39" s="575" t="s">
        <v>720</v>
      </c>
      <c r="I39" s="592">
        <v>177.73132950400623</v>
      </c>
      <c r="J39" s="592">
        <v>6</v>
      </c>
      <c r="K39" s="593">
        <v>1066.3879770240374</v>
      </c>
    </row>
    <row r="40" spans="1:11" ht="14.4" customHeight="1" x14ac:dyDescent="0.3">
      <c r="A40" s="571" t="s">
        <v>444</v>
      </c>
      <c r="B40" s="572" t="s">
        <v>445</v>
      </c>
      <c r="C40" s="575" t="s">
        <v>457</v>
      </c>
      <c r="D40" s="613" t="s">
        <v>458</v>
      </c>
      <c r="E40" s="575" t="s">
        <v>699</v>
      </c>
      <c r="F40" s="613" t="s">
        <v>700</v>
      </c>
      <c r="G40" s="575" t="s">
        <v>721</v>
      </c>
      <c r="H40" s="575" t="s">
        <v>722</v>
      </c>
      <c r="I40" s="592">
        <v>996.60248565673828</v>
      </c>
      <c r="J40" s="592">
        <v>12</v>
      </c>
      <c r="K40" s="593">
        <v>11959.229827880859</v>
      </c>
    </row>
    <row r="41" spans="1:11" ht="14.4" customHeight="1" x14ac:dyDescent="0.3">
      <c r="A41" s="571" t="s">
        <v>444</v>
      </c>
      <c r="B41" s="572" t="s">
        <v>445</v>
      </c>
      <c r="C41" s="575" t="s">
        <v>457</v>
      </c>
      <c r="D41" s="613" t="s">
        <v>458</v>
      </c>
      <c r="E41" s="575" t="s">
        <v>699</v>
      </c>
      <c r="F41" s="613" t="s">
        <v>700</v>
      </c>
      <c r="G41" s="575" t="s">
        <v>723</v>
      </c>
      <c r="H41" s="575" t="s">
        <v>724</v>
      </c>
      <c r="I41" s="592">
        <v>478</v>
      </c>
      <c r="J41" s="592">
        <v>9</v>
      </c>
      <c r="K41" s="593">
        <v>4302</v>
      </c>
    </row>
    <row r="42" spans="1:11" ht="14.4" customHeight="1" x14ac:dyDescent="0.3">
      <c r="A42" s="571" t="s">
        <v>444</v>
      </c>
      <c r="B42" s="572" t="s">
        <v>445</v>
      </c>
      <c r="C42" s="575" t="s">
        <v>457</v>
      </c>
      <c r="D42" s="613" t="s">
        <v>458</v>
      </c>
      <c r="E42" s="575" t="s">
        <v>699</v>
      </c>
      <c r="F42" s="613" t="s">
        <v>700</v>
      </c>
      <c r="G42" s="575" t="s">
        <v>725</v>
      </c>
      <c r="H42" s="575" t="s">
        <v>726</v>
      </c>
      <c r="I42" s="592">
        <v>18150</v>
      </c>
      <c r="J42" s="592">
        <v>1</v>
      </c>
      <c r="K42" s="593">
        <v>18150</v>
      </c>
    </row>
    <row r="43" spans="1:11" ht="14.4" customHeight="1" x14ac:dyDescent="0.3">
      <c r="A43" s="571" t="s">
        <v>444</v>
      </c>
      <c r="B43" s="572" t="s">
        <v>445</v>
      </c>
      <c r="C43" s="575" t="s">
        <v>457</v>
      </c>
      <c r="D43" s="613" t="s">
        <v>458</v>
      </c>
      <c r="E43" s="575" t="s">
        <v>699</v>
      </c>
      <c r="F43" s="613" t="s">
        <v>700</v>
      </c>
      <c r="G43" s="575" t="s">
        <v>727</v>
      </c>
      <c r="H43" s="575" t="s">
        <v>728</v>
      </c>
      <c r="I43" s="592">
        <v>2843.5</v>
      </c>
      <c r="J43" s="592">
        <v>2</v>
      </c>
      <c r="K43" s="593">
        <v>5687</v>
      </c>
    </row>
    <row r="44" spans="1:11" ht="14.4" customHeight="1" x14ac:dyDescent="0.3">
      <c r="A44" s="571" t="s">
        <v>444</v>
      </c>
      <c r="B44" s="572" t="s">
        <v>445</v>
      </c>
      <c r="C44" s="575" t="s">
        <v>457</v>
      </c>
      <c r="D44" s="613" t="s">
        <v>458</v>
      </c>
      <c r="E44" s="575" t="s">
        <v>699</v>
      </c>
      <c r="F44" s="613" t="s">
        <v>700</v>
      </c>
      <c r="G44" s="575" t="s">
        <v>729</v>
      </c>
      <c r="H44" s="575" t="s">
        <v>730</v>
      </c>
      <c r="I44" s="592">
        <v>14570.8203125</v>
      </c>
      <c r="J44" s="592">
        <v>1</v>
      </c>
      <c r="K44" s="593">
        <v>14570.8203125</v>
      </c>
    </row>
    <row r="45" spans="1:11" ht="14.4" customHeight="1" x14ac:dyDescent="0.3">
      <c r="A45" s="571" t="s">
        <v>444</v>
      </c>
      <c r="B45" s="572" t="s">
        <v>445</v>
      </c>
      <c r="C45" s="575" t="s">
        <v>457</v>
      </c>
      <c r="D45" s="613" t="s">
        <v>458</v>
      </c>
      <c r="E45" s="575" t="s">
        <v>699</v>
      </c>
      <c r="F45" s="613" t="s">
        <v>700</v>
      </c>
      <c r="G45" s="575" t="s">
        <v>731</v>
      </c>
      <c r="H45" s="575" t="s">
        <v>732</v>
      </c>
      <c r="I45" s="592">
        <v>17097.3203125</v>
      </c>
      <c r="J45" s="592">
        <v>1</v>
      </c>
      <c r="K45" s="593">
        <v>17097.3203125</v>
      </c>
    </row>
    <row r="46" spans="1:11" ht="14.4" customHeight="1" x14ac:dyDescent="0.3">
      <c r="A46" s="571" t="s">
        <v>444</v>
      </c>
      <c r="B46" s="572" t="s">
        <v>445</v>
      </c>
      <c r="C46" s="575" t="s">
        <v>457</v>
      </c>
      <c r="D46" s="613" t="s">
        <v>458</v>
      </c>
      <c r="E46" s="575" t="s">
        <v>699</v>
      </c>
      <c r="F46" s="613" t="s">
        <v>700</v>
      </c>
      <c r="G46" s="575" t="s">
        <v>733</v>
      </c>
      <c r="H46" s="575" t="s">
        <v>734</v>
      </c>
      <c r="I46" s="592">
        <v>8712</v>
      </c>
      <c r="J46" s="592">
        <v>1</v>
      </c>
      <c r="K46" s="593">
        <v>8712</v>
      </c>
    </row>
    <row r="47" spans="1:11" ht="14.4" customHeight="1" x14ac:dyDescent="0.3">
      <c r="A47" s="571" t="s">
        <v>444</v>
      </c>
      <c r="B47" s="572" t="s">
        <v>445</v>
      </c>
      <c r="C47" s="575" t="s">
        <v>457</v>
      </c>
      <c r="D47" s="613" t="s">
        <v>458</v>
      </c>
      <c r="E47" s="575" t="s">
        <v>699</v>
      </c>
      <c r="F47" s="613" t="s">
        <v>700</v>
      </c>
      <c r="G47" s="575" t="s">
        <v>735</v>
      </c>
      <c r="H47" s="575" t="s">
        <v>736</v>
      </c>
      <c r="I47" s="592">
        <v>646.16998291015625</v>
      </c>
      <c r="J47" s="592">
        <v>1</v>
      </c>
      <c r="K47" s="593">
        <v>646.16998291015625</v>
      </c>
    </row>
    <row r="48" spans="1:11" ht="14.4" customHeight="1" x14ac:dyDescent="0.3">
      <c r="A48" s="571" t="s">
        <v>444</v>
      </c>
      <c r="B48" s="572" t="s">
        <v>445</v>
      </c>
      <c r="C48" s="575" t="s">
        <v>457</v>
      </c>
      <c r="D48" s="613" t="s">
        <v>458</v>
      </c>
      <c r="E48" s="575" t="s">
        <v>699</v>
      </c>
      <c r="F48" s="613" t="s">
        <v>700</v>
      </c>
      <c r="G48" s="575" t="s">
        <v>737</v>
      </c>
      <c r="H48" s="575" t="s">
        <v>738</v>
      </c>
      <c r="I48" s="592">
        <v>307.39999389648437</v>
      </c>
      <c r="J48" s="592">
        <v>1</v>
      </c>
      <c r="K48" s="593">
        <v>307.39999389648437</v>
      </c>
    </row>
    <row r="49" spans="1:11" ht="14.4" customHeight="1" x14ac:dyDescent="0.3">
      <c r="A49" s="571" t="s">
        <v>444</v>
      </c>
      <c r="B49" s="572" t="s">
        <v>445</v>
      </c>
      <c r="C49" s="575" t="s">
        <v>457</v>
      </c>
      <c r="D49" s="613" t="s">
        <v>458</v>
      </c>
      <c r="E49" s="575" t="s">
        <v>699</v>
      </c>
      <c r="F49" s="613" t="s">
        <v>700</v>
      </c>
      <c r="G49" s="575" t="s">
        <v>739</v>
      </c>
      <c r="H49" s="575" t="s">
        <v>740</v>
      </c>
      <c r="I49" s="592">
        <v>173.91900989227574</v>
      </c>
      <c r="J49" s="592">
        <v>3</v>
      </c>
      <c r="K49" s="593">
        <v>521.75702967682719</v>
      </c>
    </row>
    <row r="50" spans="1:11" ht="14.4" customHeight="1" x14ac:dyDescent="0.3">
      <c r="A50" s="571" t="s">
        <v>444</v>
      </c>
      <c r="B50" s="572" t="s">
        <v>445</v>
      </c>
      <c r="C50" s="575" t="s">
        <v>457</v>
      </c>
      <c r="D50" s="613" t="s">
        <v>458</v>
      </c>
      <c r="E50" s="575" t="s">
        <v>699</v>
      </c>
      <c r="F50" s="613" t="s">
        <v>700</v>
      </c>
      <c r="G50" s="575" t="s">
        <v>741</v>
      </c>
      <c r="H50" s="575" t="s">
        <v>742</v>
      </c>
      <c r="I50" s="592">
        <v>97.650001525878906</v>
      </c>
      <c r="J50" s="592">
        <v>1</v>
      </c>
      <c r="K50" s="593">
        <v>97.650001525878906</v>
      </c>
    </row>
    <row r="51" spans="1:11" ht="14.4" customHeight="1" x14ac:dyDescent="0.3">
      <c r="A51" s="571" t="s">
        <v>444</v>
      </c>
      <c r="B51" s="572" t="s">
        <v>445</v>
      </c>
      <c r="C51" s="575" t="s">
        <v>457</v>
      </c>
      <c r="D51" s="613" t="s">
        <v>458</v>
      </c>
      <c r="E51" s="575" t="s">
        <v>699</v>
      </c>
      <c r="F51" s="613" t="s">
        <v>700</v>
      </c>
      <c r="G51" s="575" t="s">
        <v>743</v>
      </c>
      <c r="H51" s="575" t="s">
        <v>744</v>
      </c>
      <c r="I51" s="592">
        <v>280</v>
      </c>
      <c r="J51" s="592">
        <v>1</v>
      </c>
      <c r="K51" s="593">
        <v>280</v>
      </c>
    </row>
    <row r="52" spans="1:11" ht="14.4" customHeight="1" x14ac:dyDescent="0.3">
      <c r="A52" s="571" t="s">
        <v>444</v>
      </c>
      <c r="B52" s="572" t="s">
        <v>445</v>
      </c>
      <c r="C52" s="575" t="s">
        <v>457</v>
      </c>
      <c r="D52" s="613" t="s">
        <v>458</v>
      </c>
      <c r="E52" s="575" t="s">
        <v>699</v>
      </c>
      <c r="F52" s="613" t="s">
        <v>700</v>
      </c>
      <c r="G52" s="575" t="s">
        <v>745</v>
      </c>
      <c r="H52" s="575" t="s">
        <v>746</v>
      </c>
      <c r="I52" s="592">
        <v>3739</v>
      </c>
      <c r="J52" s="592">
        <v>4</v>
      </c>
      <c r="K52" s="593">
        <v>14956</v>
      </c>
    </row>
    <row r="53" spans="1:11" ht="14.4" customHeight="1" x14ac:dyDescent="0.3">
      <c r="A53" s="571" t="s">
        <v>444</v>
      </c>
      <c r="B53" s="572" t="s">
        <v>445</v>
      </c>
      <c r="C53" s="575" t="s">
        <v>457</v>
      </c>
      <c r="D53" s="613" t="s">
        <v>458</v>
      </c>
      <c r="E53" s="575" t="s">
        <v>699</v>
      </c>
      <c r="F53" s="613" t="s">
        <v>700</v>
      </c>
      <c r="G53" s="575" t="s">
        <v>747</v>
      </c>
      <c r="H53" s="575" t="s">
        <v>748</v>
      </c>
      <c r="I53" s="592">
        <v>31930.822265625</v>
      </c>
      <c r="J53" s="592">
        <v>4</v>
      </c>
      <c r="K53" s="593">
        <v>127723.2890625</v>
      </c>
    </row>
    <row r="54" spans="1:11" ht="14.4" customHeight="1" x14ac:dyDescent="0.3">
      <c r="A54" s="571" t="s">
        <v>444</v>
      </c>
      <c r="B54" s="572" t="s">
        <v>445</v>
      </c>
      <c r="C54" s="575" t="s">
        <v>457</v>
      </c>
      <c r="D54" s="613" t="s">
        <v>458</v>
      </c>
      <c r="E54" s="575" t="s">
        <v>699</v>
      </c>
      <c r="F54" s="613" t="s">
        <v>700</v>
      </c>
      <c r="G54" s="575" t="s">
        <v>749</v>
      </c>
      <c r="H54" s="575" t="s">
        <v>750</v>
      </c>
      <c r="I54" s="592">
        <v>9297</v>
      </c>
      <c r="J54" s="592">
        <v>1</v>
      </c>
      <c r="K54" s="593">
        <v>9297</v>
      </c>
    </row>
    <row r="55" spans="1:11" ht="14.4" customHeight="1" x14ac:dyDescent="0.3">
      <c r="A55" s="571" t="s">
        <v>444</v>
      </c>
      <c r="B55" s="572" t="s">
        <v>445</v>
      </c>
      <c r="C55" s="575" t="s">
        <v>457</v>
      </c>
      <c r="D55" s="613" t="s">
        <v>458</v>
      </c>
      <c r="E55" s="575" t="s">
        <v>699</v>
      </c>
      <c r="F55" s="613" t="s">
        <v>700</v>
      </c>
      <c r="G55" s="575" t="s">
        <v>751</v>
      </c>
      <c r="H55" s="575" t="s">
        <v>752</v>
      </c>
      <c r="I55" s="592">
        <v>65544.109375</v>
      </c>
      <c r="J55" s="592">
        <v>1</v>
      </c>
      <c r="K55" s="593">
        <v>65544.109375</v>
      </c>
    </row>
    <row r="56" spans="1:11" ht="14.4" customHeight="1" x14ac:dyDescent="0.3">
      <c r="A56" s="571" t="s">
        <v>444</v>
      </c>
      <c r="B56" s="572" t="s">
        <v>445</v>
      </c>
      <c r="C56" s="575" t="s">
        <v>457</v>
      </c>
      <c r="D56" s="613" t="s">
        <v>458</v>
      </c>
      <c r="E56" s="575" t="s">
        <v>699</v>
      </c>
      <c r="F56" s="613" t="s">
        <v>700</v>
      </c>
      <c r="G56" s="575" t="s">
        <v>753</v>
      </c>
      <c r="H56" s="575" t="s">
        <v>754</v>
      </c>
      <c r="I56" s="592">
        <v>14675.9599609375</v>
      </c>
      <c r="J56" s="592">
        <v>1</v>
      </c>
      <c r="K56" s="593">
        <v>14675.9599609375</v>
      </c>
    </row>
    <row r="57" spans="1:11" ht="14.4" customHeight="1" x14ac:dyDescent="0.3">
      <c r="A57" s="571" t="s">
        <v>444</v>
      </c>
      <c r="B57" s="572" t="s">
        <v>445</v>
      </c>
      <c r="C57" s="575" t="s">
        <v>457</v>
      </c>
      <c r="D57" s="613" t="s">
        <v>458</v>
      </c>
      <c r="E57" s="575" t="s">
        <v>699</v>
      </c>
      <c r="F57" s="613" t="s">
        <v>700</v>
      </c>
      <c r="G57" s="575" t="s">
        <v>755</v>
      </c>
      <c r="H57" s="575" t="s">
        <v>756</v>
      </c>
      <c r="I57" s="592">
        <v>134406.796875</v>
      </c>
      <c r="J57" s="592">
        <v>1</v>
      </c>
      <c r="K57" s="593">
        <v>134406.796875</v>
      </c>
    </row>
    <row r="58" spans="1:11" ht="14.4" customHeight="1" x14ac:dyDescent="0.3">
      <c r="A58" s="571" t="s">
        <v>444</v>
      </c>
      <c r="B58" s="572" t="s">
        <v>445</v>
      </c>
      <c r="C58" s="575" t="s">
        <v>457</v>
      </c>
      <c r="D58" s="613" t="s">
        <v>458</v>
      </c>
      <c r="E58" s="575" t="s">
        <v>699</v>
      </c>
      <c r="F58" s="613" t="s">
        <v>700</v>
      </c>
      <c r="G58" s="575" t="s">
        <v>757</v>
      </c>
      <c r="H58" s="575" t="s">
        <v>758</v>
      </c>
      <c r="I58" s="592">
        <v>1101.0999755859375</v>
      </c>
      <c r="J58" s="592">
        <v>4</v>
      </c>
      <c r="K58" s="593">
        <v>4404.39990234375</v>
      </c>
    </row>
    <row r="59" spans="1:11" ht="14.4" customHeight="1" x14ac:dyDescent="0.3">
      <c r="A59" s="571" t="s">
        <v>444</v>
      </c>
      <c r="B59" s="572" t="s">
        <v>445</v>
      </c>
      <c r="C59" s="575" t="s">
        <v>457</v>
      </c>
      <c r="D59" s="613" t="s">
        <v>458</v>
      </c>
      <c r="E59" s="575" t="s">
        <v>699</v>
      </c>
      <c r="F59" s="613" t="s">
        <v>700</v>
      </c>
      <c r="G59" s="575" t="s">
        <v>759</v>
      </c>
      <c r="H59" s="575" t="s">
        <v>760</v>
      </c>
      <c r="I59" s="592">
        <v>117.81666564941406</v>
      </c>
      <c r="J59" s="592">
        <v>10</v>
      </c>
      <c r="K59" s="593">
        <v>1175.1399993896484</v>
      </c>
    </row>
    <row r="60" spans="1:11" ht="14.4" customHeight="1" x14ac:dyDescent="0.3">
      <c r="A60" s="571" t="s">
        <v>444</v>
      </c>
      <c r="B60" s="572" t="s">
        <v>445</v>
      </c>
      <c r="C60" s="575" t="s">
        <v>457</v>
      </c>
      <c r="D60" s="613" t="s">
        <v>458</v>
      </c>
      <c r="E60" s="575" t="s">
        <v>699</v>
      </c>
      <c r="F60" s="613" t="s">
        <v>700</v>
      </c>
      <c r="G60" s="575" t="s">
        <v>761</v>
      </c>
      <c r="H60" s="575" t="s">
        <v>762</v>
      </c>
      <c r="I60" s="592">
        <v>73.569999694824219</v>
      </c>
      <c r="J60" s="592">
        <v>2</v>
      </c>
      <c r="K60" s="593">
        <v>147.1300048828125</v>
      </c>
    </row>
    <row r="61" spans="1:11" ht="14.4" customHeight="1" x14ac:dyDescent="0.3">
      <c r="A61" s="571" t="s">
        <v>444</v>
      </c>
      <c r="B61" s="572" t="s">
        <v>445</v>
      </c>
      <c r="C61" s="575" t="s">
        <v>457</v>
      </c>
      <c r="D61" s="613" t="s">
        <v>458</v>
      </c>
      <c r="E61" s="575" t="s">
        <v>699</v>
      </c>
      <c r="F61" s="613" t="s">
        <v>700</v>
      </c>
      <c r="G61" s="575" t="s">
        <v>763</v>
      </c>
      <c r="H61" s="575" t="s">
        <v>764</v>
      </c>
      <c r="I61" s="592">
        <v>93.456001281738281</v>
      </c>
      <c r="J61" s="592">
        <v>20</v>
      </c>
      <c r="K61" s="593">
        <v>1869.0900268554687</v>
      </c>
    </row>
    <row r="62" spans="1:11" ht="14.4" customHeight="1" x14ac:dyDescent="0.3">
      <c r="A62" s="571" t="s">
        <v>444</v>
      </c>
      <c r="B62" s="572" t="s">
        <v>445</v>
      </c>
      <c r="C62" s="575" t="s">
        <v>457</v>
      </c>
      <c r="D62" s="613" t="s">
        <v>458</v>
      </c>
      <c r="E62" s="575" t="s">
        <v>699</v>
      </c>
      <c r="F62" s="613" t="s">
        <v>700</v>
      </c>
      <c r="G62" s="575" t="s">
        <v>765</v>
      </c>
      <c r="H62" s="575" t="s">
        <v>766</v>
      </c>
      <c r="I62" s="592">
        <v>22082</v>
      </c>
      <c r="J62" s="592">
        <v>1</v>
      </c>
      <c r="K62" s="593">
        <v>22082</v>
      </c>
    </row>
    <row r="63" spans="1:11" ht="14.4" customHeight="1" x14ac:dyDescent="0.3">
      <c r="A63" s="571" t="s">
        <v>444</v>
      </c>
      <c r="B63" s="572" t="s">
        <v>445</v>
      </c>
      <c r="C63" s="575" t="s">
        <v>457</v>
      </c>
      <c r="D63" s="613" t="s">
        <v>458</v>
      </c>
      <c r="E63" s="575" t="s">
        <v>699</v>
      </c>
      <c r="F63" s="613" t="s">
        <v>700</v>
      </c>
      <c r="G63" s="575" t="s">
        <v>767</v>
      </c>
      <c r="H63" s="575" t="s">
        <v>768</v>
      </c>
      <c r="I63" s="592">
        <v>195.81480733604744</v>
      </c>
      <c r="J63" s="592">
        <v>3</v>
      </c>
      <c r="K63" s="593">
        <v>587.44442200814228</v>
      </c>
    </row>
    <row r="64" spans="1:11" ht="14.4" customHeight="1" x14ac:dyDescent="0.3">
      <c r="A64" s="571" t="s">
        <v>444</v>
      </c>
      <c r="B64" s="572" t="s">
        <v>445</v>
      </c>
      <c r="C64" s="575" t="s">
        <v>457</v>
      </c>
      <c r="D64" s="613" t="s">
        <v>458</v>
      </c>
      <c r="E64" s="575" t="s">
        <v>699</v>
      </c>
      <c r="F64" s="613" t="s">
        <v>700</v>
      </c>
      <c r="G64" s="575" t="s">
        <v>769</v>
      </c>
      <c r="H64" s="575" t="s">
        <v>770</v>
      </c>
      <c r="I64" s="592">
        <v>242</v>
      </c>
      <c r="J64" s="592">
        <v>4</v>
      </c>
      <c r="K64" s="593">
        <v>968</v>
      </c>
    </row>
    <row r="65" spans="1:11" ht="14.4" customHeight="1" x14ac:dyDescent="0.3">
      <c r="A65" s="571" t="s">
        <v>444</v>
      </c>
      <c r="B65" s="572" t="s">
        <v>445</v>
      </c>
      <c r="C65" s="575" t="s">
        <v>457</v>
      </c>
      <c r="D65" s="613" t="s">
        <v>458</v>
      </c>
      <c r="E65" s="575" t="s">
        <v>699</v>
      </c>
      <c r="F65" s="613" t="s">
        <v>700</v>
      </c>
      <c r="G65" s="575" t="s">
        <v>771</v>
      </c>
      <c r="H65" s="575" t="s">
        <v>772</v>
      </c>
      <c r="I65" s="592">
        <v>5316.7099609375</v>
      </c>
      <c r="J65" s="592">
        <v>1</v>
      </c>
      <c r="K65" s="593">
        <v>5316.7099609375</v>
      </c>
    </row>
    <row r="66" spans="1:11" ht="14.4" customHeight="1" x14ac:dyDescent="0.3">
      <c r="A66" s="571" t="s">
        <v>444</v>
      </c>
      <c r="B66" s="572" t="s">
        <v>445</v>
      </c>
      <c r="C66" s="575" t="s">
        <v>457</v>
      </c>
      <c r="D66" s="613" t="s">
        <v>458</v>
      </c>
      <c r="E66" s="575" t="s">
        <v>699</v>
      </c>
      <c r="F66" s="613" t="s">
        <v>700</v>
      </c>
      <c r="G66" s="575" t="s">
        <v>773</v>
      </c>
      <c r="H66" s="575" t="s">
        <v>774</v>
      </c>
      <c r="I66" s="592">
        <v>1246.2999877929687</v>
      </c>
      <c r="J66" s="592">
        <v>9</v>
      </c>
      <c r="K66" s="593">
        <v>11192.5</v>
      </c>
    </row>
    <row r="67" spans="1:11" ht="14.4" customHeight="1" x14ac:dyDescent="0.3">
      <c r="A67" s="571" t="s">
        <v>444</v>
      </c>
      <c r="B67" s="572" t="s">
        <v>445</v>
      </c>
      <c r="C67" s="575" t="s">
        <v>457</v>
      </c>
      <c r="D67" s="613" t="s">
        <v>458</v>
      </c>
      <c r="E67" s="575" t="s">
        <v>699</v>
      </c>
      <c r="F67" s="613" t="s">
        <v>700</v>
      </c>
      <c r="G67" s="575" t="s">
        <v>775</v>
      </c>
      <c r="H67" s="575" t="s">
        <v>776</v>
      </c>
      <c r="I67" s="592">
        <v>6134.60009765625</v>
      </c>
      <c r="J67" s="592">
        <v>1</v>
      </c>
      <c r="K67" s="593">
        <v>6134.60009765625</v>
      </c>
    </row>
    <row r="68" spans="1:11" ht="14.4" customHeight="1" x14ac:dyDescent="0.3">
      <c r="A68" s="571" t="s">
        <v>444</v>
      </c>
      <c r="B68" s="572" t="s">
        <v>445</v>
      </c>
      <c r="C68" s="575" t="s">
        <v>457</v>
      </c>
      <c r="D68" s="613" t="s">
        <v>458</v>
      </c>
      <c r="E68" s="575" t="s">
        <v>699</v>
      </c>
      <c r="F68" s="613" t="s">
        <v>700</v>
      </c>
      <c r="G68" s="575" t="s">
        <v>777</v>
      </c>
      <c r="H68" s="575" t="s">
        <v>778</v>
      </c>
      <c r="I68" s="592">
        <v>6174.06005859375</v>
      </c>
      <c r="J68" s="592">
        <v>1</v>
      </c>
      <c r="K68" s="593">
        <v>6174.06005859375</v>
      </c>
    </row>
    <row r="69" spans="1:11" ht="14.4" customHeight="1" x14ac:dyDescent="0.3">
      <c r="A69" s="571" t="s">
        <v>444</v>
      </c>
      <c r="B69" s="572" t="s">
        <v>445</v>
      </c>
      <c r="C69" s="575" t="s">
        <v>457</v>
      </c>
      <c r="D69" s="613" t="s">
        <v>458</v>
      </c>
      <c r="E69" s="575" t="s">
        <v>699</v>
      </c>
      <c r="F69" s="613" t="s">
        <v>700</v>
      </c>
      <c r="G69" s="575" t="s">
        <v>779</v>
      </c>
      <c r="H69" s="575" t="s">
        <v>780</v>
      </c>
      <c r="I69" s="592">
        <v>289.34970736246368</v>
      </c>
      <c r="J69" s="592">
        <v>12</v>
      </c>
      <c r="K69" s="593">
        <v>3472.1964883495643</v>
      </c>
    </row>
    <row r="70" spans="1:11" ht="14.4" customHeight="1" x14ac:dyDescent="0.3">
      <c r="A70" s="571" t="s">
        <v>444</v>
      </c>
      <c r="B70" s="572" t="s">
        <v>445</v>
      </c>
      <c r="C70" s="575" t="s">
        <v>457</v>
      </c>
      <c r="D70" s="613" t="s">
        <v>458</v>
      </c>
      <c r="E70" s="575" t="s">
        <v>699</v>
      </c>
      <c r="F70" s="613" t="s">
        <v>700</v>
      </c>
      <c r="G70" s="575" t="s">
        <v>781</v>
      </c>
      <c r="H70" s="575" t="s">
        <v>782</v>
      </c>
      <c r="I70" s="592">
        <v>319.29682922363281</v>
      </c>
      <c r="J70" s="592">
        <v>61</v>
      </c>
      <c r="K70" s="593">
        <v>22926.900634765625</v>
      </c>
    </row>
    <row r="71" spans="1:11" ht="14.4" customHeight="1" x14ac:dyDescent="0.3">
      <c r="A71" s="571" t="s">
        <v>444</v>
      </c>
      <c r="B71" s="572" t="s">
        <v>445</v>
      </c>
      <c r="C71" s="575" t="s">
        <v>457</v>
      </c>
      <c r="D71" s="613" t="s">
        <v>458</v>
      </c>
      <c r="E71" s="575" t="s">
        <v>699</v>
      </c>
      <c r="F71" s="613" t="s">
        <v>700</v>
      </c>
      <c r="G71" s="575" t="s">
        <v>783</v>
      </c>
      <c r="H71" s="575" t="s">
        <v>784</v>
      </c>
      <c r="I71" s="592">
        <v>15554</v>
      </c>
      <c r="J71" s="592">
        <v>2</v>
      </c>
      <c r="K71" s="593">
        <v>31108</v>
      </c>
    </row>
    <row r="72" spans="1:11" ht="14.4" customHeight="1" x14ac:dyDescent="0.3">
      <c r="A72" s="571" t="s">
        <v>444</v>
      </c>
      <c r="B72" s="572" t="s">
        <v>445</v>
      </c>
      <c r="C72" s="575" t="s">
        <v>457</v>
      </c>
      <c r="D72" s="613" t="s">
        <v>458</v>
      </c>
      <c r="E72" s="575" t="s">
        <v>699</v>
      </c>
      <c r="F72" s="613" t="s">
        <v>700</v>
      </c>
      <c r="G72" s="575" t="s">
        <v>785</v>
      </c>
      <c r="H72" s="575" t="s">
        <v>786</v>
      </c>
      <c r="I72" s="592">
        <v>23522.5</v>
      </c>
      <c r="J72" s="592">
        <v>2</v>
      </c>
      <c r="K72" s="593">
        <v>47045</v>
      </c>
    </row>
    <row r="73" spans="1:11" ht="14.4" customHeight="1" x14ac:dyDescent="0.3">
      <c r="A73" s="571" t="s">
        <v>444</v>
      </c>
      <c r="B73" s="572" t="s">
        <v>445</v>
      </c>
      <c r="C73" s="575" t="s">
        <v>457</v>
      </c>
      <c r="D73" s="613" t="s">
        <v>458</v>
      </c>
      <c r="E73" s="575" t="s">
        <v>699</v>
      </c>
      <c r="F73" s="613" t="s">
        <v>700</v>
      </c>
      <c r="G73" s="575" t="s">
        <v>787</v>
      </c>
      <c r="H73" s="575" t="s">
        <v>788</v>
      </c>
      <c r="I73" s="592">
        <v>15527</v>
      </c>
      <c r="J73" s="592">
        <v>1</v>
      </c>
      <c r="K73" s="593">
        <v>15527</v>
      </c>
    </row>
    <row r="74" spans="1:11" ht="14.4" customHeight="1" x14ac:dyDescent="0.3">
      <c r="A74" s="571" t="s">
        <v>444</v>
      </c>
      <c r="B74" s="572" t="s">
        <v>445</v>
      </c>
      <c r="C74" s="575" t="s">
        <v>457</v>
      </c>
      <c r="D74" s="613" t="s">
        <v>458</v>
      </c>
      <c r="E74" s="575" t="s">
        <v>699</v>
      </c>
      <c r="F74" s="613" t="s">
        <v>700</v>
      </c>
      <c r="G74" s="575" t="s">
        <v>789</v>
      </c>
      <c r="H74" s="575" t="s">
        <v>790</v>
      </c>
      <c r="I74" s="592">
        <v>755.76725495153448</v>
      </c>
      <c r="J74" s="592">
        <v>3</v>
      </c>
      <c r="K74" s="593">
        <v>2267.3017648546033</v>
      </c>
    </row>
    <row r="75" spans="1:11" ht="14.4" customHeight="1" x14ac:dyDescent="0.3">
      <c r="A75" s="571" t="s">
        <v>444</v>
      </c>
      <c r="B75" s="572" t="s">
        <v>445</v>
      </c>
      <c r="C75" s="575" t="s">
        <v>457</v>
      </c>
      <c r="D75" s="613" t="s">
        <v>458</v>
      </c>
      <c r="E75" s="575" t="s">
        <v>699</v>
      </c>
      <c r="F75" s="613" t="s">
        <v>700</v>
      </c>
      <c r="G75" s="575" t="s">
        <v>791</v>
      </c>
      <c r="H75" s="575" t="s">
        <v>792</v>
      </c>
      <c r="I75" s="592">
        <v>303.6215906196532</v>
      </c>
      <c r="J75" s="592">
        <v>6</v>
      </c>
      <c r="K75" s="593">
        <v>1821.7295437179193</v>
      </c>
    </row>
    <row r="76" spans="1:11" ht="14.4" customHeight="1" x14ac:dyDescent="0.3">
      <c r="A76" s="571" t="s">
        <v>444</v>
      </c>
      <c r="B76" s="572" t="s">
        <v>445</v>
      </c>
      <c r="C76" s="575" t="s">
        <v>457</v>
      </c>
      <c r="D76" s="613" t="s">
        <v>458</v>
      </c>
      <c r="E76" s="575" t="s">
        <v>699</v>
      </c>
      <c r="F76" s="613" t="s">
        <v>700</v>
      </c>
      <c r="G76" s="575" t="s">
        <v>793</v>
      </c>
      <c r="H76" s="575" t="s">
        <v>794</v>
      </c>
      <c r="I76" s="592">
        <v>202.39999389648437</v>
      </c>
      <c r="J76" s="592">
        <v>5</v>
      </c>
      <c r="K76" s="593">
        <v>1012</v>
      </c>
    </row>
    <row r="77" spans="1:11" ht="14.4" customHeight="1" x14ac:dyDescent="0.3">
      <c r="A77" s="571" t="s">
        <v>444</v>
      </c>
      <c r="B77" s="572" t="s">
        <v>445</v>
      </c>
      <c r="C77" s="575" t="s">
        <v>457</v>
      </c>
      <c r="D77" s="613" t="s">
        <v>458</v>
      </c>
      <c r="E77" s="575" t="s">
        <v>699</v>
      </c>
      <c r="F77" s="613" t="s">
        <v>700</v>
      </c>
      <c r="G77" s="575" t="s">
        <v>795</v>
      </c>
      <c r="H77" s="575" t="s">
        <v>796</v>
      </c>
      <c r="I77" s="592">
        <v>0.11999999731779099</v>
      </c>
      <c r="J77" s="592">
        <v>1</v>
      </c>
      <c r="K77" s="593">
        <v>0.11999999731779099</v>
      </c>
    </row>
    <row r="78" spans="1:11" ht="14.4" customHeight="1" x14ac:dyDescent="0.3">
      <c r="A78" s="571" t="s">
        <v>444</v>
      </c>
      <c r="B78" s="572" t="s">
        <v>445</v>
      </c>
      <c r="C78" s="575" t="s">
        <v>457</v>
      </c>
      <c r="D78" s="613" t="s">
        <v>458</v>
      </c>
      <c r="E78" s="575" t="s">
        <v>699</v>
      </c>
      <c r="F78" s="613" t="s">
        <v>700</v>
      </c>
      <c r="G78" s="575" t="s">
        <v>797</v>
      </c>
      <c r="H78" s="575" t="s">
        <v>798</v>
      </c>
      <c r="I78" s="592">
        <v>41685.494140625</v>
      </c>
      <c r="J78" s="592">
        <v>2</v>
      </c>
      <c r="K78" s="593">
        <v>83370.98828125</v>
      </c>
    </row>
    <row r="79" spans="1:11" ht="14.4" customHeight="1" x14ac:dyDescent="0.3">
      <c r="A79" s="571" t="s">
        <v>444</v>
      </c>
      <c r="B79" s="572" t="s">
        <v>445</v>
      </c>
      <c r="C79" s="575" t="s">
        <v>457</v>
      </c>
      <c r="D79" s="613" t="s">
        <v>458</v>
      </c>
      <c r="E79" s="575" t="s">
        <v>699</v>
      </c>
      <c r="F79" s="613" t="s">
        <v>700</v>
      </c>
      <c r="G79" s="575" t="s">
        <v>799</v>
      </c>
      <c r="H79" s="575" t="s">
        <v>800</v>
      </c>
      <c r="I79" s="592">
        <v>14542.1103515625</v>
      </c>
      <c r="J79" s="592">
        <v>1</v>
      </c>
      <c r="K79" s="593">
        <v>14542.1103515625</v>
      </c>
    </row>
    <row r="80" spans="1:11" ht="14.4" customHeight="1" x14ac:dyDescent="0.3">
      <c r="A80" s="571" t="s">
        <v>444</v>
      </c>
      <c r="B80" s="572" t="s">
        <v>445</v>
      </c>
      <c r="C80" s="575" t="s">
        <v>457</v>
      </c>
      <c r="D80" s="613" t="s">
        <v>458</v>
      </c>
      <c r="E80" s="575" t="s">
        <v>699</v>
      </c>
      <c r="F80" s="613" t="s">
        <v>700</v>
      </c>
      <c r="G80" s="575" t="s">
        <v>801</v>
      </c>
      <c r="H80" s="575" t="s">
        <v>802</v>
      </c>
      <c r="I80" s="592">
        <v>14739.98046875</v>
      </c>
      <c r="J80" s="592">
        <v>1</v>
      </c>
      <c r="K80" s="593">
        <v>14739.98046875</v>
      </c>
    </row>
    <row r="81" spans="1:11" ht="14.4" customHeight="1" x14ac:dyDescent="0.3">
      <c r="A81" s="571" t="s">
        <v>444</v>
      </c>
      <c r="B81" s="572" t="s">
        <v>445</v>
      </c>
      <c r="C81" s="575" t="s">
        <v>457</v>
      </c>
      <c r="D81" s="613" t="s">
        <v>458</v>
      </c>
      <c r="E81" s="575" t="s">
        <v>699</v>
      </c>
      <c r="F81" s="613" t="s">
        <v>700</v>
      </c>
      <c r="G81" s="575" t="s">
        <v>803</v>
      </c>
      <c r="H81" s="575" t="s">
        <v>804</v>
      </c>
      <c r="I81" s="592">
        <v>7325.5498046875</v>
      </c>
      <c r="J81" s="592">
        <v>1</v>
      </c>
      <c r="K81" s="593">
        <v>7325.5498046875</v>
      </c>
    </row>
    <row r="82" spans="1:11" ht="14.4" customHeight="1" x14ac:dyDescent="0.3">
      <c r="A82" s="571" t="s">
        <v>444</v>
      </c>
      <c r="B82" s="572" t="s">
        <v>445</v>
      </c>
      <c r="C82" s="575" t="s">
        <v>457</v>
      </c>
      <c r="D82" s="613" t="s">
        <v>458</v>
      </c>
      <c r="E82" s="575" t="s">
        <v>699</v>
      </c>
      <c r="F82" s="613" t="s">
        <v>700</v>
      </c>
      <c r="G82" s="575" t="s">
        <v>805</v>
      </c>
      <c r="H82" s="575" t="s">
        <v>806</v>
      </c>
      <c r="I82" s="592">
        <v>29279.220703125</v>
      </c>
      <c r="J82" s="592">
        <v>1</v>
      </c>
      <c r="K82" s="593">
        <v>29279.220703125</v>
      </c>
    </row>
    <row r="83" spans="1:11" ht="14.4" customHeight="1" x14ac:dyDescent="0.3">
      <c r="A83" s="571" t="s">
        <v>444</v>
      </c>
      <c r="B83" s="572" t="s">
        <v>445</v>
      </c>
      <c r="C83" s="575" t="s">
        <v>457</v>
      </c>
      <c r="D83" s="613" t="s">
        <v>458</v>
      </c>
      <c r="E83" s="575" t="s">
        <v>699</v>
      </c>
      <c r="F83" s="613" t="s">
        <v>700</v>
      </c>
      <c r="G83" s="575" t="s">
        <v>807</v>
      </c>
      <c r="H83" s="575" t="s">
        <v>808</v>
      </c>
      <c r="I83" s="592">
        <v>14762.919921875</v>
      </c>
      <c r="J83" s="592">
        <v>1</v>
      </c>
      <c r="K83" s="593">
        <v>14762.919921875</v>
      </c>
    </row>
    <row r="84" spans="1:11" ht="14.4" customHeight="1" x14ac:dyDescent="0.3">
      <c r="A84" s="571" t="s">
        <v>444</v>
      </c>
      <c r="B84" s="572" t="s">
        <v>445</v>
      </c>
      <c r="C84" s="575" t="s">
        <v>457</v>
      </c>
      <c r="D84" s="613" t="s">
        <v>458</v>
      </c>
      <c r="E84" s="575" t="s">
        <v>699</v>
      </c>
      <c r="F84" s="613" t="s">
        <v>700</v>
      </c>
      <c r="G84" s="575" t="s">
        <v>809</v>
      </c>
      <c r="H84" s="575" t="s">
        <v>810</v>
      </c>
      <c r="I84" s="592">
        <v>7271.0498046875</v>
      </c>
      <c r="J84" s="592">
        <v>1</v>
      </c>
      <c r="K84" s="593">
        <v>7271.0498046875</v>
      </c>
    </row>
    <row r="85" spans="1:11" ht="14.4" customHeight="1" x14ac:dyDescent="0.3">
      <c r="A85" s="571" t="s">
        <v>444</v>
      </c>
      <c r="B85" s="572" t="s">
        <v>445</v>
      </c>
      <c r="C85" s="575" t="s">
        <v>457</v>
      </c>
      <c r="D85" s="613" t="s">
        <v>458</v>
      </c>
      <c r="E85" s="575" t="s">
        <v>699</v>
      </c>
      <c r="F85" s="613" t="s">
        <v>700</v>
      </c>
      <c r="G85" s="575" t="s">
        <v>811</v>
      </c>
      <c r="H85" s="575" t="s">
        <v>812</v>
      </c>
      <c r="I85" s="592">
        <v>7271.0498046875</v>
      </c>
      <c r="J85" s="592">
        <v>1</v>
      </c>
      <c r="K85" s="593">
        <v>7271.0498046875</v>
      </c>
    </row>
    <row r="86" spans="1:11" ht="14.4" customHeight="1" x14ac:dyDescent="0.3">
      <c r="A86" s="571" t="s">
        <v>444</v>
      </c>
      <c r="B86" s="572" t="s">
        <v>445</v>
      </c>
      <c r="C86" s="575" t="s">
        <v>457</v>
      </c>
      <c r="D86" s="613" t="s">
        <v>458</v>
      </c>
      <c r="E86" s="575" t="s">
        <v>699</v>
      </c>
      <c r="F86" s="613" t="s">
        <v>700</v>
      </c>
      <c r="G86" s="575" t="s">
        <v>813</v>
      </c>
      <c r="H86" s="575" t="s">
        <v>814</v>
      </c>
      <c r="I86" s="592">
        <v>15118.51513671875</v>
      </c>
      <c r="J86" s="592">
        <v>2</v>
      </c>
      <c r="K86" s="593">
        <v>30237.0302734375</v>
      </c>
    </row>
    <row r="87" spans="1:11" ht="14.4" customHeight="1" x14ac:dyDescent="0.3">
      <c r="A87" s="571" t="s">
        <v>444</v>
      </c>
      <c r="B87" s="572" t="s">
        <v>445</v>
      </c>
      <c r="C87" s="575" t="s">
        <v>457</v>
      </c>
      <c r="D87" s="613" t="s">
        <v>458</v>
      </c>
      <c r="E87" s="575" t="s">
        <v>699</v>
      </c>
      <c r="F87" s="613" t="s">
        <v>700</v>
      </c>
      <c r="G87" s="575" t="s">
        <v>815</v>
      </c>
      <c r="H87" s="575" t="s">
        <v>816</v>
      </c>
      <c r="I87" s="592">
        <v>13821.009765625</v>
      </c>
      <c r="J87" s="592">
        <v>1</v>
      </c>
      <c r="K87" s="593">
        <v>13821.009765625</v>
      </c>
    </row>
    <row r="88" spans="1:11" ht="14.4" customHeight="1" x14ac:dyDescent="0.3">
      <c r="A88" s="571" t="s">
        <v>444</v>
      </c>
      <c r="B88" s="572" t="s">
        <v>445</v>
      </c>
      <c r="C88" s="575" t="s">
        <v>457</v>
      </c>
      <c r="D88" s="613" t="s">
        <v>458</v>
      </c>
      <c r="E88" s="575" t="s">
        <v>699</v>
      </c>
      <c r="F88" s="613" t="s">
        <v>700</v>
      </c>
      <c r="G88" s="575" t="s">
        <v>817</v>
      </c>
      <c r="H88" s="575" t="s">
        <v>818</v>
      </c>
      <c r="I88" s="592">
        <v>14762.919921875</v>
      </c>
      <c r="J88" s="592">
        <v>1</v>
      </c>
      <c r="K88" s="593">
        <v>14762.919921875</v>
      </c>
    </row>
    <row r="89" spans="1:11" ht="14.4" customHeight="1" x14ac:dyDescent="0.3">
      <c r="A89" s="571" t="s">
        <v>444</v>
      </c>
      <c r="B89" s="572" t="s">
        <v>445</v>
      </c>
      <c r="C89" s="575" t="s">
        <v>457</v>
      </c>
      <c r="D89" s="613" t="s">
        <v>458</v>
      </c>
      <c r="E89" s="575" t="s">
        <v>699</v>
      </c>
      <c r="F89" s="613" t="s">
        <v>700</v>
      </c>
      <c r="G89" s="575" t="s">
        <v>819</v>
      </c>
      <c r="H89" s="575" t="s">
        <v>820</v>
      </c>
      <c r="I89" s="592">
        <v>7243.81005859375</v>
      </c>
      <c r="J89" s="592">
        <v>1</v>
      </c>
      <c r="K89" s="593">
        <v>7243.81005859375</v>
      </c>
    </row>
    <row r="90" spans="1:11" ht="14.4" customHeight="1" x14ac:dyDescent="0.3">
      <c r="A90" s="571" t="s">
        <v>444</v>
      </c>
      <c r="B90" s="572" t="s">
        <v>445</v>
      </c>
      <c r="C90" s="575" t="s">
        <v>457</v>
      </c>
      <c r="D90" s="613" t="s">
        <v>458</v>
      </c>
      <c r="E90" s="575" t="s">
        <v>699</v>
      </c>
      <c r="F90" s="613" t="s">
        <v>700</v>
      </c>
      <c r="G90" s="575" t="s">
        <v>821</v>
      </c>
      <c r="H90" s="575" t="s">
        <v>822</v>
      </c>
      <c r="I90" s="592">
        <v>7271.0498046875</v>
      </c>
      <c r="J90" s="592">
        <v>1</v>
      </c>
      <c r="K90" s="593">
        <v>7271.0498046875</v>
      </c>
    </row>
    <row r="91" spans="1:11" ht="14.4" customHeight="1" x14ac:dyDescent="0.3">
      <c r="A91" s="571" t="s">
        <v>444</v>
      </c>
      <c r="B91" s="572" t="s">
        <v>445</v>
      </c>
      <c r="C91" s="575" t="s">
        <v>457</v>
      </c>
      <c r="D91" s="613" t="s">
        <v>458</v>
      </c>
      <c r="E91" s="575" t="s">
        <v>699</v>
      </c>
      <c r="F91" s="613" t="s">
        <v>700</v>
      </c>
      <c r="G91" s="575" t="s">
        <v>823</v>
      </c>
      <c r="H91" s="575" t="s">
        <v>824</v>
      </c>
      <c r="I91" s="592">
        <v>7271.0498046875</v>
      </c>
      <c r="J91" s="592">
        <v>1</v>
      </c>
      <c r="K91" s="593">
        <v>7271.0498046875</v>
      </c>
    </row>
    <row r="92" spans="1:11" ht="14.4" customHeight="1" x14ac:dyDescent="0.3">
      <c r="A92" s="571" t="s">
        <v>444</v>
      </c>
      <c r="B92" s="572" t="s">
        <v>445</v>
      </c>
      <c r="C92" s="575" t="s">
        <v>457</v>
      </c>
      <c r="D92" s="613" t="s">
        <v>458</v>
      </c>
      <c r="E92" s="575" t="s">
        <v>699</v>
      </c>
      <c r="F92" s="613" t="s">
        <v>700</v>
      </c>
      <c r="G92" s="575" t="s">
        <v>825</v>
      </c>
      <c r="H92" s="575" t="s">
        <v>826</v>
      </c>
      <c r="I92" s="592">
        <v>29279.220703125</v>
      </c>
      <c r="J92" s="592">
        <v>1</v>
      </c>
      <c r="K92" s="593">
        <v>29279.220703125</v>
      </c>
    </row>
    <row r="93" spans="1:11" ht="14.4" customHeight="1" x14ac:dyDescent="0.3">
      <c r="A93" s="571" t="s">
        <v>444</v>
      </c>
      <c r="B93" s="572" t="s">
        <v>445</v>
      </c>
      <c r="C93" s="575" t="s">
        <v>457</v>
      </c>
      <c r="D93" s="613" t="s">
        <v>458</v>
      </c>
      <c r="E93" s="575" t="s">
        <v>699</v>
      </c>
      <c r="F93" s="613" t="s">
        <v>700</v>
      </c>
      <c r="G93" s="575" t="s">
        <v>827</v>
      </c>
      <c r="H93" s="575" t="s">
        <v>828</v>
      </c>
      <c r="I93" s="592">
        <v>7271.0498046875</v>
      </c>
      <c r="J93" s="592">
        <v>1</v>
      </c>
      <c r="K93" s="593">
        <v>7271.0498046875</v>
      </c>
    </row>
    <row r="94" spans="1:11" ht="14.4" customHeight="1" x14ac:dyDescent="0.3">
      <c r="A94" s="571" t="s">
        <v>444</v>
      </c>
      <c r="B94" s="572" t="s">
        <v>445</v>
      </c>
      <c r="C94" s="575" t="s">
        <v>457</v>
      </c>
      <c r="D94" s="613" t="s">
        <v>458</v>
      </c>
      <c r="E94" s="575" t="s">
        <v>699</v>
      </c>
      <c r="F94" s="613" t="s">
        <v>700</v>
      </c>
      <c r="G94" s="575" t="s">
        <v>829</v>
      </c>
      <c r="H94" s="575" t="s">
        <v>830</v>
      </c>
      <c r="I94" s="592">
        <v>7271.0498046875</v>
      </c>
      <c r="J94" s="592">
        <v>1</v>
      </c>
      <c r="K94" s="593">
        <v>7271.0498046875</v>
      </c>
    </row>
    <row r="95" spans="1:11" ht="14.4" customHeight="1" x14ac:dyDescent="0.3">
      <c r="A95" s="571" t="s">
        <v>444</v>
      </c>
      <c r="B95" s="572" t="s">
        <v>445</v>
      </c>
      <c r="C95" s="575" t="s">
        <v>457</v>
      </c>
      <c r="D95" s="613" t="s">
        <v>458</v>
      </c>
      <c r="E95" s="575" t="s">
        <v>699</v>
      </c>
      <c r="F95" s="613" t="s">
        <v>700</v>
      </c>
      <c r="G95" s="575" t="s">
        <v>831</v>
      </c>
      <c r="H95" s="575" t="s">
        <v>832</v>
      </c>
      <c r="I95" s="592">
        <v>7274.675048828125</v>
      </c>
      <c r="J95" s="592">
        <v>3</v>
      </c>
      <c r="K95" s="593">
        <v>21836.17041015625</v>
      </c>
    </row>
    <row r="96" spans="1:11" ht="14.4" customHeight="1" x14ac:dyDescent="0.3">
      <c r="A96" s="571" t="s">
        <v>444</v>
      </c>
      <c r="B96" s="572" t="s">
        <v>445</v>
      </c>
      <c r="C96" s="575" t="s">
        <v>457</v>
      </c>
      <c r="D96" s="613" t="s">
        <v>458</v>
      </c>
      <c r="E96" s="575" t="s">
        <v>699</v>
      </c>
      <c r="F96" s="613" t="s">
        <v>700</v>
      </c>
      <c r="G96" s="575" t="s">
        <v>833</v>
      </c>
      <c r="H96" s="575" t="s">
        <v>834</v>
      </c>
      <c r="I96" s="592">
        <v>14546.43505859375</v>
      </c>
      <c r="J96" s="592">
        <v>2</v>
      </c>
      <c r="K96" s="593">
        <v>29092.8701171875</v>
      </c>
    </row>
    <row r="97" spans="1:11" ht="14.4" customHeight="1" x14ac:dyDescent="0.3">
      <c r="A97" s="571" t="s">
        <v>444</v>
      </c>
      <c r="B97" s="572" t="s">
        <v>445</v>
      </c>
      <c r="C97" s="575" t="s">
        <v>457</v>
      </c>
      <c r="D97" s="613" t="s">
        <v>458</v>
      </c>
      <c r="E97" s="575" t="s">
        <v>699</v>
      </c>
      <c r="F97" s="613" t="s">
        <v>700</v>
      </c>
      <c r="G97" s="575" t="s">
        <v>835</v>
      </c>
      <c r="H97" s="575" t="s">
        <v>836</v>
      </c>
      <c r="I97" s="592">
        <v>14542.099609375</v>
      </c>
      <c r="J97" s="592">
        <v>1</v>
      </c>
      <c r="K97" s="593">
        <v>14542.099609375</v>
      </c>
    </row>
    <row r="98" spans="1:11" ht="14.4" customHeight="1" x14ac:dyDescent="0.3">
      <c r="A98" s="571" t="s">
        <v>444</v>
      </c>
      <c r="B98" s="572" t="s">
        <v>445</v>
      </c>
      <c r="C98" s="575" t="s">
        <v>457</v>
      </c>
      <c r="D98" s="613" t="s">
        <v>458</v>
      </c>
      <c r="E98" s="575" t="s">
        <v>699</v>
      </c>
      <c r="F98" s="613" t="s">
        <v>700</v>
      </c>
      <c r="G98" s="575" t="s">
        <v>837</v>
      </c>
      <c r="H98" s="575" t="s">
        <v>838</v>
      </c>
      <c r="I98" s="592">
        <v>7285.39990234375</v>
      </c>
      <c r="J98" s="592">
        <v>1</v>
      </c>
      <c r="K98" s="593">
        <v>7285.39990234375</v>
      </c>
    </row>
    <row r="99" spans="1:11" ht="14.4" customHeight="1" x14ac:dyDescent="0.3">
      <c r="A99" s="571" t="s">
        <v>444</v>
      </c>
      <c r="B99" s="572" t="s">
        <v>445</v>
      </c>
      <c r="C99" s="575" t="s">
        <v>457</v>
      </c>
      <c r="D99" s="613" t="s">
        <v>458</v>
      </c>
      <c r="E99" s="575" t="s">
        <v>699</v>
      </c>
      <c r="F99" s="613" t="s">
        <v>700</v>
      </c>
      <c r="G99" s="575" t="s">
        <v>839</v>
      </c>
      <c r="H99" s="575" t="s">
        <v>840</v>
      </c>
      <c r="I99" s="592">
        <v>7285.39501953125</v>
      </c>
      <c r="J99" s="592">
        <v>2</v>
      </c>
      <c r="K99" s="593">
        <v>14570.7900390625</v>
      </c>
    </row>
    <row r="100" spans="1:11" ht="14.4" customHeight="1" x14ac:dyDescent="0.3">
      <c r="A100" s="571" t="s">
        <v>444</v>
      </c>
      <c r="B100" s="572" t="s">
        <v>445</v>
      </c>
      <c r="C100" s="575" t="s">
        <v>457</v>
      </c>
      <c r="D100" s="613" t="s">
        <v>458</v>
      </c>
      <c r="E100" s="575" t="s">
        <v>699</v>
      </c>
      <c r="F100" s="613" t="s">
        <v>700</v>
      </c>
      <c r="G100" s="575" t="s">
        <v>841</v>
      </c>
      <c r="H100" s="575" t="s">
        <v>842</v>
      </c>
      <c r="I100" s="592">
        <v>7381.4599609375</v>
      </c>
      <c r="J100" s="592">
        <v>1</v>
      </c>
      <c r="K100" s="593">
        <v>7381.4599609375</v>
      </c>
    </row>
    <row r="101" spans="1:11" ht="14.4" customHeight="1" x14ac:dyDescent="0.3">
      <c r="A101" s="571" t="s">
        <v>444</v>
      </c>
      <c r="B101" s="572" t="s">
        <v>445</v>
      </c>
      <c r="C101" s="575" t="s">
        <v>457</v>
      </c>
      <c r="D101" s="613" t="s">
        <v>458</v>
      </c>
      <c r="E101" s="575" t="s">
        <v>699</v>
      </c>
      <c r="F101" s="613" t="s">
        <v>700</v>
      </c>
      <c r="G101" s="575" t="s">
        <v>843</v>
      </c>
      <c r="H101" s="575" t="s">
        <v>844</v>
      </c>
      <c r="I101" s="592">
        <v>0.11999999731779099</v>
      </c>
      <c r="J101" s="592">
        <v>2</v>
      </c>
      <c r="K101" s="593">
        <v>0.23000000417232513</v>
      </c>
    </row>
    <row r="102" spans="1:11" ht="14.4" customHeight="1" x14ac:dyDescent="0.3">
      <c r="A102" s="571" t="s">
        <v>444</v>
      </c>
      <c r="B102" s="572" t="s">
        <v>445</v>
      </c>
      <c r="C102" s="575" t="s">
        <v>457</v>
      </c>
      <c r="D102" s="613" t="s">
        <v>458</v>
      </c>
      <c r="E102" s="575" t="s">
        <v>699</v>
      </c>
      <c r="F102" s="613" t="s">
        <v>700</v>
      </c>
      <c r="G102" s="575" t="s">
        <v>845</v>
      </c>
      <c r="H102" s="575" t="s">
        <v>846</v>
      </c>
      <c r="I102" s="592">
        <v>7271.0400390625</v>
      </c>
      <c r="J102" s="592">
        <v>1</v>
      </c>
      <c r="K102" s="593">
        <v>7271.0400390625</v>
      </c>
    </row>
    <row r="103" spans="1:11" ht="14.4" customHeight="1" x14ac:dyDescent="0.3">
      <c r="A103" s="571" t="s">
        <v>444</v>
      </c>
      <c r="B103" s="572" t="s">
        <v>445</v>
      </c>
      <c r="C103" s="575" t="s">
        <v>457</v>
      </c>
      <c r="D103" s="613" t="s">
        <v>458</v>
      </c>
      <c r="E103" s="575" t="s">
        <v>699</v>
      </c>
      <c r="F103" s="613" t="s">
        <v>700</v>
      </c>
      <c r="G103" s="575" t="s">
        <v>847</v>
      </c>
      <c r="H103" s="575" t="s">
        <v>848</v>
      </c>
      <c r="I103" s="592">
        <v>7369.990234375</v>
      </c>
      <c r="J103" s="592">
        <v>1</v>
      </c>
      <c r="K103" s="593">
        <v>7369.990234375</v>
      </c>
    </row>
    <row r="104" spans="1:11" ht="14.4" customHeight="1" x14ac:dyDescent="0.3">
      <c r="A104" s="571" t="s">
        <v>444</v>
      </c>
      <c r="B104" s="572" t="s">
        <v>445</v>
      </c>
      <c r="C104" s="575" t="s">
        <v>457</v>
      </c>
      <c r="D104" s="613" t="s">
        <v>458</v>
      </c>
      <c r="E104" s="575" t="s">
        <v>699</v>
      </c>
      <c r="F104" s="613" t="s">
        <v>700</v>
      </c>
      <c r="G104" s="575" t="s">
        <v>849</v>
      </c>
      <c r="H104" s="575" t="s">
        <v>850</v>
      </c>
      <c r="I104" s="592">
        <v>14955.599609375</v>
      </c>
      <c r="J104" s="592">
        <v>1</v>
      </c>
      <c r="K104" s="593">
        <v>14955.599609375</v>
      </c>
    </row>
    <row r="105" spans="1:11" ht="14.4" customHeight="1" x14ac:dyDescent="0.3">
      <c r="A105" s="571" t="s">
        <v>444</v>
      </c>
      <c r="B105" s="572" t="s">
        <v>445</v>
      </c>
      <c r="C105" s="575" t="s">
        <v>457</v>
      </c>
      <c r="D105" s="613" t="s">
        <v>458</v>
      </c>
      <c r="E105" s="575" t="s">
        <v>699</v>
      </c>
      <c r="F105" s="613" t="s">
        <v>700</v>
      </c>
      <c r="G105" s="575" t="s">
        <v>851</v>
      </c>
      <c r="H105" s="575" t="s">
        <v>852</v>
      </c>
      <c r="I105" s="592">
        <v>213.69924774288978</v>
      </c>
      <c r="J105" s="592">
        <v>37</v>
      </c>
      <c r="K105" s="593">
        <v>7895.7186191240944</v>
      </c>
    </row>
    <row r="106" spans="1:11" ht="14.4" customHeight="1" x14ac:dyDescent="0.3">
      <c r="A106" s="571" t="s">
        <v>444</v>
      </c>
      <c r="B106" s="572" t="s">
        <v>445</v>
      </c>
      <c r="C106" s="575" t="s">
        <v>457</v>
      </c>
      <c r="D106" s="613" t="s">
        <v>458</v>
      </c>
      <c r="E106" s="575" t="s">
        <v>699</v>
      </c>
      <c r="F106" s="613" t="s">
        <v>700</v>
      </c>
      <c r="G106" s="575" t="s">
        <v>853</v>
      </c>
      <c r="H106" s="575" t="s">
        <v>854</v>
      </c>
      <c r="I106" s="592">
        <v>188.22715169073234</v>
      </c>
      <c r="J106" s="592">
        <v>2</v>
      </c>
      <c r="K106" s="593">
        <v>376.45430338146468</v>
      </c>
    </row>
    <row r="107" spans="1:11" ht="14.4" customHeight="1" x14ac:dyDescent="0.3">
      <c r="A107" s="571" t="s">
        <v>444</v>
      </c>
      <c r="B107" s="572" t="s">
        <v>445</v>
      </c>
      <c r="C107" s="575" t="s">
        <v>457</v>
      </c>
      <c r="D107" s="613" t="s">
        <v>458</v>
      </c>
      <c r="E107" s="575" t="s">
        <v>699</v>
      </c>
      <c r="F107" s="613" t="s">
        <v>700</v>
      </c>
      <c r="G107" s="575" t="s">
        <v>855</v>
      </c>
      <c r="H107" s="575" t="s">
        <v>856</v>
      </c>
      <c r="I107" s="592">
        <v>5947.85009765625</v>
      </c>
      <c r="J107" s="592">
        <v>1</v>
      </c>
      <c r="K107" s="593">
        <v>5947.85009765625</v>
      </c>
    </row>
    <row r="108" spans="1:11" ht="14.4" customHeight="1" x14ac:dyDescent="0.3">
      <c r="A108" s="571" t="s">
        <v>444</v>
      </c>
      <c r="B108" s="572" t="s">
        <v>445</v>
      </c>
      <c r="C108" s="575" t="s">
        <v>457</v>
      </c>
      <c r="D108" s="613" t="s">
        <v>458</v>
      </c>
      <c r="E108" s="575" t="s">
        <v>699</v>
      </c>
      <c r="F108" s="613" t="s">
        <v>700</v>
      </c>
      <c r="G108" s="575" t="s">
        <v>857</v>
      </c>
      <c r="H108" s="575" t="s">
        <v>858</v>
      </c>
      <c r="I108" s="592">
        <v>207.01371330200652</v>
      </c>
      <c r="J108" s="592">
        <v>1</v>
      </c>
      <c r="K108" s="593">
        <v>207.01371330200652</v>
      </c>
    </row>
    <row r="109" spans="1:11" ht="14.4" customHeight="1" x14ac:dyDescent="0.3">
      <c r="A109" s="571" t="s">
        <v>444</v>
      </c>
      <c r="B109" s="572" t="s">
        <v>445</v>
      </c>
      <c r="C109" s="575" t="s">
        <v>457</v>
      </c>
      <c r="D109" s="613" t="s">
        <v>458</v>
      </c>
      <c r="E109" s="575" t="s">
        <v>699</v>
      </c>
      <c r="F109" s="613" t="s">
        <v>700</v>
      </c>
      <c r="G109" s="575" t="s">
        <v>859</v>
      </c>
      <c r="H109" s="575" t="s">
        <v>860</v>
      </c>
      <c r="I109" s="592">
        <v>4821.56982421875</v>
      </c>
      <c r="J109" s="592">
        <v>1</v>
      </c>
      <c r="K109" s="593">
        <v>4821.56982421875</v>
      </c>
    </row>
    <row r="110" spans="1:11" ht="14.4" customHeight="1" x14ac:dyDescent="0.3">
      <c r="A110" s="571" t="s">
        <v>444</v>
      </c>
      <c r="B110" s="572" t="s">
        <v>445</v>
      </c>
      <c r="C110" s="575" t="s">
        <v>457</v>
      </c>
      <c r="D110" s="613" t="s">
        <v>458</v>
      </c>
      <c r="E110" s="575" t="s">
        <v>699</v>
      </c>
      <c r="F110" s="613" t="s">
        <v>700</v>
      </c>
      <c r="G110" s="575" t="s">
        <v>861</v>
      </c>
      <c r="H110" s="575" t="s">
        <v>862</v>
      </c>
      <c r="I110" s="592">
        <v>797.3900146484375</v>
      </c>
      <c r="J110" s="592">
        <v>1</v>
      </c>
      <c r="K110" s="593">
        <v>797.3900146484375</v>
      </c>
    </row>
    <row r="111" spans="1:11" ht="14.4" customHeight="1" x14ac:dyDescent="0.3">
      <c r="A111" s="571" t="s">
        <v>444</v>
      </c>
      <c r="B111" s="572" t="s">
        <v>445</v>
      </c>
      <c r="C111" s="575" t="s">
        <v>457</v>
      </c>
      <c r="D111" s="613" t="s">
        <v>458</v>
      </c>
      <c r="E111" s="575" t="s">
        <v>699</v>
      </c>
      <c r="F111" s="613" t="s">
        <v>700</v>
      </c>
      <c r="G111" s="575" t="s">
        <v>863</v>
      </c>
      <c r="H111" s="575" t="s">
        <v>864</v>
      </c>
      <c r="I111" s="592">
        <v>13492</v>
      </c>
      <c r="J111" s="592">
        <v>1</v>
      </c>
      <c r="K111" s="593">
        <v>13492</v>
      </c>
    </row>
    <row r="112" spans="1:11" ht="14.4" customHeight="1" x14ac:dyDescent="0.3">
      <c r="A112" s="571" t="s">
        <v>444</v>
      </c>
      <c r="B112" s="572" t="s">
        <v>445</v>
      </c>
      <c r="C112" s="575" t="s">
        <v>457</v>
      </c>
      <c r="D112" s="613" t="s">
        <v>458</v>
      </c>
      <c r="E112" s="575" t="s">
        <v>865</v>
      </c>
      <c r="F112" s="613" t="s">
        <v>866</v>
      </c>
      <c r="G112" s="575" t="s">
        <v>867</v>
      </c>
      <c r="H112" s="575" t="s">
        <v>868</v>
      </c>
      <c r="I112" s="592">
        <v>2.0299999713897705</v>
      </c>
      <c r="J112" s="592">
        <v>1024</v>
      </c>
      <c r="K112" s="593">
        <v>2081.199951171875</v>
      </c>
    </row>
    <row r="113" spans="1:11" ht="14.4" customHeight="1" x14ac:dyDescent="0.3">
      <c r="A113" s="571" t="s">
        <v>444</v>
      </c>
      <c r="B113" s="572" t="s">
        <v>445</v>
      </c>
      <c r="C113" s="575" t="s">
        <v>457</v>
      </c>
      <c r="D113" s="613" t="s">
        <v>458</v>
      </c>
      <c r="E113" s="575" t="s">
        <v>865</v>
      </c>
      <c r="F113" s="613" t="s">
        <v>866</v>
      </c>
      <c r="G113" s="575" t="s">
        <v>869</v>
      </c>
      <c r="H113" s="575" t="s">
        <v>870</v>
      </c>
      <c r="I113" s="592">
        <v>0.76999998092651367</v>
      </c>
      <c r="J113" s="592">
        <v>1500</v>
      </c>
      <c r="K113" s="593">
        <v>1161.6000366210937</v>
      </c>
    </row>
    <row r="114" spans="1:11" ht="14.4" customHeight="1" x14ac:dyDescent="0.3">
      <c r="A114" s="571" t="s">
        <v>444</v>
      </c>
      <c r="B114" s="572" t="s">
        <v>445</v>
      </c>
      <c r="C114" s="575" t="s">
        <v>457</v>
      </c>
      <c r="D114" s="613" t="s">
        <v>458</v>
      </c>
      <c r="E114" s="575" t="s">
        <v>865</v>
      </c>
      <c r="F114" s="613" t="s">
        <v>866</v>
      </c>
      <c r="G114" s="575" t="s">
        <v>871</v>
      </c>
      <c r="H114" s="575" t="s">
        <v>872</v>
      </c>
      <c r="I114" s="592">
        <v>1.4850000143051147</v>
      </c>
      <c r="J114" s="592">
        <v>500</v>
      </c>
      <c r="K114" s="593">
        <v>741.45001220703125</v>
      </c>
    </row>
    <row r="115" spans="1:11" ht="14.4" customHeight="1" x14ac:dyDescent="0.3">
      <c r="A115" s="571" t="s">
        <v>444</v>
      </c>
      <c r="B115" s="572" t="s">
        <v>445</v>
      </c>
      <c r="C115" s="575" t="s">
        <v>457</v>
      </c>
      <c r="D115" s="613" t="s">
        <v>458</v>
      </c>
      <c r="E115" s="575" t="s">
        <v>865</v>
      </c>
      <c r="F115" s="613" t="s">
        <v>866</v>
      </c>
      <c r="G115" s="575" t="s">
        <v>873</v>
      </c>
      <c r="H115" s="575" t="s">
        <v>874</v>
      </c>
      <c r="I115" s="592">
        <v>1.3916667103767395</v>
      </c>
      <c r="J115" s="592">
        <v>11000</v>
      </c>
      <c r="K115" s="593">
        <v>14400.210205078125</v>
      </c>
    </row>
    <row r="116" spans="1:11" ht="14.4" customHeight="1" x14ac:dyDescent="0.3">
      <c r="A116" s="571" t="s">
        <v>444</v>
      </c>
      <c r="B116" s="572" t="s">
        <v>445</v>
      </c>
      <c r="C116" s="575" t="s">
        <v>457</v>
      </c>
      <c r="D116" s="613" t="s">
        <v>458</v>
      </c>
      <c r="E116" s="575" t="s">
        <v>865</v>
      </c>
      <c r="F116" s="613" t="s">
        <v>866</v>
      </c>
      <c r="G116" s="575" t="s">
        <v>875</v>
      </c>
      <c r="H116" s="575" t="s">
        <v>876</v>
      </c>
      <c r="I116" s="592">
        <v>22.75</v>
      </c>
      <c r="J116" s="592">
        <v>10</v>
      </c>
      <c r="K116" s="593">
        <v>227.47999572753906</v>
      </c>
    </row>
    <row r="117" spans="1:11" ht="14.4" customHeight="1" x14ac:dyDescent="0.3">
      <c r="A117" s="571" t="s">
        <v>444</v>
      </c>
      <c r="B117" s="572" t="s">
        <v>445</v>
      </c>
      <c r="C117" s="575" t="s">
        <v>457</v>
      </c>
      <c r="D117" s="613" t="s">
        <v>458</v>
      </c>
      <c r="E117" s="575" t="s">
        <v>865</v>
      </c>
      <c r="F117" s="613" t="s">
        <v>866</v>
      </c>
      <c r="G117" s="575" t="s">
        <v>875</v>
      </c>
      <c r="H117" s="575" t="s">
        <v>877</v>
      </c>
      <c r="I117" s="592">
        <v>22.75</v>
      </c>
      <c r="J117" s="592">
        <v>10</v>
      </c>
      <c r="K117" s="593">
        <v>227.47999572753906</v>
      </c>
    </row>
    <row r="118" spans="1:11" ht="14.4" customHeight="1" x14ac:dyDescent="0.3">
      <c r="A118" s="571" t="s">
        <v>444</v>
      </c>
      <c r="B118" s="572" t="s">
        <v>445</v>
      </c>
      <c r="C118" s="575" t="s">
        <v>457</v>
      </c>
      <c r="D118" s="613" t="s">
        <v>458</v>
      </c>
      <c r="E118" s="575" t="s">
        <v>865</v>
      </c>
      <c r="F118" s="613" t="s">
        <v>866</v>
      </c>
      <c r="G118" s="575" t="s">
        <v>878</v>
      </c>
      <c r="H118" s="575" t="s">
        <v>879</v>
      </c>
      <c r="I118" s="592">
        <v>12.829999923706055</v>
      </c>
      <c r="J118" s="592">
        <v>200</v>
      </c>
      <c r="K118" s="593">
        <v>2565.199951171875</v>
      </c>
    </row>
    <row r="119" spans="1:11" ht="14.4" customHeight="1" x14ac:dyDescent="0.3">
      <c r="A119" s="571" t="s">
        <v>444</v>
      </c>
      <c r="B119" s="572" t="s">
        <v>445</v>
      </c>
      <c r="C119" s="575" t="s">
        <v>457</v>
      </c>
      <c r="D119" s="613" t="s">
        <v>458</v>
      </c>
      <c r="E119" s="575" t="s">
        <v>865</v>
      </c>
      <c r="F119" s="613" t="s">
        <v>866</v>
      </c>
      <c r="G119" s="575" t="s">
        <v>880</v>
      </c>
      <c r="H119" s="575" t="s">
        <v>881</v>
      </c>
      <c r="I119" s="592">
        <v>0.12999999523162842</v>
      </c>
      <c r="J119" s="592">
        <v>1000</v>
      </c>
      <c r="K119" s="593">
        <v>126.94999694824219</v>
      </c>
    </row>
    <row r="120" spans="1:11" ht="14.4" customHeight="1" x14ac:dyDescent="0.3">
      <c r="A120" s="571" t="s">
        <v>444</v>
      </c>
      <c r="B120" s="572" t="s">
        <v>445</v>
      </c>
      <c r="C120" s="575" t="s">
        <v>457</v>
      </c>
      <c r="D120" s="613" t="s">
        <v>458</v>
      </c>
      <c r="E120" s="575" t="s">
        <v>865</v>
      </c>
      <c r="F120" s="613" t="s">
        <v>866</v>
      </c>
      <c r="G120" s="575" t="s">
        <v>882</v>
      </c>
      <c r="H120" s="575" t="s">
        <v>883</v>
      </c>
      <c r="I120" s="592">
        <v>1.4920000076293944</v>
      </c>
      <c r="J120" s="592">
        <v>3500</v>
      </c>
      <c r="K120" s="593">
        <v>5221.0499877929687</v>
      </c>
    </row>
    <row r="121" spans="1:11" ht="14.4" customHeight="1" x14ac:dyDescent="0.3">
      <c r="A121" s="571" t="s">
        <v>444</v>
      </c>
      <c r="B121" s="572" t="s">
        <v>445</v>
      </c>
      <c r="C121" s="575" t="s">
        <v>457</v>
      </c>
      <c r="D121" s="613" t="s">
        <v>458</v>
      </c>
      <c r="E121" s="575" t="s">
        <v>865</v>
      </c>
      <c r="F121" s="613" t="s">
        <v>866</v>
      </c>
      <c r="G121" s="575" t="s">
        <v>884</v>
      </c>
      <c r="H121" s="575" t="s">
        <v>885</v>
      </c>
      <c r="I121" s="592">
        <v>1.5399999618530273</v>
      </c>
      <c r="J121" s="592">
        <v>2304</v>
      </c>
      <c r="K121" s="593">
        <v>3557.400146484375</v>
      </c>
    </row>
    <row r="122" spans="1:11" ht="14.4" customHeight="1" x14ac:dyDescent="0.3">
      <c r="A122" s="571" t="s">
        <v>444</v>
      </c>
      <c r="B122" s="572" t="s">
        <v>445</v>
      </c>
      <c r="C122" s="575" t="s">
        <v>457</v>
      </c>
      <c r="D122" s="613" t="s">
        <v>458</v>
      </c>
      <c r="E122" s="575" t="s">
        <v>865</v>
      </c>
      <c r="F122" s="613" t="s">
        <v>866</v>
      </c>
      <c r="G122" s="575" t="s">
        <v>886</v>
      </c>
      <c r="H122" s="575" t="s">
        <v>887</v>
      </c>
      <c r="I122" s="592">
        <v>2.0999999046325684</v>
      </c>
      <c r="J122" s="592">
        <v>5760</v>
      </c>
      <c r="K122" s="593">
        <v>12124.19970703125</v>
      </c>
    </row>
    <row r="123" spans="1:11" ht="14.4" customHeight="1" x14ac:dyDescent="0.3">
      <c r="A123" s="571" t="s">
        <v>444</v>
      </c>
      <c r="B123" s="572" t="s">
        <v>445</v>
      </c>
      <c r="C123" s="575" t="s">
        <v>457</v>
      </c>
      <c r="D123" s="613" t="s">
        <v>458</v>
      </c>
      <c r="E123" s="575" t="s">
        <v>865</v>
      </c>
      <c r="F123" s="613" t="s">
        <v>866</v>
      </c>
      <c r="G123" s="575" t="s">
        <v>888</v>
      </c>
      <c r="H123" s="575" t="s">
        <v>889</v>
      </c>
      <c r="I123" s="592">
        <v>0.2800000011920929</v>
      </c>
      <c r="J123" s="592">
        <v>1000</v>
      </c>
      <c r="K123" s="593">
        <v>278.29998779296875</v>
      </c>
    </row>
    <row r="124" spans="1:11" ht="14.4" customHeight="1" x14ac:dyDescent="0.3">
      <c r="A124" s="571" t="s">
        <v>444</v>
      </c>
      <c r="B124" s="572" t="s">
        <v>445</v>
      </c>
      <c r="C124" s="575" t="s">
        <v>457</v>
      </c>
      <c r="D124" s="613" t="s">
        <v>458</v>
      </c>
      <c r="E124" s="575" t="s">
        <v>865</v>
      </c>
      <c r="F124" s="613" t="s">
        <v>866</v>
      </c>
      <c r="G124" s="575" t="s">
        <v>890</v>
      </c>
      <c r="H124" s="575" t="s">
        <v>891</v>
      </c>
      <c r="I124" s="592">
        <v>0.46333332856496173</v>
      </c>
      <c r="J124" s="592">
        <v>20000</v>
      </c>
      <c r="K124" s="593">
        <v>9317.9000244140625</v>
      </c>
    </row>
    <row r="125" spans="1:11" ht="14.4" customHeight="1" x14ac:dyDescent="0.3">
      <c r="A125" s="571" t="s">
        <v>444</v>
      </c>
      <c r="B125" s="572" t="s">
        <v>445</v>
      </c>
      <c r="C125" s="575" t="s">
        <v>457</v>
      </c>
      <c r="D125" s="613" t="s">
        <v>458</v>
      </c>
      <c r="E125" s="575" t="s">
        <v>865</v>
      </c>
      <c r="F125" s="613" t="s">
        <v>866</v>
      </c>
      <c r="G125" s="575" t="s">
        <v>892</v>
      </c>
      <c r="H125" s="575" t="s">
        <v>893</v>
      </c>
      <c r="I125" s="592">
        <v>16.870000839233398</v>
      </c>
      <c r="J125" s="592">
        <v>50</v>
      </c>
      <c r="K125" s="593">
        <v>843.3699951171875</v>
      </c>
    </row>
    <row r="126" spans="1:11" ht="14.4" customHeight="1" x14ac:dyDescent="0.3">
      <c r="A126" s="571" t="s">
        <v>444</v>
      </c>
      <c r="B126" s="572" t="s">
        <v>445</v>
      </c>
      <c r="C126" s="575" t="s">
        <v>457</v>
      </c>
      <c r="D126" s="613" t="s">
        <v>458</v>
      </c>
      <c r="E126" s="575" t="s">
        <v>865</v>
      </c>
      <c r="F126" s="613" t="s">
        <v>866</v>
      </c>
      <c r="G126" s="575" t="s">
        <v>894</v>
      </c>
      <c r="H126" s="575" t="s">
        <v>895</v>
      </c>
      <c r="I126" s="592">
        <v>2.6033333142598472</v>
      </c>
      <c r="J126" s="592">
        <v>1440</v>
      </c>
      <c r="K126" s="593">
        <v>3750.3900146484375</v>
      </c>
    </row>
    <row r="127" spans="1:11" ht="14.4" customHeight="1" x14ac:dyDescent="0.3">
      <c r="A127" s="571" t="s">
        <v>444</v>
      </c>
      <c r="B127" s="572" t="s">
        <v>445</v>
      </c>
      <c r="C127" s="575" t="s">
        <v>457</v>
      </c>
      <c r="D127" s="613" t="s">
        <v>458</v>
      </c>
      <c r="E127" s="575" t="s">
        <v>865</v>
      </c>
      <c r="F127" s="613" t="s">
        <v>866</v>
      </c>
      <c r="G127" s="575" t="s">
        <v>896</v>
      </c>
      <c r="H127" s="575" t="s">
        <v>897</v>
      </c>
      <c r="I127" s="592">
        <v>2.7599999904632568</v>
      </c>
      <c r="J127" s="592">
        <v>1920</v>
      </c>
      <c r="K127" s="593">
        <v>5303.669921875</v>
      </c>
    </row>
    <row r="128" spans="1:11" ht="14.4" customHeight="1" x14ac:dyDescent="0.3">
      <c r="A128" s="571" t="s">
        <v>444</v>
      </c>
      <c r="B128" s="572" t="s">
        <v>445</v>
      </c>
      <c r="C128" s="575" t="s">
        <v>457</v>
      </c>
      <c r="D128" s="613" t="s">
        <v>458</v>
      </c>
      <c r="E128" s="575" t="s">
        <v>865</v>
      </c>
      <c r="F128" s="613" t="s">
        <v>866</v>
      </c>
      <c r="G128" s="575" t="s">
        <v>898</v>
      </c>
      <c r="H128" s="575" t="s">
        <v>899</v>
      </c>
      <c r="I128" s="592">
        <v>2.3349999189376831</v>
      </c>
      <c r="J128" s="592">
        <v>1920</v>
      </c>
      <c r="K128" s="593">
        <v>4488.849853515625</v>
      </c>
    </row>
    <row r="129" spans="1:11" ht="14.4" customHeight="1" x14ac:dyDescent="0.3">
      <c r="A129" s="571" t="s">
        <v>444</v>
      </c>
      <c r="B129" s="572" t="s">
        <v>445</v>
      </c>
      <c r="C129" s="575" t="s">
        <v>457</v>
      </c>
      <c r="D129" s="613" t="s">
        <v>458</v>
      </c>
      <c r="E129" s="575" t="s">
        <v>865</v>
      </c>
      <c r="F129" s="613" t="s">
        <v>866</v>
      </c>
      <c r="G129" s="575" t="s">
        <v>900</v>
      </c>
      <c r="H129" s="575" t="s">
        <v>901</v>
      </c>
      <c r="I129" s="592">
        <v>0.12999999523162842</v>
      </c>
      <c r="J129" s="592">
        <v>10000</v>
      </c>
      <c r="K129" s="593">
        <v>1300</v>
      </c>
    </row>
    <row r="130" spans="1:11" ht="14.4" customHeight="1" x14ac:dyDescent="0.3">
      <c r="A130" s="571" t="s">
        <v>444</v>
      </c>
      <c r="B130" s="572" t="s">
        <v>445</v>
      </c>
      <c r="C130" s="575" t="s">
        <v>457</v>
      </c>
      <c r="D130" s="613" t="s">
        <v>458</v>
      </c>
      <c r="E130" s="575" t="s">
        <v>865</v>
      </c>
      <c r="F130" s="613" t="s">
        <v>866</v>
      </c>
      <c r="G130" s="575" t="s">
        <v>902</v>
      </c>
      <c r="H130" s="575" t="s">
        <v>903</v>
      </c>
      <c r="I130" s="592">
        <v>4192.64990234375</v>
      </c>
      <c r="J130" s="592">
        <v>3</v>
      </c>
      <c r="K130" s="593">
        <v>12577.94970703125</v>
      </c>
    </row>
    <row r="131" spans="1:11" ht="14.4" customHeight="1" x14ac:dyDescent="0.3">
      <c r="A131" s="571" t="s">
        <v>444</v>
      </c>
      <c r="B131" s="572" t="s">
        <v>445</v>
      </c>
      <c r="C131" s="575" t="s">
        <v>457</v>
      </c>
      <c r="D131" s="613" t="s">
        <v>458</v>
      </c>
      <c r="E131" s="575" t="s">
        <v>865</v>
      </c>
      <c r="F131" s="613" t="s">
        <v>866</v>
      </c>
      <c r="G131" s="575" t="s">
        <v>904</v>
      </c>
      <c r="H131" s="575" t="s">
        <v>905</v>
      </c>
      <c r="I131" s="592">
        <v>1.324999988079071</v>
      </c>
      <c r="J131" s="592">
        <v>2000</v>
      </c>
      <c r="K131" s="593">
        <v>2642.6400146484375</v>
      </c>
    </row>
    <row r="132" spans="1:11" ht="14.4" customHeight="1" x14ac:dyDescent="0.3">
      <c r="A132" s="571" t="s">
        <v>444</v>
      </c>
      <c r="B132" s="572" t="s">
        <v>445</v>
      </c>
      <c r="C132" s="575" t="s">
        <v>457</v>
      </c>
      <c r="D132" s="613" t="s">
        <v>458</v>
      </c>
      <c r="E132" s="575" t="s">
        <v>644</v>
      </c>
      <c r="F132" s="613" t="s">
        <v>645</v>
      </c>
      <c r="G132" s="575" t="s">
        <v>646</v>
      </c>
      <c r="H132" s="575" t="s">
        <v>906</v>
      </c>
      <c r="I132" s="592">
        <v>0.63499999046325684</v>
      </c>
      <c r="J132" s="592">
        <v>1000</v>
      </c>
      <c r="K132" s="593">
        <v>635</v>
      </c>
    </row>
    <row r="133" spans="1:11" ht="14.4" customHeight="1" x14ac:dyDescent="0.3">
      <c r="A133" s="571" t="s">
        <v>444</v>
      </c>
      <c r="B133" s="572" t="s">
        <v>445</v>
      </c>
      <c r="C133" s="575" t="s">
        <v>457</v>
      </c>
      <c r="D133" s="613" t="s">
        <v>458</v>
      </c>
      <c r="E133" s="575" t="s">
        <v>644</v>
      </c>
      <c r="F133" s="613" t="s">
        <v>645</v>
      </c>
      <c r="G133" s="575" t="s">
        <v>646</v>
      </c>
      <c r="H133" s="575" t="s">
        <v>647</v>
      </c>
      <c r="I133" s="592">
        <v>0.63999998569488525</v>
      </c>
      <c r="J133" s="592">
        <v>500</v>
      </c>
      <c r="K133" s="593">
        <v>320</v>
      </c>
    </row>
    <row r="134" spans="1:11" ht="14.4" customHeight="1" x14ac:dyDescent="0.3">
      <c r="A134" s="571" t="s">
        <v>444</v>
      </c>
      <c r="B134" s="572" t="s">
        <v>445</v>
      </c>
      <c r="C134" s="575" t="s">
        <v>457</v>
      </c>
      <c r="D134" s="613" t="s">
        <v>458</v>
      </c>
      <c r="E134" s="575" t="s">
        <v>644</v>
      </c>
      <c r="F134" s="613" t="s">
        <v>645</v>
      </c>
      <c r="G134" s="575" t="s">
        <v>907</v>
      </c>
      <c r="H134" s="575" t="s">
        <v>908</v>
      </c>
      <c r="I134" s="592">
        <v>1.5</v>
      </c>
      <c r="J134" s="592">
        <v>100</v>
      </c>
      <c r="K134" s="593">
        <v>150</v>
      </c>
    </row>
    <row r="135" spans="1:11" ht="14.4" customHeight="1" x14ac:dyDescent="0.3">
      <c r="A135" s="571" t="s">
        <v>444</v>
      </c>
      <c r="B135" s="572" t="s">
        <v>445</v>
      </c>
      <c r="C135" s="575" t="s">
        <v>457</v>
      </c>
      <c r="D135" s="613" t="s">
        <v>458</v>
      </c>
      <c r="E135" s="575" t="s">
        <v>656</v>
      </c>
      <c r="F135" s="613" t="s">
        <v>657</v>
      </c>
      <c r="G135" s="575" t="s">
        <v>909</v>
      </c>
      <c r="H135" s="575" t="s">
        <v>910</v>
      </c>
      <c r="I135" s="592">
        <v>10.920000076293945</v>
      </c>
      <c r="J135" s="592">
        <v>400</v>
      </c>
      <c r="K135" s="593">
        <v>4368.10009765625</v>
      </c>
    </row>
    <row r="136" spans="1:11" ht="14.4" customHeight="1" x14ac:dyDescent="0.3">
      <c r="A136" s="571" t="s">
        <v>444</v>
      </c>
      <c r="B136" s="572" t="s">
        <v>445</v>
      </c>
      <c r="C136" s="575" t="s">
        <v>457</v>
      </c>
      <c r="D136" s="613" t="s">
        <v>458</v>
      </c>
      <c r="E136" s="575" t="s">
        <v>656</v>
      </c>
      <c r="F136" s="613" t="s">
        <v>657</v>
      </c>
      <c r="G136" s="575" t="s">
        <v>911</v>
      </c>
      <c r="H136" s="575" t="s">
        <v>912</v>
      </c>
      <c r="I136" s="592">
        <v>4.8000001907348633</v>
      </c>
      <c r="J136" s="592">
        <v>500</v>
      </c>
      <c r="K136" s="593">
        <v>2402.080078125</v>
      </c>
    </row>
    <row r="137" spans="1:11" ht="14.4" customHeight="1" x14ac:dyDescent="0.3">
      <c r="A137" s="571" t="s">
        <v>444</v>
      </c>
      <c r="B137" s="572" t="s">
        <v>445</v>
      </c>
      <c r="C137" s="575" t="s">
        <v>457</v>
      </c>
      <c r="D137" s="613" t="s">
        <v>458</v>
      </c>
      <c r="E137" s="575" t="s">
        <v>656</v>
      </c>
      <c r="F137" s="613" t="s">
        <v>657</v>
      </c>
      <c r="G137" s="575" t="s">
        <v>913</v>
      </c>
      <c r="H137" s="575" t="s">
        <v>914</v>
      </c>
      <c r="I137" s="592">
        <v>1.8300000429153442</v>
      </c>
      <c r="J137" s="592">
        <v>960</v>
      </c>
      <c r="K137" s="593">
        <v>1754.02001953125</v>
      </c>
    </row>
    <row r="138" spans="1:11" ht="14.4" customHeight="1" x14ac:dyDescent="0.3">
      <c r="A138" s="571" t="s">
        <v>444</v>
      </c>
      <c r="B138" s="572" t="s">
        <v>445</v>
      </c>
      <c r="C138" s="575" t="s">
        <v>457</v>
      </c>
      <c r="D138" s="613" t="s">
        <v>458</v>
      </c>
      <c r="E138" s="575" t="s">
        <v>656</v>
      </c>
      <c r="F138" s="613" t="s">
        <v>657</v>
      </c>
      <c r="G138" s="575" t="s">
        <v>915</v>
      </c>
      <c r="H138" s="575" t="s">
        <v>916</v>
      </c>
      <c r="I138" s="592">
        <v>303.95001220703125</v>
      </c>
      <c r="J138" s="592">
        <v>1</v>
      </c>
      <c r="K138" s="593">
        <v>303.95001220703125</v>
      </c>
    </row>
    <row r="139" spans="1:11" ht="14.4" customHeight="1" x14ac:dyDescent="0.3">
      <c r="A139" s="571" t="s">
        <v>444</v>
      </c>
      <c r="B139" s="572" t="s">
        <v>445</v>
      </c>
      <c r="C139" s="575" t="s">
        <v>457</v>
      </c>
      <c r="D139" s="613" t="s">
        <v>458</v>
      </c>
      <c r="E139" s="575" t="s">
        <v>656</v>
      </c>
      <c r="F139" s="613" t="s">
        <v>657</v>
      </c>
      <c r="G139" s="575" t="s">
        <v>664</v>
      </c>
      <c r="H139" s="575" t="s">
        <v>665</v>
      </c>
      <c r="I139" s="592">
        <v>13.310000419616699</v>
      </c>
      <c r="J139" s="592">
        <v>78</v>
      </c>
      <c r="K139" s="593">
        <v>1038.180046081543</v>
      </c>
    </row>
    <row r="140" spans="1:11" ht="14.4" customHeight="1" x14ac:dyDescent="0.3">
      <c r="A140" s="571" t="s">
        <v>444</v>
      </c>
      <c r="B140" s="572" t="s">
        <v>445</v>
      </c>
      <c r="C140" s="575" t="s">
        <v>457</v>
      </c>
      <c r="D140" s="613" t="s">
        <v>458</v>
      </c>
      <c r="E140" s="575" t="s">
        <v>656</v>
      </c>
      <c r="F140" s="613" t="s">
        <v>657</v>
      </c>
      <c r="G140" s="575" t="s">
        <v>917</v>
      </c>
      <c r="H140" s="575" t="s">
        <v>918</v>
      </c>
      <c r="I140" s="592">
        <v>25.530000686645508</v>
      </c>
      <c r="J140" s="592">
        <v>78</v>
      </c>
      <c r="K140" s="593">
        <v>1991.3400268554687</v>
      </c>
    </row>
    <row r="141" spans="1:11" ht="14.4" customHeight="1" x14ac:dyDescent="0.3">
      <c r="A141" s="571" t="s">
        <v>444</v>
      </c>
      <c r="B141" s="572" t="s">
        <v>445</v>
      </c>
      <c r="C141" s="575" t="s">
        <v>457</v>
      </c>
      <c r="D141" s="613" t="s">
        <v>458</v>
      </c>
      <c r="E141" s="575" t="s">
        <v>656</v>
      </c>
      <c r="F141" s="613" t="s">
        <v>657</v>
      </c>
      <c r="G141" s="575" t="s">
        <v>919</v>
      </c>
      <c r="H141" s="575" t="s">
        <v>920</v>
      </c>
      <c r="I141" s="592">
        <v>1.2300000190734863</v>
      </c>
      <c r="J141" s="592">
        <v>1000</v>
      </c>
      <c r="K141" s="593">
        <v>1232.989990234375</v>
      </c>
    </row>
    <row r="142" spans="1:11" ht="14.4" customHeight="1" x14ac:dyDescent="0.3">
      <c r="A142" s="571" t="s">
        <v>444</v>
      </c>
      <c r="B142" s="572" t="s">
        <v>445</v>
      </c>
      <c r="C142" s="575" t="s">
        <v>457</v>
      </c>
      <c r="D142" s="613" t="s">
        <v>458</v>
      </c>
      <c r="E142" s="575" t="s">
        <v>656</v>
      </c>
      <c r="F142" s="613" t="s">
        <v>657</v>
      </c>
      <c r="G142" s="575" t="s">
        <v>921</v>
      </c>
      <c r="H142" s="575" t="s">
        <v>922</v>
      </c>
      <c r="I142" s="592">
        <v>3.869999885559082</v>
      </c>
      <c r="J142" s="592">
        <v>960</v>
      </c>
      <c r="K142" s="593">
        <v>3717.1201171875</v>
      </c>
    </row>
    <row r="143" spans="1:11" ht="14.4" customHeight="1" x14ac:dyDescent="0.3">
      <c r="A143" s="571" t="s">
        <v>444</v>
      </c>
      <c r="B143" s="572" t="s">
        <v>445</v>
      </c>
      <c r="C143" s="575" t="s">
        <v>457</v>
      </c>
      <c r="D143" s="613" t="s">
        <v>458</v>
      </c>
      <c r="E143" s="575" t="s">
        <v>656</v>
      </c>
      <c r="F143" s="613" t="s">
        <v>657</v>
      </c>
      <c r="G143" s="575" t="s">
        <v>923</v>
      </c>
      <c r="H143" s="575" t="s">
        <v>924</v>
      </c>
      <c r="I143" s="592">
        <v>335.17001342773437</v>
      </c>
      <c r="J143" s="592">
        <v>1</v>
      </c>
      <c r="K143" s="593">
        <v>335.17001342773437</v>
      </c>
    </row>
    <row r="144" spans="1:11" ht="14.4" customHeight="1" x14ac:dyDescent="0.3">
      <c r="A144" s="571" t="s">
        <v>444</v>
      </c>
      <c r="B144" s="572" t="s">
        <v>445</v>
      </c>
      <c r="C144" s="575" t="s">
        <v>457</v>
      </c>
      <c r="D144" s="613" t="s">
        <v>458</v>
      </c>
      <c r="E144" s="575" t="s">
        <v>656</v>
      </c>
      <c r="F144" s="613" t="s">
        <v>657</v>
      </c>
      <c r="G144" s="575" t="s">
        <v>925</v>
      </c>
      <c r="H144" s="575" t="s">
        <v>926</v>
      </c>
      <c r="I144" s="592">
        <v>0.47399999499320983</v>
      </c>
      <c r="J144" s="592">
        <v>600</v>
      </c>
      <c r="K144" s="593">
        <v>284</v>
      </c>
    </row>
    <row r="145" spans="1:11" ht="14.4" customHeight="1" x14ac:dyDescent="0.3">
      <c r="A145" s="571" t="s">
        <v>444</v>
      </c>
      <c r="B145" s="572" t="s">
        <v>445</v>
      </c>
      <c r="C145" s="575" t="s">
        <v>457</v>
      </c>
      <c r="D145" s="613" t="s">
        <v>458</v>
      </c>
      <c r="E145" s="575" t="s">
        <v>656</v>
      </c>
      <c r="F145" s="613" t="s">
        <v>657</v>
      </c>
      <c r="G145" s="575" t="s">
        <v>927</v>
      </c>
      <c r="H145" s="575" t="s">
        <v>928</v>
      </c>
      <c r="I145" s="592">
        <v>0.67000001668930054</v>
      </c>
      <c r="J145" s="592">
        <v>100</v>
      </c>
      <c r="K145" s="593">
        <v>67</v>
      </c>
    </row>
    <row r="146" spans="1:11" ht="14.4" customHeight="1" x14ac:dyDescent="0.3">
      <c r="A146" s="571" t="s">
        <v>444</v>
      </c>
      <c r="B146" s="572" t="s">
        <v>445</v>
      </c>
      <c r="C146" s="575" t="s">
        <v>457</v>
      </c>
      <c r="D146" s="613" t="s">
        <v>458</v>
      </c>
      <c r="E146" s="575" t="s">
        <v>656</v>
      </c>
      <c r="F146" s="613" t="s">
        <v>657</v>
      </c>
      <c r="G146" s="575" t="s">
        <v>929</v>
      </c>
      <c r="H146" s="575" t="s">
        <v>930</v>
      </c>
      <c r="I146" s="592">
        <v>2.0199999809265137</v>
      </c>
      <c r="J146" s="592">
        <v>800</v>
      </c>
      <c r="K146" s="593">
        <v>1618.489990234375</v>
      </c>
    </row>
    <row r="147" spans="1:11" ht="14.4" customHeight="1" x14ac:dyDescent="0.3">
      <c r="A147" s="571" t="s">
        <v>444</v>
      </c>
      <c r="B147" s="572" t="s">
        <v>445</v>
      </c>
      <c r="C147" s="575" t="s">
        <v>457</v>
      </c>
      <c r="D147" s="613" t="s">
        <v>458</v>
      </c>
      <c r="E147" s="575" t="s">
        <v>656</v>
      </c>
      <c r="F147" s="613" t="s">
        <v>657</v>
      </c>
      <c r="G147" s="575" t="s">
        <v>931</v>
      </c>
      <c r="H147" s="575" t="s">
        <v>932</v>
      </c>
      <c r="I147" s="592">
        <v>0.94999998807907104</v>
      </c>
      <c r="J147" s="592">
        <v>100</v>
      </c>
      <c r="K147" s="593">
        <v>94.980003356933594</v>
      </c>
    </row>
    <row r="148" spans="1:11" ht="14.4" customHeight="1" x14ac:dyDescent="0.3">
      <c r="A148" s="571" t="s">
        <v>444</v>
      </c>
      <c r="B148" s="572" t="s">
        <v>445</v>
      </c>
      <c r="C148" s="575" t="s">
        <v>457</v>
      </c>
      <c r="D148" s="613" t="s">
        <v>458</v>
      </c>
      <c r="E148" s="575" t="s">
        <v>680</v>
      </c>
      <c r="F148" s="613" t="s">
        <v>681</v>
      </c>
      <c r="G148" s="575" t="s">
        <v>933</v>
      </c>
      <c r="H148" s="575" t="s">
        <v>934</v>
      </c>
      <c r="I148" s="592">
        <v>0.30000001192092896</v>
      </c>
      <c r="J148" s="592">
        <v>1100</v>
      </c>
      <c r="K148" s="593">
        <v>330</v>
      </c>
    </row>
    <row r="149" spans="1:11" ht="14.4" customHeight="1" x14ac:dyDescent="0.3">
      <c r="A149" s="571" t="s">
        <v>444</v>
      </c>
      <c r="B149" s="572" t="s">
        <v>445</v>
      </c>
      <c r="C149" s="575" t="s">
        <v>457</v>
      </c>
      <c r="D149" s="613" t="s">
        <v>458</v>
      </c>
      <c r="E149" s="575" t="s">
        <v>684</v>
      </c>
      <c r="F149" s="613" t="s">
        <v>685</v>
      </c>
      <c r="G149" s="575" t="s">
        <v>688</v>
      </c>
      <c r="H149" s="575" t="s">
        <v>689</v>
      </c>
      <c r="I149" s="592">
        <v>0.62999999523162842</v>
      </c>
      <c r="J149" s="592">
        <v>1600</v>
      </c>
      <c r="K149" s="593">
        <v>1008</v>
      </c>
    </row>
    <row r="150" spans="1:11" ht="14.4" customHeight="1" x14ac:dyDescent="0.3">
      <c r="A150" s="571" t="s">
        <v>444</v>
      </c>
      <c r="B150" s="572" t="s">
        <v>445</v>
      </c>
      <c r="C150" s="575" t="s">
        <v>457</v>
      </c>
      <c r="D150" s="613" t="s">
        <v>458</v>
      </c>
      <c r="E150" s="575" t="s">
        <v>684</v>
      </c>
      <c r="F150" s="613" t="s">
        <v>685</v>
      </c>
      <c r="G150" s="575" t="s">
        <v>690</v>
      </c>
      <c r="H150" s="575" t="s">
        <v>691</v>
      </c>
      <c r="I150" s="592">
        <v>0.63333332538604736</v>
      </c>
      <c r="J150" s="592">
        <v>2400</v>
      </c>
      <c r="K150" s="593">
        <v>1520</v>
      </c>
    </row>
    <row r="151" spans="1:11" ht="14.4" customHeight="1" x14ac:dyDescent="0.3">
      <c r="A151" s="571" t="s">
        <v>444</v>
      </c>
      <c r="B151" s="572" t="s">
        <v>445</v>
      </c>
      <c r="C151" s="575" t="s">
        <v>457</v>
      </c>
      <c r="D151" s="613" t="s">
        <v>458</v>
      </c>
      <c r="E151" s="575" t="s">
        <v>684</v>
      </c>
      <c r="F151" s="613" t="s">
        <v>685</v>
      </c>
      <c r="G151" s="575" t="s">
        <v>935</v>
      </c>
      <c r="H151" s="575" t="s">
        <v>936</v>
      </c>
      <c r="I151" s="592">
        <v>7.5</v>
      </c>
      <c r="J151" s="592">
        <v>180</v>
      </c>
      <c r="K151" s="593">
        <v>1350</v>
      </c>
    </row>
    <row r="152" spans="1:11" ht="14.4" customHeight="1" x14ac:dyDescent="0.3">
      <c r="A152" s="571" t="s">
        <v>444</v>
      </c>
      <c r="B152" s="572" t="s">
        <v>445</v>
      </c>
      <c r="C152" s="575" t="s">
        <v>457</v>
      </c>
      <c r="D152" s="613" t="s">
        <v>458</v>
      </c>
      <c r="E152" s="575" t="s">
        <v>684</v>
      </c>
      <c r="F152" s="613" t="s">
        <v>685</v>
      </c>
      <c r="G152" s="575" t="s">
        <v>690</v>
      </c>
      <c r="H152" s="575" t="s">
        <v>937</v>
      </c>
      <c r="I152" s="592">
        <v>0.62999999523162842</v>
      </c>
      <c r="J152" s="592">
        <v>800</v>
      </c>
      <c r="K152" s="593">
        <v>504</v>
      </c>
    </row>
    <row r="153" spans="1:11" ht="14.4" customHeight="1" thickBot="1" x14ac:dyDescent="0.35">
      <c r="A153" s="579" t="s">
        <v>444</v>
      </c>
      <c r="B153" s="580" t="s">
        <v>445</v>
      </c>
      <c r="C153" s="583" t="s">
        <v>457</v>
      </c>
      <c r="D153" s="614" t="s">
        <v>458</v>
      </c>
      <c r="E153" s="583" t="s">
        <v>684</v>
      </c>
      <c r="F153" s="614" t="s">
        <v>685</v>
      </c>
      <c r="G153" s="583" t="s">
        <v>688</v>
      </c>
      <c r="H153" s="583" t="s">
        <v>696</v>
      </c>
      <c r="I153" s="594">
        <v>0.62999999523162842</v>
      </c>
      <c r="J153" s="594">
        <v>600</v>
      </c>
      <c r="K153" s="595">
        <v>378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7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31" customWidth="1"/>
    <col min="18" max="18" width="7.33203125" style="276" customWidth="1"/>
    <col min="19" max="19" width="8" style="231" customWidth="1"/>
    <col min="21" max="21" width="11.21875" bestFit="1" customWidth="1"/>
  </cols>
  <sheetData>
    <row r="1" spans="1:19" ht="18.600000000000001" thickBot="1" x14ac:dyDescent="0.4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" thickBot="1" x14ac:dyDescent="0.35">
      <c r="A2" s="232" t="s">
        <v>265</v>
      </c>
      <c r="B2" s="233"/>
    </row>
    <row r="3" spans="1:19" x14ac:dyDescent="0.3">
      <c r="A3" s="413" t="s">
        <v>186</v>
      </c>
      <c r="B3" s="414"/>
      <c r="C3" s="415" t="s">
        <v>175</v>
      </c>
      <c r="D3" s="416"/>
      <c r="E3" s="416"/>
      <c r="F3" s="417"/>
      <c r="G3" s="418" t="s">
        <v>176</v>
      </c>
      <c r="H3" s="419"/>
      <c r="I3" s="419"/>
      <c r="J3" s="420"/>
      <c r="K3" s="421" t="s">
        <v>185</v>
      </c>
      <c r="L3" s="422"/>
      <c r="M3" s="422"/>
      <c r="N3" s="422"/>
      <c r="O3" s="423"/>
      <c r="P3" s="419" t="s">
        <v>240</v>
      </c>
      <c r="Q3" s="419"/>
      <c r="R3" s="419"/>
      <c r="S3" s="420"/>
    </row>
    <row r="4" spans="1:19" ht="15" thickBot="1" x14ac:dyDescent="0.35">
      <c r="A4" s="432">
        <v>2018</v>
      </c>
      <c r="B4" s="433"/>
      <c r="C4" s="434" t="s">
        <v>239</v>
      </c>
      <c r="D4" s="436" t="s">
        <v>106</v>
      </c>
      <c r="E4" s="436" t="s">
        <v>74</v>
      </c>
      <c r="F4" s="411" t="s">
        <v>67</v>
      </c>
      <c r="G4" s="426" t="s">
        <v>177</v>
      </c>
      <c r="H4" s="428" t="s">
        <v>181</v>
      </c>
      <c r="I4" s="428" t="s">
        <v>238</v>
      </c>
      <c r="J4" s="430" t="s">
        <v>178</v>
      </c>
      <c r="K4" s="408" t="s">
        <v>237</v>
      </c>
      <c r="L4" s="409"/>
      <c r="M4" s="409"/>
      <c r="N4" s="410"/>
      <c r="O4" s="411" t="s">
        <v>236</v>
      </c>
      <c r="P4" s="400" t="s">
        <v>235</v>
      </c>
      <c r="Q4" s="400" t="s">
        <v>188</v>
      </c>
      <c r="R4" s="402" t="s">
        <v>74</v>
      </c>
      <c r="S4" s="404" t="s">
        <v>187</v>
      </c>
    </row>
    <row r="5" spans="1:19" s="311" customFormat="1" ht="19.2" customHeight="1" x14ac:dyDescent="0.3">
      <c r="A5" s="406" t="s">
        <v>234</v>
      </c>
      <c r="B5" s="407"/>
      <c r="C5" s="435"/>
      <c r="D5" s="437"/>
      <c r="E5" s="437"/>
      <c r="F5" s="412"/>
      <c r="G5" s="427"/>
      <c r="H5" s="429"/>
      <c r="I5" s="429"/>
      <c r="J5" s="431"/>
      <c r="K5" s="314" t="s">
        <v>179</v>
      </c>
      <c r="L5" s="313" t="s">
        <v>180</v>
      </c>
      <c r="M5" s="313" t="s">
        <v>233</v>
      </c>
      <c r="N5" s="312" t="s">
        <v>3</v>
      </c>
      <c r="O5" s="412"/>
      <c r="P5" s="401"/>
      <c r="Q5" s="401"/>
      <c r="R5" s="403"/>
      <c r="S5" s="405"/>
    </row>
    <row r="6" spans="1:19" ht="15" thickBot="1" x14ac:dyDescent="0.35">
      <c r="A6" s="424" t="s">
        <v>174</v>
      </c>
      <c r="B6" s="425"/>
      <c r="C6" s="310">
        <f ca="1">SUM(Tabulka[01 uv_sk])/2</f>
        <v>26.5548</v>
      </c>
      <c r="D6" s="308"/>
      <c r="E6" s="308"/>
      <c r="F6" s="307"/>
      <c r="G6" s="309">
        <f ca="1">SUM(Tabulka[05 h_vram])/2</f>
        <v>24787.199999999993</v>
      </c>
      <c r="H6" s="308">
        <f ca="1">SUM(Tabulka[06 h_naduv])/2</f>
        <v>4</v>
      </c>
      <c r="I6" s="308">
        <f ca="1">SUM(Tabulka[07 h_nadzk])/2</f>
        <v>93</v>
      </c>
      <c r="J6" s="307">
        <f ca="1">SUM(Tabulka[08 h_oon])/2</f>
        <v>427.5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26165</v>
      </c>
      <c r="N6" s="308">
        <f ca="1">SUM(Tabulka[12 m_oc])/2</f>
        <v>26165</v>
      </c>
      <c r="O6" s="307">
        <f ca="1">SUM(Tabulka[13 m_sk])/2</f>
        <v>6893339</v>
      </c>
      <c r="P6" s="306">
        <f ca="1">SUM(Tabulka[14_vzsk])/2</f>
        <v>26410</v>
      </c>
      <c r="Q6" s="306">
        <f ca="1">SUM(Tabulka[15_vzpl])/2</f>
        <v>38518.623189988248</v>
      </c>
      <c r="R6" s="305">
        <f ca="1">IF(Q6=0,0,P6/Q6)</f>
        <v>0.68564236758245511</v>
      </c>
      <c r="S6" s="304">
        <f ca="1">Q6-P6</f>
        <v>12108.623189988248</v>
      </c>
    </row>
    <row r="7" spans="1:19" hidden="1" x14ac:dyDescent="0.3">
      <c r="A7" s="303" t="s">
        <v>232</v>
      </c>
      <c r="B7" s="302" t="s">
        <v>231</v>
      </c>
      <c r="C7" s="301" t="s">
        <v>230</v>
      </c>
      <c r="D7" s="300" t="s">
        <v>229</v>
      </c>
      <c r="E7" s="299" t="s">
        <v>228</v>
      </c>
      <c r="F7" s="298" t="s">
        <v>227</v>
      </c>
      <c r="G7" s="297" t="s">
        <v>226</v>
      </c>
      <c r="H7" s="295" t="s">
        <v>225</v>
      </c>
      <c r="I7" s="295" t="s">
        <v>224</v>
      </c>
      <c r="J7" s="294" t="s">
        <v>223</v>
      </c>
      <c r="K7" s="296" t="s">
        <v>222</v>
      </c>
      <c r="L7" s="295" t="s">
        <v>221</v>
      </c>
      <c r="M7" s="295" t="s">
        <v>220</v>
      </c>
      <c r="N7" s="294" t="s">
        <v>219</v>
      </c>
      <c r="O7" s="293" t="s">
        <v>218</v>
      </c>
      <c r="P7" s="292" t="s">
        <v>217</v>
      </c>
      <c r="Q7" s="291" t="s">
        <v>216</v>
      </c>
      <c r="R7" s="290" t="s">
        <v>215</v>
      </c>
      <c r="S7" s="289" t="s">
        <v>214</v>
      </c>
    </row>
    <row r="8" spans="1:19" x14ac:dyDescent="0.3">
      <c r="A8" s="286" t="s">
        <v>213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5.3381333333333343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5188.8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2059068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7027.2375974046727</v>
      </c>
      <c r="R8" s="288">
        <f ca="1">IF(Tabulka[[#This Row],[15_vzpl]]=0,"",Tabulka[[#This Row],[14_vzsk]]/Tabulka[[#This Row],[15_vzpl]])</f>
        <v>1.7930231937302763</v>
      </c>
      <c r="S8" s="287">
        <f ca="1">IF(Tabulka[[#This Row],[15_vzpl]]-Tabulka[[#This Row],[14_vzsk]]=0,"",Tabulka[[#This Row],[15_vzpl]]-Tabulka[[#This Row],[14_vzsk]])</f>
        <v>-5572.7624025953273</v>
      </c>
    </row>
    <row r="9" spans="1:19" x14ac:dyDescent="0.3">
      <c r="A9" s="286">
        <v>99</v>
      </c>
      <c r="B9" s="285" t="s">
        <v>950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2.3381333333333334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2276.8000000000002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614163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7027.2375974046727</v>
      </c>
      <c r="R9" s="288">
        <f ca="1">IF(Tabulka[[#This Row],[15_vzpl]]=0,"",Tabulka[[#This Row],[14_vzsk]]/Tabulka[[#This Row],[15_vzpl]])</f>
        <v>1.7930231937302763</v>
      </c>
      <c r="S9" s="287">
        <f ca="1">IF(Tabulka[[#This Row],[15_vzpl]]-Tabulka[[#This Row],[14_vzsk]]=0,"",Tabulka[[#This Row],[15_vzpl]]-Tabulka[[#This Row],[14_vzsk]])</f>
        <v>-5572.7624025953273</v>
      </c>
    </row>
    <row r="10" spans="1:19" x14ac:dyDescent="0.3">
      <c r="A10" s="286">
        <v>101</v>
      </c>
      <c r="B10" s="285" t="s">
        <v>951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2912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1444905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3">
      <c r="A11" s="286" t="s">
        <v>939</v>
      </c>
      <c r="B11" s="285"/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10.65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9780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277.5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14270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14270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2737375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26491.385592583578</v>
      </c>
      <c r="R11" s="288">
        <f ca="1">IF(Tabulka[[#This Row],[15_vzpl]]=0,"",Tabulka[[#This Row],[14_vzsk]]/Tabulka[[#This Row],[15_vzpl]])</f>
        <v>0.45297743895130466</v>
      </c>
      <c r="S11" s="287">
        <f ca="1">IF(Tabulka[[#This Row],[15_vzpl]]-Tabulka[[#This Row],[14_vzsk]]=0,"",Tabulka[[#This Row],[15_vzpl]]-Tabulka[[#This Row],[14_vzsk]])</f>
        <v>14491.385592583578</v>
      </c>
    </row>
    <row r="12" spans="1:19" x14ac:dyDescent="0.3">
      <c r="A12" s="286">
        <v>526</v>
      </c>
      <c r="B12" s="285" t="s">
        <v>952</v>
      </c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10.583333333333332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9724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14270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14270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2682084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26491.385592583578</v>
      </c>
      <c r="R12" s="288">
        <f ca="1">IF(Tabulka[[#This Row],[15_vzpl]]=0,"",Tabulka[[#This Row],[14_vzsk]]/Tabulka[[#This Row],[15_vzpl]])</f>
        <v>0.45297743895130466</v>
      </c>
      <c r="S12" s="287">
        <f ca="1">IF(Tabulka[[#This Row],[15_vzpl]]-Tabulka[[#This Row],[14_vzsk]]=0,"",Tabulka[[#This Row],[15_vzpl]]-Tabulka[[#This Row],[14_vzsk]])</f>
        <v>14491.385592583578</v>
      </c>
    </row>
    <row r="13" spans="1:19" x14ac:dyDescent="0.3">
      <c r="A13" s="286">
        <v>746</v>
      </c>
      <c r="B13" s="285" t="s">
        <v>953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6.6666666666666666E-2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277.5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55291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88" t="str">
        <f ca="1">IF(Tabulka[[#This Row],[15_vzpl]]=0,"",Tabulka[[#This Row],[14_vzsk]]/Tabulka[[#This Row],[15_vzpl]])</f>
        <v/>
      </c>
      <c r="S13" s="287" t="str">
        <f ca="1">IF(Tabulka[[#This Row],[15_vzpl]]-Tabulka[[#This Row],[14_vzsk]]=0,"",Tabulka[[#This Row],[15_vzpl]]-Tabulka[[#This Row],[14_vzsk]])</f>
        <v/>
      </c>
    </row>
    <row r="14" spans="1:19" x14ac:dyDescent="0.3">
      <c r="A14" s="286" t="s">
        <v>940</v>
      </c>
      <c r="B14" s="285"/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7.7666666666666657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7155.2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10706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10706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1625963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5000</v>
      </c>
      <c r="R14" s="288">
        <f ca="1">IF(Tabulka[[#This Row],[15_vzpl]]=0,"",Tabulka[[#This Row],[14_vzsk]]/Tabulka[[#This Row],[15_vzpl]])</f>
        <v>0.36199999999999999</v>
      </c>
      <c r="S14" s="287">
        <f ca="1">IF(Tabulka[[#This Row],[15_vzpl]]-Tabulka[[#This Row],[14_vzsk]]=0,"",Tabulka[[#This Row],[15_vzpl]]-Tabulka[[#This Row],[14_vzsk]])</f>
        <v>3190</v>
      </c>
    </row>
    <row r="15" spans="1:19" x14ac:dyDescent="0.3">
      <c r="A15" s="286">
        <v>303</v>
      </c>
      <c r="B15" s="285" t="s">
        <v>954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5000</v>
      </c>
      <c r="R15" s="288">
        <f ca="1">IF(Tabulka[[#This Row],[15_vzpl]]=0,"",Tabulka[[#This Row],[14_vzsk]]/Tabulka[[#This Row],[15_vzpl]])</f>
        <v>0.36199999999999999</v>
      </c>
      <c r="S15" s="287">
        <f ca="1">IF(Tabulka[[#This Row],[15_vzpl]]-Tabulka[[#This Row],[14_vzsk]]=0,"",Tabulka[[#This Row],[15_vzpl]]-Tabulka[[#This Row],[14_vzsk]])</f>
        <v>3190</v>
      </c>
    </row>
    <row r="16" spans="1:19" x14ac:dyDescent="0.3">
      <c r="A16" s="286">
        <v>304</v>
      </c>
      <c r="B16" s="285" t="s">
        <v>955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0.83333333333333337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804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247237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3">
      <c r="A17" s="286">
        <v>305</v>
      </c>
      <c r="B17" s="285" t="s">
        <v>956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984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331765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3">
      <c r="A18" s="286">
        <v>409</v>
      </c>
      <c r="B18" s="285" t="s">
        <v>957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4.9333333333333336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4603.2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10706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10706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953416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3">
      <c r="A19" s="286">
        <v>642</v>
      </c>
      <c r="B19" s="285" t="s">
        <v>958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764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93545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3">
      <c r="A20" s="286" t="s">
        <v>941</v>
      </c>
      <c r="B20" s="285"/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1715.2000000000003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594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594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293290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3">
      <c r="A21" s="286">
        <v>30</v>
      </c>
      <c r="B21" s="285" t="s">
        <v>959</v>
      </c>
      <c r="C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</v>
      </c>
      <c r="D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1715.2000000000003</v>
      </c>
      <c r="H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594</v>
      </c>
      <c r="N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594</v>
      </c>
      <c r="O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293290</v>
      </c>
      <c r="P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8" t="str">
        <f ca="1">IF(Tabulka[[#This Row],[15_vzpl]]=0,"",Tabulka[[#This Row],[14_vzsk]]/Tabulka[[#This Row],[15_vzpl]])</f>
        <v/>
      </c>
      <c r="S21" s="287" t="str">
        <f ca="1">IF(Tabulka[[#This Row],[15_vzpl]]-Tabulka[[#This Row],[14_vzsk]]=0,"",Tabulka[[#This Row],[15_vzpl]]-Tabulka[[#This Row],[14_vzsk]])</f>
        <v/>
      </c>
    </row>
    <row r="22" spans="1:19" x14ac:dyDescent="0.3">
      <c r="A22" s="286" t="s">
        <v>942</v>
      </c>
      <c r="B22" s="285"/>
      <c r="C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948</v>
      </c>
      <c r="H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595</v>
      </c>
      <c r="N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595</v>
      </c>
      <c r="O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177643</v>
      </c>
      <c r="P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8" t="str">
        <f ca="1">IF(Tabulka[[#This Row],[15_vzpl]]=0,"",Tabulka[[#This Row],[14_vzsk]]/Tabulka[[#This Row],[15_vzpl]])</f>
        <v/>
      </c>
      <c r="S22" s="287" t="str">
        <f ca="1">IF(Tabulka[[#This Row],[15_vzpl]]-Tabulka[[#This Row],[14_vzsk]]=0,"",Tabulka[[#This Row],[15_vzpl]]-Tabulka[[#This Row],[14_vzsk]])</f>
        <v/>
      </c>
    </row>
    <row r="23" spans="1:19" x14ac:dyDescent="0.3">
      <c r="A23" s="286">
        <v>310</v>
      </c>
      <c r="B23" s="285" t="s">
        <v>942</v>
      </c>
      <c r="C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948</v>
      </c>
      <c r="H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595</v>
      </c>
      <c r="N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595</v>
      </c>
      <c r="O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177643</v>
      </c>
      <c r="P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8" t="str">
        <f ca="1">IF(Tabulka[[#This Row],[15_vzpl]]=0,"",Tabulka[[#This Row],[14_vzsk]]/Tabulka[[#This Row],[15_vzpl]])</f>
        <v/>
      </c>
      <c r="S23" s="287" t="str">
        <f ca="1">IF(Tabulka[[#This Row],[15_vzpl]]-Tabulka[[#This Row],[14_vzsk]]=0,"",Tabulka[[#This Row],[15_vzpl]]-Tabulka[[#This Row],[14_vzsk]])</f>
        <v/>
      </c>
    </row>
    <row r="24" spans="1:19" x14ac:dyDescent="0.3">
      <c r="A24" t="s">
        <v>242</v>
      </c>
    </row>
    <row r="25" spans="1:19" x14ac:dyDescent="0.3">
      <c r="A25" s="113" t="s">
        <v>156</v>
      </c>
    </row>
    <row r="26" spans="1:19" x14ac:dyDescent="0.3">
      <c r="A26" s="114" t="s">
        <v>212</v>
      </c>
    </row>
    <row r="27" spans="1:19" x14ac:dyDescent="0.3">
      <c r="A27" s="278" t="s">
        <v>211</v>
      </c>
    </row>
    <row r="28" spans="1:19" x14ac:dyDescent="0.3">
      <c r="A28" s="235" t="s">
        <v>184</v>
      </c>
    </row>
    <row r="29" spans="1:19" x14ac:dyDescent="0.3">
      <c r="A29" s="237" t="s">
        <v>189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05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949</v>
      </c>
    </row>
    <row r="2" spans="1:19" x14ac:dyDescent="0.3">
      <c r="A2" s="232" t="s">
        <v>265</v>
      </c>
    </row>
    <row r="3" spans="1:19" x14ac:dyDescent="0.3">
      <c r="A3" s="324" t="s">
        <v>161</v>
      </c>
      <c r="B3" s="323">
        <v>2018</v>
      </c>
      <c r="C3" t="s">
        <v>241</v>
      </c>
      <c r="D3" t="s">
        <v>232</v>
      </c>
      <c r="E3" t="s">
        <v>230</v>
      </c>
      <c r="F3" t="s">
        <v>229</v>
      </c>
      <c r="G3" t="s">
        <v>228</v>
      </c>
      <c r="H3" t="s">
        <v>227</v>
      </c>
      <c r="I3" t="s">
        <v>226</v>
      </c>
      <c r="J3" t="s">
        <v>225</v>
      </c>
      <c r="K3" t="s">
        <v>224</v>
      </c>
      <c r="L3" t="s">
        <v>223</v>
      </c>
      <c r="M3" t="s">
        <v>222</v>
      </c>
      <c r="N3" t="s">
        <v>221</v>
      </c>
      <c r="O3" t="s">
        <v>220</v>
      </c>
      <c r="P3" t="s">
        <v>219</v>
      </c>
      <c r="Q3" t="s">
        <v>218</v>
      </c>
      <c r="R3" t="s">
        <v>217</v>
      </c>
      <c r="S3" t="s">
        <v>216</v>
      </c>
    </row>
    <row r="4" spans="1:19" x14ac:dyDescent="0.3">
      <c r="A4" s="322" t="s">
        <v>162</v>
      </c>
      <c r="B4" s="321">
        <v>1</v>
      </c>
      <c r="C4" s="316">
        <v>1</v>
      </c>
      <c r="D4" s="316" t="s">
        <v>213</v>
      </c>
      <c r="E4" s="315">
        <v>6.0500000000000007</v>
      </c>
      <c r="F4" s="315"/>
      <c r="G4" s="315"/>
      <c r="H4" s="315"/>
      <c r="I4" s="315">
        <v>1059.2</v>
      </c>
      <c r="J4" s="315"/>
      <c r="K4" s="315"/>
      <c r="L4" s="315">
        <v>25</v>
      </c>
      <c r="M4" s="315"/>
      <c r="N4" s="315"/>
      <c r="O4" s="315"/>
      <c r="P4" s="315"/>
      <c r="Q4" s="315">
        <v>368209</v>
      </c>
      <c r="R4" s="315">
        <v>4550</v>
      </c>
      <c r="S4" s="315">
        <v>1171.206266234112</v>
      </c>
    </row>
    <row r="5" spans="1:19" x14ac:dyDescent="0.3">
      <c r="A5" s="320" t="s">
        <v>163</v>
      </c>
      <c r="B5" s="319">
        <v>2</v>
      </c>
      <c r="C5">
        <v>1</v>
      </c>
      <c r="D5">
        <v>99</v>
      </c>
      <c r="E5">
        <v>3.2</v>
      </c>
      <c r="I5">
        <v>571.20000000000005</v>
      </c>
      <c r="Q5">
        <v>135585</v>
      </c>
      <c r="R5">
        <v>4550</v>
      </c>
      <c r="S5">
        <v>1171.206266234112</v>
      </c>
    </row>
    <row r="6" spans="1:19" x14ac:dyDescent="0.3">
      <c r="A6" s="322" t="s">
        <v>164</v>
      </c>
      <c r="B6" s="321">
        <v>3</v>
      </c>
      <c r="C6">
        <v>1</v>
      </c>
      <c r="D6">
        <v>101</v>
      </c>
      <c r="E6">
        <v>2.85</v>
      </c>
      <c r="I6">
        <v>488</v>
      </c>
      <c r="L6">
        <v>25</v>
      </c>
      <c r="Q6">
        <v>232624</v>
      </c>
    </row>
    <row r="7" spans="1:19" x14ac:dyDescent="0.3">
      <c r="A7" s="320" t="s">
        <v>165</v>
      </c>
      <c r="B7" s="319">
        <v>4</v>
      </c>
      <c r="C7">
        <v>1</v>
      </c>
      <c r="D7" t="s">
        <v>939</v>
      </c>
      <c r="E7">
        <v>10.8</v>
      </c>
      <c r="I7">
        <v>1884</v>
      </c>
      <c r="L7">
        <v>44</v>
      </c>
      <c r="O7">
        <v>3338</v>
      </c>
      <c r="P7">
        <v>3338</v>
      </c>
      <c r="Q7">
        <v>488304</v>
      </c>
      <c r="R7">
        <v>4350</v>
      </c>
      <c r="S7">
        <v>4415.2309320972627</v>
      </c>
    </row>
    <row r="8" spans="1:19" x14ac:dyDescent="0.3">
      <c r="A8" s="322" t="s">
        <v>166</v>
      </c>
      <c r="B8" s="321">
        <v>5</v>
      </c>
      <c r="C8">
        <v>1</v>
      </c>
      <c r="D8">
        <v>526</v>
      </c>
      <c r="E8">
        <v>10.4</v>
      </c>
      <c r="I8">
        <v>1828</v>
      </c>
      <c r="O8">
        <v>3338</v>
      </c>
      <c r="P8">
        <v>3338</v>
      </c>
      <c r="Q8">
        <v>468038</v>
      </c>
      <c r="R8">
        <v>4350</v>
      </c>
      <c r="S8">
        <v>4415.2309320972627</v>
      </c>
    </row>
    <row r="9" spans="1:19" x14ac:dyDescent="0.3">
      <c r="A9" s="320" t="s">
        <v>167</v>
      </c>
      <c r="B9" s="319">
        <v>6</v>
      </c>
      <c r="C9">
        <v>1</v>
      </c>
      <c r="D9">
        <v>746</v>
      </c>
      <c r="E9">
        <v>0.4</v>
      </c>
      <c r="I9">
        <v>56</v>
      </c>
      <c r="L9">
        <v>44</v>
      </c>
      <c r="Q9">
        <v>20266</v>
      </c>
    </row>
    <row r="10" spans="1:19" x14ac:dyDescent="0.3">
      <c r="A10" s="322" t="s">
        <v>168</v>
      </c>
      <c r="B10" s="321">
        <v>7</v>
      </c>
      <c r="C10">
        <v>1</v>
      </c>
      <c r="D10" t="s">
        <v>940</v>
      </c>
      <c r="E10">
        <v>8.6</v>
      </c>
      <c r="I10">
        <v>1328</v>
      </c>
      <c r="K10">
        <v>12</v>
      </c>
      <c r="O10">
        <v>8706</v>
      </c>
      <c r="P10">
        <v>8706</v>
      </c>
      <c r="Q10">
        <v>301118</v>
      </c>
      <c r="S10">
        <v>833.33333333333337</v>
      </c>
    </row>
    <row r="11" spans="1:19" x14ac:dyDescent="0.3">
      <c r="A11" s="320" t="s">
        <v>169</v>
      </c>
      <c r="B11" s="319">
        <v>8</v>
      </c>
      <c r="C11">
        <v>1</v>
      </c>
      <c r="D11">
        <v>303</v>
      </c>
      <c r="S11">
        <v>833.33333333333337</v>
      </c>
    </row>
    <row r="12" spans="1:19" x14ac:dyDescent="0.3">
      <c r="A12" s="322" t="s">
        <v>170</v>
      </c>
      <c r="B12" s="321">
        <v>9</v>
      </c>
      <c r="C12">
        <v>1</v>
      </c>
      <c r="D12">
        <v>304</v>
      </c>
      <c r="E12">
        <v>1.8</v>
      </c>
      <c r="I12">
        <v>316</v>
      </c>
      <c r="K12">
        <v>12</v>
      </c>
      <c r="Q12">
        <v>71246</v>
      </c>
    </row>
    <row r="13" spans="1:19" x14ac:dyDescent="0.3">
      <c r="A13" s="320" t="s">
        <v>171</v>
      </c>
      <c r="B13" s="319">
        <v>10</v>
      </c>
      <c r="C13">
        <v>1</v>
      </c>
      <c r="D13">
        <v>305</v>
      </c>
      <c r="E13">
        <v>1</v>
      </c>
      <c r="I13">
        <v>184</v>
      </c>
      <c r="Q13">
        <v>54960</v>
      </c>
    </row>
    <row r="14" spans="1:19" x14ac:dyDescent="0.3">
      <c r="A14" s="322" t="s">
        <v>172</v>
      </c>
      <c r="B14" s="321">
        <v>11</v>
      </c>
      <c r="C14">
        <v>1</v>
      </c>
      <c r="D14">
        <v>409</v>
      </c>
      <c r="E14">
        <v>4.8</v>
      </c>
      <c r="I14">
        <v>828</v>
      </c>
      <c r="O14">
        <v>8706</v>
      </c>
      <c r="P14">
        <v>8706</v>
      </c>
      <c r="Q14">
        <v>174912</v>
      </c>
    </row>
    <row r="15" spans="1:19" x14ac:dyDescent="0.3">
      <c r="A15" s="320" t="s">
        <v>173</v>
      </c>
      <c r="B15" s="319">
        <v>12</v>
      </c>
      <c r="C15">
        <v>1</v>
      </c>
      <c r="D15">
        <v>642</v>
      </c>
      <c r="E15">
        <v>1</v>
      </c>
    </row>
    <row r="16" spans="1:19" x14ac:dyDescent="0.3">
      <c r="A16" s="318" t="s">
        <v>161</v>
      </c>
      <c r="B16" s="317">
        <v>2018</v>
      </c>
      <c r="C16">
        <v>1</v>
      </c>
      <c r="D16" t="s">
        <v>941</v>
      </c>
      <c r="E16">
        <v>1.8</v>
      </c>
      <c r="I16">
        <v>267.2</v>
      </c>
      <c r="O16">
        <v>594</v>
      </c>
      <c r="P16">
        <v>594</v>
      </c>
      <c r="Q16">
        <v>47153</v>
      </c>
    </row>
    <row r="17" spans="3:19" x14ac:dyDescent="0.3">
      <c r="C17">
        <v>1</v>
      </c>
      <c r="D17">
        <v>30</v>
      </c>
      <c r="E17">
        <v>1.8</v>
      </c>
      <c r="I17">
        <v>267.2</v>
      </c>
      <c r="O17">
        <v>594</v>
      </c>
      <c r="P17">
        <v>594</v>
      </c>
      <c r="Q17">
        <v>47153</v>
      </c>
    </row>
    <row r="18" spans="3:19" x14ac:dyDescent="0.3">
      <c r="C18">
        <v>1</v>
      </c>
      <c r="D18" t="s">
        <v>942</v>
      </c>
      <c r="O18">
        <v>595</v>
      </c>
      <c r="P18">
        <v>595</v>
      </c>
    </row>
    <row r="19" spans="3:19" x14ac:dyDescent="0.3">
      <c r="C19">
        <v>1</v>
      </c>
      <c r="D19">
        <v>310</v>
      </c>
      <c r="O19">
        <v>595</v>
      </c>
      <c r="P19">
        <v>595</v>
      </c>
    </row>
    <row r="20" spans="3:19" x14ac:dyDescent="0.3">
      <c r="C20" t="s">
        <v>943</v>
      </c>
      <c r="E20">
        <v>27.250000000000004</v>
      </c>
      <c r="I20">
        <v>4538.3999999999996</v>
      </c>
      <c r="K20">
        <v>12</v>
      </c>
      <c r="L20">
        <v>69</v>
      </c>
      <c r="O20">
        <v>13233</v>
      </c>
      <c r="P20">
        <v>13233</v>
      </c>
      <c r="Q20">
        <v>1204784</v>
      </c>
      <c r="R20">
        <v>8900</v>
      </c>
      <c r="S20">
        <v>6419.770531664708</v>
      </c>
    </row>
    <row r="21" spans="3:19" x14ac:dyDescent="0.3">
      <c r="C21">
        <v>2</v>
      </c>
      <c r="D21" t="s">
        <v>213</v>
      </c>
      <c r="E21">
        <v>5.25</v>
      </c>
      <c r="I21">
        <v>748</v>
      </c>
      <c r="L21">
        <v>25</v>
      </c>
      <c r="Q21">
        <v>338600</v>
      </c>
      <c r="S21">
        <v>1171.206266234112</v>
      </c>
    </row>
    <row r="22" spans="3:19" x14ac:dyDescent="0.3">
      <c r="C22">
        <v>2</v>
      </c>
      <c r="D22">
        <v>99</v>
      </c>
      <c r="E22">
        <v>2.4</v>
      </c>
      <c r="I22">
        <v>352</v>
      </c>
      <c r="Q22">
        <v>105164</v>
      </c>
      <c r="S22">
        <v>1171.206266234112</v>
      </c>
    </row>
    <row r="23" spans="3:19" x14ac:dyDescent="0.3">
      <c r="C23">
        <v>2</v>
      </c>
      <c r="D23">
        <v>101</v>
      </c>
      <c r="E23">
        <v>2.85</v>
      </c>
      <c r="I23">
        <v>396</v>
      </c>
      <c r="L23">
        <v>25</v>
      </c>
      <c r="Q23">
        <v>233436</v>
      </c>
    </row>
    <row r="24" spans="3:19" x14ac:dyDescent="0.3">
      <c r="C24">
        <v>2</v>
      </c>
      <c r="D24" t="s">
        <v>939</v>
      </c>
      <c r="E24">
        <v>10.8</v>
      </c>
      <c r="I24">
        <v>1440</v>
      </c>
      <c r="L24">
        <v>32</v>
      </c>
      <c r="Q24">
        <v>408972</v>
      </c>
      <c r="S24">
        <v>4415.2309320972627</v>
      </c>
    </row>
    <row r="25" spans="3:19" x14ac:dyDescent="0.3">
      <c r="C25">
        <v>2</v>
      </c>
      <c r="D25">
        <v>526</v>
      </c>
      <c r="E25">
        <v>10.8</v>
      </c>
      <c r="I25">
        <v>1440</v>
      </c>
      <c r="Q25">
        <v>404172</v>
      </c>
      <c r="S25">
        <v>4415.2309320972627</v>
      </c>
    </row>
    <row r="26" spans="3:19" x14ac:dyDescent="0.3">
      <c r="C26">
        <v>2</v>
      </c>
      <c r="D26">
        <v>746</v>
      </c>
      <c r="L26">
        <v>32</v>
      </c>
      <c r="Q26">
        <v>4800</v>
      </c>
    </row>
    <row r="27" spans="3:19" x14ac:dyDescent="0.3">
      <c r="C27">
        <v>2</v>
      </c>
      <c r="D27" t="s">
        <v>940</v>
      </c>
      <c r="E27">
        <v>6.8</v>
      </c>
      <c r="I27">
        <v>972</v>
      </c>
      <c r="K27">
        <v>12</v>
      </c>
      <c r="Q27">
        <v>245450</v>
      </c>
      <c r="R27">
        <v>110</v>
      </c>
      <c r="S27">
        <v>833.33333333333337</v>
      </c>
    </row>
    <row r="28" spans="3:19" x14ac:dyDescent="0.3">
      <c r="C28">
        <v>2</v>
      </c>
      <c r="D28">
        <v>303</v>
      </c>
      <c r="R28">
        <v>110</v>
      </c>
      <c r="S28">
        <v>833.33333333333337</v>
      </c>
    </row>
    <row r="29" spans="3:19" x14ac:dyDescent="0.3">
      <c r="C29">
        <v>2</v>
      </c>
      <c r="D29">
        <v>304</v>
      </c>
      <c r="K29">
        <v>12</v>
      </c>
      <c r="Q29">
        <v>35150</v>
      </c>
    </row>
    <row r="30" spans="3:19" x14ac:dyDescent="0.3">
      <c r="C30">
        <v>2</v>
      </c>
      <c r="D30">
        <v>305</v>
      </c>
      <c r="E30">
        <v>1</v>
      </c>
      <c r="I30">
        <v>160</v>
      </c>
      <c r="Q30">
        <v>54960</v>
      </c>
    </row>
    <row r="31" spans="3:19" x14ac:dyDescent="0.3">
      <c r="C31">
        <v>2</v>
      </c>
      <c r="D31">
        <v>409</v>
      </c>
      <c r="E31">
        <v>4.8</v>
      </c>
      <c r="I31">
        <v>656</v>
      </c>
      <c r="Q31">
        <v>137168</v>
      </c>
    </row>
    <row r="32" spans="3:19" x14ac:dyDescent="0.3">
      <c r="C32">
        <v>2</v>
      </c>
      <c r="D32">
        <v>642</v>
      </c>
      <c r="E32">
        <v>1</v>
      </c>
      <c r="I32">
        <v>156</v>
      </c>
      <c r="Q32">
        <v>18172</v>
      </c>
    </row>
    <row r="33" spans="3:19" x14ac:dyDescent="0.3">
      <c r="C33">
        <v>2</v>
      </c>
      <c r="D33" t="s">
        <v>941</v>
      </c>
      <c r="E33">
        <v>1.8</v>
      </c>
      <c r="I33">
        <v>272</v>
      </c>
      <c r="Q33">
        <v>48165</v>
      </c>
    </row>
    <row r="34" spans="3:19" x14ac:dyDescent="0.3">
      <c r="C34">
        <v>2</v>
      </c>
      <c r="D34">
        <v>30</v>
      </c>
      <c r="E34">
        <v>1.8</v>
      </c>
      <c r="I34">
        <v>272</v>
      </c>
      <c r="Q34">
        <v>48165</v>
      </c>
    </row>
    <row r="35" spans="3:19" x14ac:dyDescent="0.3">
      <c r="C35">
        <v>2</v>
      </c>
      <c r="D35" t="s">
        <v>942</v>
      </c>
      <c r="E35">
        <v>2</v>
      </c>
      <c r="I35">
        <v>316</v>
      </c>
      <c r="Q35">
        <v>35043</v>
      </c>
    </row>
    <row r="36" spans="3:19" x14ac:dyDescent="0.3">
      <c r="C36">
        <v>2</v>
      </c>
      <c r="D36">
        <v>310</v>
      </c>
      <c r="E36">
        <v>2</v>
      </c>
      <c r="I36">
        <v>316</v>
      </c>
      <c r="Q36">
        <v>35043</v>
      </c>
    </row>
    <row r="37" spans="3:19" x14ac:dyDescent="0.3">
      <c r="C37" t="s">
        <v>944</v>
      </c>
      <c r="E37">
        <v>26.650000000000002</v>
      </c>
      <c r="I37">
        <v>3748</v>
      </c>
      <c r="K37">
        <v>12</v>
      </c>
      <c r="L37">
        <v>57</v>
      </c>
      <c r="Q37">
        <v>1076230</v>
      </c>
      <c r="R37">
        <v>110</v>
      </c>
      <c r="S37">
        <v>6419.770531664708</v>
      </c>
    </row>
    <row r="38" spans="3:19" x14ac:dyDescent="0.3">
      <c r="C38">
        <v>3</v>
      </c>
      <c r="D38" t="s">
        <v>213</v>
      </c>
      <c r="E38">
        <v>5.25</v>
      </c>
      <c r="I38">
        <v>847.2</v>
      </c>
      <c r="K38">
        <v>10</v>
      </c>
      <c r="L38">
        <v>25</v>
      </c>
      <c r="Q38">
        <v>330124</v>
      </c>
      <c r="R38">
        <v>5050</v>
      </c>
      <c r="S38">
        <v>1171.206266234112</v>
      </c>
    </row>
    <row r="39" spans="3:19" x14ac:dyDescent="0.3">
      <c r="C39">
        <v>3</v>
      </c>
      <c r="D39">
        <v>99</v>
      </c>
      <c r="E39">
        <v>2.4</v>
      </c>
      <c r="I39">
        <v>379.2</v>
      </c>
      <c r="Q39">
        <v>97881</v>
      </c>
      <c r="R39">
        <v>5050</v>
      </c>
      <c r="S39">
        <v>1171.206266234112</v>
      </c>
    </row>
    <row r="40" spans="3:19" x14ac:dyDescent="0.3">
      <c r="C40">
        <v>3</v>
      </c>
      <c r="D40">
        <v>101</v>
      </c>
      <c r="E40">
        <v>2.85</v>
      </c>
      <c r="I40">
        <v>468</v>
      </c>
      <c r="K40">
        <v>10</v>
      </c>
      <c r="L40">
        <v>25</v>
      </c>
      <c r="Q40">
        <v>232243</v>
      </c>
    </row>
    <row r="41" spans="3:19" x14ac:dyDescent="0.3">
      <c r="C41">
        <v>3</v>
      </c>
      <c r="D41" t="s">
        <v>939</v>
      </c>
      <c r="E41">
        <v>10.8</v>
      </c>
      <c r="I41">
        <v>1716</v>
      </c>
      <c r="L41">
        <v>36</v>
      </c>
      <c r="O41">
        <v>10932</v>
      </c>
      <c r="P41">
        <v>10932</v>
      </c>
      <c r="Q41">
        <v>452342</v>
      </c>
      <c r="R41">
        <v>4650</v>
      </c>
      <c r="S41">
        <v>4415.2309320972627</v>
      </c>
    </row>
    <row r="42" spans="3:19" x14ac:dyDescent="0.3">
      <c r="C42">
        <v>3</v>
      </c>
      <c r="D42">
        <v>526</v>
      </c>
      <c r="E42">
        <v>10.8</v>
      </c>
      <c r="I42">
        <v>1716</v>
      </c>
      <c r="O42">
        <v>10932</v>
      </c>
      <c r="P42">
        <v>10932</v>
      </c>
      <c r="Q42">
        <v>446942</v>
      </c>
      <c r="R42">
        <v>4650</v>
      </c>
      <c r="S42">
        <v>4415.2309320972627</v>
      </c>
    </row>
    <row r="43" spans="3:19" x14ac:dyDescent="0.3">
      <c r="C43">
        <v>3</v>
      </c>
      <c r="D43">
        <v>746</v>
      </c>
      <c r="L43">
        <v>36</v>
      </c>
      <c r="Q43">
        <v>5400</v>
      </c>
    </row>
    <row r="44" spans="3:19" x14ac:dyDescent="0.3">
      <c r="C44">
        <v>3</v>
      </c>
      <c r="D44" t="s">
        <v>940</v>
      </c>
      <c r="E44">
        <v>7.8</v>
      </c>
      <c r="I44">
        <v>1171.2</v>
      </c>
      <c r="O44">
        <v>2000</v>
      </c>
      <c r="P44">
        <v>2000</v>
      </c>
      <c r="Q44">
        <v>270096</v>
      </c>
      <c r="R44">
        <v>300</v>
      </c>
      <c r="S44">
        <v>833.33333333333337</v>
      </c>
    </row>
    <row r="45" spans="3:19" x14ac:dyDescent="0.3">
      <c r="C45">
        <v>3</v>
      </c>
      <c r="D45">
        <v>303</v>
      </c>
      <c r="R45">
        <v>300</v>
      </c>
      <c r="S45">
        <v>833.33333333333337</v>
      </c>
    </row>
    <row r="46" spans="3:19" x14ac:dyDescent="0.3">
      <c r="C46">
        <v>3</v>
      </c>
      <c r="D46">
        <v>304</v>
      </c>
      <c r="E46">
        <v>0.8</v>
      </c>
      <c r="I46">
        <v>112</v>
      </c>
      <c r="Q46">
        <v>32783</v>
      </c>
    </row>
    <row r="47" spans="3:19" x14ac:dyDescent="0.3">
      <c r="C47">
        <v>3</v>
      </c>
      <c r="D47">
        <v>305</v>
      </c>
      <c r="E47">
        <v>1</v>
      </c>
      <c r="I47">
        <v>160</v>
      </c>
      <c r="Q47">
        <v>55582</v>
      </c>
    </row>
    <row r="48" spans="3:19" x14ac:dyDescent="0.3">
      <c r="C48">
        <v>3</v>
      </c>
      <c r="D48">
        <v>409</v>
      </c>
      <c r="E48">
        <v>5</v>
      </c>
      <c r="I48">
        <v>731.2</v>
      </c>
      <c r="O48">
        <v>2000</v>
      </c>
      <c r="P48">
        <v>2000</v>
      </c>
      <c r="Q48">
        <v>163515</v>
      </c>
    </row>
    <row r="49" spans="3:19" x14ac:dyDescent="0.3">
      <c r="C49">
        <v>3</v>
      </c>
      <c r="D49">
        <v>642</v>
      </c>
      <c r="E49">
        <v>1</v>
      </c>
      <c r="I49">
        <v>168</v>
      </c>
      <c r="Q49">
        <v>18216</v>
      </c>
    </row>
    <row r="50" spans="3:19" x14ac:dyDescent="0.3">
      <c r="C50">
        <v>3</v>
      </c>
      <c r="D50" t="s">
        <v>941</v>
      </c>
      <c r="E50">
        <v>1.8</v>
      </c>
      <c r="I50">
        <v>273.60000000000002</v>
      </c>
      <c r="Q50">
        <v>49608</v>
      </c>
    </row>
    <row r="51" spans="3:19" x14ac:dyDescent="0.3">
      <c r="C51">
        <v>3</v>
      </c>
      <c r="D51">
        <v>30</v>
      </c>
      <c r="E51">
        <v>1.8</v>
      </c>
      <c r="I51">
        <v>273.60000000000002</v>
      </c>
      <c r="Q51">
        <v>49608</v>
      </c>
    </row>
    <row r="52" spans="3:19" x14ac:dyDescent="0.3">
      <c r="C52">
        <v>3</v>
      </c>
      <c r="D52" t="s">
        <v>942</v>
      </c>
      <c r="E52">
        <v>1</v>
      </c>
      <c r="I52">
        <v>160</v>
      </c>
      <c r="Q52">
        <v>35501</v>
      </c>
    </row>
    <row r="53" spans="3:19" x14ac:dyDescent="0.3">
      <c r="C53">
        <v>3</v>
      </c>
      <c r="D53">
        <v>310</v>
      </c>
      <c r="E53">
        <v>1</v>
      </c>
      <c r="I53">
        <v>160</v>
      </c>
      <c r="Q53">
        <v>35501</v>
      </c>
    </row>
    <row r="54" spans="3:19" x14ac:dyDescent="0.3">
      <c r="C54" t="s">
        <v>945</v>
      </c>
      <c r="E54">
        <v>26.650000000000002</v>
      </c>
      <c r="I54">
        <v>4168</v>
      </c>
      <c r="K54">
        <v>10</v>
      </c>
      <c r="L54">
        <v>61</v>
      </c>
      <c r="O54">
        <v>12932</v>
      </c>
      <c r="P54">
        <v>12932</v>
      </c>
      <c r="Q54">
        <v>1137671</v>
      </c>
      <c r="R54">
        <v>10000</v>
      </c>
      <c r="S54">
        <v>6419.770531664708</v>
      </c>
    </row>
    <row r="55" spans="3:19" x14ac:dyDescent="0.3">
      <c r="C55">
        <v>4</v>
      </c>
      <c r="D55" t="s">
        <v>213</v>
      </c>
      <c r="E55">
        <v>5.25</v>
      </c>
      <c r="I55">
        <v>846.4</v>
      </c>
      <c r="L55">
        <v>25</v>
      </c>
      <c r="Q55">
        <v>335233</v>
      </c>
      <c r="S55">
        <v>1171.206266234112</v>
      </c>
    </row>
    <row r="56" spans="3:19" x14ac:dyDescent="0.3">
      <c r="C56">
        <v>4</v>
      </c>
      <c r="D56">
        <v>99</v>
      </c>
      <c r="E56">
        <v>2.4</v>
      </c>
      <c r="I56">
        <v>382.4</v>
      </c>
      <c r="Q56">
        <v>105793</v>
      </c>
      <c r="S56">
        <v>1171.206266234112</v>
      </c>
    </row>
    <row r="57" spans="3:19" x14ac:dyDescent="0.3">
      <c r="C57">
        <v>4</v>
      </c>
      <c r="D57">
        <v>101</v>
      </c>
      <c r="E57">
        <v>2.85</v>
      </c>
      <c r="I57">
        <v>464</v>
      </c>
      <c r="L57">
        <v>25</v>
      </c>
      <c r="Q57">
        <v>229440</v>
      </c>
    </row>
    <row r="58" spans="3:19" x14ac:dyDescent="0.3">
      <c r="C58">
        <v>4</v>
      </c>
      <c r="D58" t="s">
        <v>939</v>
      </c>
      <c r="E58">
        <v>10.8</v>
      </c>
      <c r="I58">
        <v>1628</v>
      </c>
      <c r="L58">
        <v>48</v>
      </c>
      <c r="Q58">
        <v>455628</v>
      </c>
      <c r="S58">
        <v>4415.2309320972627</v>
      </c>
    </row>
    <row r="59" spans="3:19" x14ac:dyDescent="0.3">
      <c r="C59">
        <v>4</v>
      </c>
      <c r="D59">
        <v>526</v>
      </c>
      <c r="E59">
        <v>10.8</v>
      </c>
      <c r="I59">
        <v>1628</v>
      </c>
      <c r="Q59">
        <v>448428</v>
      </c>
      <c r="S59">
        <v>4415.2309320972627</v>
      </c>
    </row>
    <row r="60" spans="3:19" x14ac:dyDescent="0.3">
      <c r="C60">
        <v>4</v>
      </c>
      <c r="D60">
        <v>746</v>
      </c>
      <c r="L60">
        <v>48</v>
      </c>
      <c r="Q60">
        <v>7200</v>
      </c>
    </row>
    <row r="61" spans="3:19" x14ac:dyDescent="0.3">
      <c r="C61">
        <v>4</v>
      </c>
      <c r="D61" t="s">
        <v>940</v>
      </c>
      <c r="E61">
        <v>7.8</v>
      </c>
      <c r="I61">
        <v>1208</v>
      </c>
      <c r="K61">
        <v>24</v>
      </c>
      <c r="Q61">
        <v>272310</v>
      </c>
      <c r="S61">
        <v>833.33333333333337</v>
      </c>
    </row>
    <row r="62" spans="3:19" x14ac:dyDescent="0.3">
      <c r="C62">
        <v>4</v>
      </c>
      <c r="D62">
        <v>303</v>
      </c>
      <c r="S62">
        <v>833.33333333333337</v>
      </c>
    </row>
    <row r="63" spans="3:19" x14ac:dyDescent="0.3">
      <c r="C63">
        <v>4</v>
      </c>
      <c r="D63">
        <v>304</v>
      </c>
      <c r="E63">
        <v>0.8</v>
      </c>
      <c r="I63">
        <v>116</v>
      </c>
      <c r="K63">
        <v>24</v>
      </c>
      <c r="Q63">
        <v>38223</v>
      </c>
    </row>
    <row r="64" spans="3:19" x14ac:dyDescent="0.3">
      <c r="C64">
        <v>4</v>
      </c>
      <c r="D64">
        <v>305</v>
      </c>
      <c r="E64">
        <v>1</v>
      </c>
      <c r="I64">
        <v>152</v>
      </c>
      <c r="Q64">
        <v>55240</v>
      </c>
    </row>
    <row r="65" spans="3:19" x14ac:dyDescent="0.3">
      <c r="C65">
        <v>4</v>
      </c>
      <c r="D65">
        <v>409</v>
      </c>
      <c r="E65">
        <v>5</v>
      </c>
      <c r="I65">
        <v>804</v>
      </c>
      <c r="Q65">
        <v>159817</v>
      </c>
    </row>
    <row r="66" spans="3:19" x14ac:dyDescent="0.3">
      <c r="C66">
        <v>4</v>
      </c>
      <c r="D66">
        <v>642</v>
      </c>
      <c r="E66">
        <v>1</v>
      </c>
      <c r="I66">
        <v>136</v>
      </c>
      <c r="Q66">
        <v>19030</v>
      </c>
    </row>
    <row r="67" spans="3:19" x14ac:dyDescent="0.3">
      <c r="C67">
        <v>4</v>
      </c>
      <c r="D67" t="s">
        <v>941</v>
      </c>
      <c r="E67">
        <v>1.8</v>
      </c>
      <c r="I67">
        <v>296</v>
      </c>
      <c r="Q67">
        <v>49412</v>
      </c>
    </row>
    <row r="68" spans="3:19" x14ac:dyDescent="0.3">
      <c r="C68">
        <v>4</v>
      </c>
      <c r="D68">
        <v>30</v>
      </c>
      <c r="E68">
        <v>1.8</v>
      </c>
      <c r="I68">
        <v>296</v>
      </c>
      <c r="Q68">
        <v>49412</v>
      </c>
    </row>
    <row r="69" spans="3:19" x14ac:dyDescent="0.3">
      <c r="C69">
        <v>4</v>
      </c>
      <c r="D69" t="s">
        <v>942</v>
      </c>
      <c r="E69">
        <v>1</v>
      </c>
      <c r="I69">
        <v>160</v>
      </c>
      <c r="Q69">
        <v>35477</v>
      </c>
    </row>
    <row r="70" spans="3:19" x14ac:dyDescent="0.3">
      <c r="C70">
        <v>4</v>
      </c>
      <c r="D70">
        <v>310</v>
      </c>
      <c r="E70">
        <v>1</v>
      </c>
      <c r="I70">
        <v>160</v>
      </c>
      <c r="Q70">
        <v>35477</v>
      </c>
    </row>
    <row r="71" spans="3:19" x14ac:dyDescent="0.3">
      <c r="C71" t="s">
        <v>946</v>
      </c>
      <c r="E71">
        <v>26.650000000000002</v>
      </c>
      <c r="I71">
        <v>4138.3999999999996</v>
      </c>
      <c r="K71">
        <v>24</v>
      </c>
      <c r="L71">
        <v>73</v>
      </c>
      <c r="Q71">
        <v>1148060</v>
      </c>
      <c r="S71">
        <v>6419.770531664708</v>
      </c>
    </row>
    <row r="72" spans="3:19" x14ac:dyDescent="0.3">
      <c r="C72">
        <v>5</v>
      </c>
      <c r="D72" t="s">
        <v>213</v>
      </c>
      <c r="E72">
        <v>5.1400000000000006</v>
      </c>
      <c r="I72">
        <v>916.8</v>
      </c>
      <c r="J72">
        <v>4</v>
      </c>
      <c r="K72">
        <v>6</v>
      </c>
      <c r="L72">
        <v>25</v>
      </c>
      <c r="Q72">
        <v>341835</v>
      </c>
      <c r="R72">
        <v>2500</v>
      </c>
      <c r="S72">
        <v>1171.206266234112</v>
      </c>
    </row>
    <row r="73" spans="3:19" x14ac:dyDescent="0.3">
      <c r="C73">
        <v>5</v>
      </c>
      <c r="D73">
        <v>99</v>
      </c>
      <c r="E73">
        <v>2.2400000000000002</v>
      </c>
      <c r="I73">
        <v>412.8</v>
      </c>
      <c r="J73">
        <v>4</v>
      </c>
      <c r="Q73">
        <v>106550</v>
      </c>
      <c r="R73">
        <v>2500</v>
      </c>
      <c r="S73">
        <v>1171.206266234112</v>
      </c>
    </row>
    <row r="74" spans="3:19" x14ac:dyDescent="0.3">
      <c r="C74">
        <v>5</v>
      </c>
      <c r="D74">
        <v>101</v>
      </c>
      <c r="E74">
        <v>2.9</v>
      </c>
      <c r="I74">
        <v>504</v>
      </c>
      <c r="K74">
        <v>6</v>
      </c>
      <c r="L74">
        <v>25</v>
      </c>
      <c r="Q74">
        <v>235285</v>
      </c>
    </row>
    <row r="75" spans="3:19" x14ac:dyDescent="0.3">
      <c r="C75">
        <v>5</v>
      </c>
      <c r="D75" t="s">
        <v>939</v>
      </c>
      <c r="E75">
        <v>10.3</v>
      </c>
      <c r="I75">
        <v>1584</v>
      </c>
      <c r="L75">
        <v>52.5</v>
      </c>
      <c r="Q75">
        <v>473342</v>
      </c>
      <c r="S75">
        <v>4415.2309320972627</v>
      </c>
    </row>
    <row r="76" spans="3:19" x14ac:dyDescent="0.3">
      <c r="C76">
        <v>5</v>
      </c>
      <c r="D76">
        <v>526</v>
      </c>
      <c r="E76">
        <v>10.3</v>
      </c>
      <c r="I76">
        <v>1584</v>
      </c>
      <c r="Q76">
        <v>465467</v>
      </c>
      <c r="S76">
        <v>4415.2309320972627</v>
      </c>
    </row>
    <row r="77" spans="3:19" x14ac:dyDescent="0.3">
      <c r="C77">
        <v>5</v>
      </c>
      <c r="D77">
        <v>746</v>
      </c>
      <c r="L77">
        <v>52.5</v>
      </c>
      <c r="Q77">
        <v>7875</v>
      </c>
    </row>
    <row r="78" spans="3:19" x14ac:dyDescent="0.3">
      <c r="C78">
        <v>5</v>
      </c>
      <c r="D78" t="s">
        <v>940</v>
      </c>
      <c r="E78">
        <v>7.8</v>
      </c>
      <c r="I78">
        <v>1328</v>
      </c>
      <c r="K78">
        <v>9</v>
      </c>
      <c r="Q78">
        <v>266259</v>
      </c>
      <c r="S78">
        <v>833.33333333333337</v>
      </c>
    </row>
    <row r="79" spans="3:19" x14ac:dyDescent="0.3">
      <c r="C79">
        <v>5</v>
      </c>
      <c r="D79">
        <v>303</v>
      </c>
      <c r="S79">
        <v>833.33333333333337</v>
      </c>
    </row>
    <row r="80" spans="3:19" x14ac:dyDescent="0.3">
      <c r="C80">
        <v>5</v>
      </c>
      <c r="D80">
        <v>304</v>
      </c>
      <c r="E80">
        <v>0.8</v>
      </c>
      <c r="I80">
        <v>140</v>
      </c>
      <c r="K80">
        <v>9</v>
      </c>
      <c r="Q80">
        <v>34524</v>
      </c>
    </row>
    <row r="81" spans="3:19" x14ac:dyDescent="0.3">
      <c r="C81">
        <v>5</v>
      </c>
      <c r="D81">
        <v>305</v>
      </c>
      <c r="E81">
        <v>1</v>
      </c>
      <c r="I81">
        <v>160</v>
      </c>
      <c r="Q81">
        <v>56063</v>
      </c>
    </row>
    <row r="82" spans="3:19" x14ac:dyDescent="0.3">
      <c r="C82">
        <v>5</v>
      </c>
      <c r="D82">
        <v>409</v>
      </c>
      <c r="E82">
        <v>5</v>
      </c>
      <c r="I82">
        <v>852</v>
      </c>
      <c r="Q82">
        <v>156578</v>
      </c>
    </row>
    <row r="83" spans="3:19" x14ac:dyDescent="0.3">
      <c r="C83">
        <v>5</v>
      </c>
      <c r="D83">
        <v>642</v>
      </c>
      <c r="E83">
        <v>1</v>
      </c>
      <c r="I83">
        <v>176</v>
      </c>
      <c r="Q83">
        <v>19094</v>
      </c>
    </row>
    <row r="84" spans="3:19" x14ac:dyDescent="0.3">
      <c r="C84">
        <v>5</v>
      </c>
      <c r="D84" t="s">
        <v>941</v>
      </c>
      <c r="E84">
        <v>1.8</v>
      </c>
      <c r="I84">
        <v>327.2</v>
      </c>
      <c r="Q84">
        <v>49471</v>
      </c>
    </row>
    <row r="85" spans="3:19" x14ac:dyDescent="0.3">
      <c r="C85">
        <v>5</v>
      </c>
      <c r="D85">
        <v>30</v>
      </c>
      <c r="E85">
        <v>1.8</v>
      </c>
      <c r="I85">
        <v>327.2</v>
      </c>
      <c r="Q85">
        <v>49471</v>
      </c>
    </row>
    <row r="86" spans="3:19" x14ac:dyDescent="0.3">
      <c r="C86">
        <v>5</v>
      </c>
      <c r="D86" t="s">
        <v>942</v>
      </c>
      <c r="E86">
        <v>1</v>
      </c>
      <c r="I86">
        <v>152</v>
      </c>
      <c r="Q86">
        <v>36145</v>
      </c>
    </row>
    <row r="87" spans="3:19" x14ac:dyDescent="0.3">
      <c r="C87">
        <v>5</v>
      </c>
      <c r="D87">
        <v>310</v>
      </c>
      <c r="E87">
        <v>1</v>
      </c>
      <c r="I87">
        <v>152</v>
      </c>
      <c r="Q87">
        <v>36145</v>
      </c>
    </row>
    <row r="88" spans="3:19" x14ac:dyDescent="0.3">
      <c r="C88" t="s">
        <v>947</v>
      </c>
      <c r="E88">
        <v>26.040000000000003</v>
      </c>
      <c r="I88">
        <v>4308</v>
      </c>
      <c r="J88">
        <v>4</v>
      </c>
      <c r="K88">
        <v>15</v>
      </c>
      <c r="L88">
        <v>77.5</v>
      </c>
      <c r="Q88">
        <v>1167052</v>
      </c>
      <c r="R88">
        <v>2500</v>
      </c>
      <c r="S88">
        <v>6419.770531664708</v>
      </c>
    </row>
    <row r="89" spans="3:19" x14ac:dyDescent="0.3">
      <c r="C89">
        <v>6</v>
      </c>
      <c r="D89" t="s">
        <v>213</v>
      </c>
      <c r="E89">
        <v>5.0888</v>
      </c>
      <c r="I89">
        <v>771.2</v>
      </c>
      <c r="K89">
        <v>8</v>
      </c>
      <c r="L89">
        <v>25</v>
      </c>
      <c r="Q89">
        <v>345067</v>
      </c>
      <c r="R89">
        <v>500</v>
      </c>
      <c r="S89">
        <v>1171.206266234112</v>
      </c>
    </row>
    <row r="90" spans="3:19" x14ac:dyDescent="0.3">
      <c r="C90">
        <v>6</v>
      </c>
      <c r="D90">
        <v>99</v>
      </c>
      <c r="E90">
        <v>1.3888</v>
      </c>
      <c r="I90">
        <v>179.2</v>
      </c>
      <c r="K90">
        <v>8</v>
      </c>
      <c r="Q90">
        <v>63190</v>
      </c>
      <c r="R90">
        <v>500</v>
      </c>
      <c r="S90">
        <v>1171.206266234112</v>
      </c>
    </row>
    <row r="91" spans="3:19" x14ac:dyDescent="0.3">
      <c r="C91">
        <v>6</v>
      </c>
      <c r="D91">
        <v>101</v>
      </c>
      <c r="E91">
        <v>3.7</v>
      </c>
      <c r="I91">
        <v>592</v>
      </c>
      <c r="L91">
        <v>25</v>
      </c>
      <c r="Q91">
        <v>281877</v>
      </c>
    </row>
    <row r="92" spans="3:19" x14ac:dyDescent="0.3">
      <c r="C92">
        <v>6</v>
      </c>
      <c r="D92" t="s">
        <v>939</v>
      </c>
      <c r="E92">
        <v>10.4</v>
      </c>
      <c r="I92">
        <v>1528</v>
      </c>
      <c r="L92">
        <v>65</v>
      </c>
      <c r="Q92">
        <v>458787</v>
      </c>
      <c r="R92">
        <v>3000</v>
      </c>
      <c r="S92">
        <v>4415.2309320972627</v>
      </c>
    </row>
    <row r="93" spans="3:19" x14ac:dyDescent="0.3">
      <c r="C93">
        <v>6</v>
      </c>
      <c r="D93">
        <v>526</v>
      </c>
      <c r="E93">
        <v>10.4</v>
      </c>
      <c r="I93">
        <v>1528</v>
      </c>
      <c r="Q93">
        <v>449037</v>
      </c>
      <c r="R93">
        <v>3000</v>
      </c>
      <c r="S93">
        <v>4415.2309320972627</v>
      </c>
    </row>
    <row r="94" spans="3:19" x14ac:dyDescent="0.3">
      <c r="C94">
        <v>6</v>
      </c>
      <c r="D94">
        <v>746</v>
      </c>
      <c r="L94">
        <v>65</v>
      </c>
      <c r="Q94">
        <v>9750</v>
      </c>
    </row>
    <row r="95" spans="3:19" x14ac:dyDescent="0.3">
      <c r="C95">
        <v>6</v>
      </c>
      <c r="D95" t="s">
        <v>940</v>
      </c>
      <c r="E95">
        <v>7.8</v>
      </c>
      <c r="I95">
        <v>1148</v>
      </c>
      <c r="K95">
        <v>12</v>
      </c>
      <c r="Q95">
        <v>270730</v>
      </c>
      <c r="R95">
        <v>1400</v>
      </c>
      <c r="S95">
        <v>833.33333333333337</v>
      </c>
    </row>
    <row r="96" spans="3:19" x14ac:dyDescent="0.3">
      <c r="C96">
        <v>6</v>
      </c>
      <c r="D96">
        <v>303</v>
      </c>
      <c r="R96">
        <v>1400</v>
      </c>
      <c r="S96">
        <v>833.33333333333337</v>
      </c>
    </row>
    <row r="97" spans="3:19" x14ac:dyDescent="0.3">
      <c r="C97">
        <v>6</v>
      </c>
      <c r="D97">
        <v>304</v>
      </c>
      <c r="E97">
        <v>0.8</v>
      </c>
      <c r="I97">
        <v>120</v>
      </c>
      <c r="K97">
        <v>12</v>
      </c>
      <c r="Q97">
        <v>35311</v>
      </c>
    </row>
    <row r="98" spans="3:19" x14ac:dyDescent="0.3">
      <c r="C98">
        <v>6</v>
      </c>
      <c r="D98">
        <v>305</v>
      </c>
      <c r="E98">
        <v>1</v>
      </c>
      <c r="I98">
        <v>168</v>
      </c>
      <c r="Q98">
        <v>54960</v>
      </c>
    </row>
    <row r="99" spans="3:19" x14ac:dyDescent="0.3">
      <c r="C99">
        <v>6</v>
      </c>
      <c r="D99">
        <v>409</v>
      </c>
      <c r="E99">
        <v>5</v>
      </c>
      <c r="I99">
        <v>732</v>
      </c>
      <c r="Q99">
        <v>161426</v>
      </c>
    </row>
    <row r="100" spans="3:19" x14ac:dyDescent="0.3">
      <c r="C100">
        <v>6</v>
      </c>
      <c r="D100">
        <v>642</v>
      </c>
      <c r="E100">
        <v>1</v>
      </c>
      <c r="I100">
        <v>128</v>
      </c>
      <c r="Q100">
        <v>19033</v>
      </c>
    </row>
    <row r="101" spans="3:19" x14ac:dyDescent="0.3">
      <c r="C101">
        <v>6</v>
      </c>
      <c r="D101" t="s">
        <v>941</v>
      </c>
      <c r="E101">
        <v>1.8</v>
      </c>
      <c r="I101">
        <v>279.2</v>
      </c>
      <c r="Q101">
        <v>49481</v>
      </c>
    </row>
    <row r="102" spans="3:19" x14ac:dyDescent="0.3">
      <c r="C102">
        <v>6</v>
      </c>
      <c r="D102">
        <v>30</v>
      </c>
      <c r="E102">
        <v>1.8</v>
      </c>
      <c r="I102">
        <v>279.2</v>
      </c>
      <c r="Q102">
        <v>49481</v>
      </c>
    </row>
    <row r="103" spans="3:19" x14ac:dyDescent="0.3">
      <c r="C103">
        <v>6</v>
      </c>
      <c r="D103" t="s">
        <v>942</v>
      </c>
      <c r="E103">
        <v>1</v>
      </c>
      <c r="I103">
        <v>160</v>
      </c>
      <c r="Q103">
        <v>35477</v>
      </c>
    </row>
    <row r="104" spans="3:19" x14ac:dyDescent="0.3">
      <c r="C104">
        <v>6</v>
      </c>
      <c r="D104">
        <v>310</v>
      </c>
      <c r="E104">
        <v>1</v>
      </c>
      <c r="I104">
        <v>160</v>
      </c>
      <c r="Q104">
        <v>35477</v>
      </c>
    </row>
    <row r="105" spans="3:19" x14ac:dyDescent="0.3">
      <c r="C105" t="s">
        <v>948</v>
      </c>
      <c r="E105">
        <v>26.088800000000003</v>
      </c>
      <c r="I105">
        <v>3886.3999999999996</v>
      </c>
      <c r="K105">
        <v>20</v>
      </c>
      <c r="L105">
        <v>90</v>
      </c>
      <c r="Q105">
        <v>1159542</v>
      </c>
      <c r="R105">
        <v>4900</v>
      </c>
      <c r="S105">
        <v>6419.770531664708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29" customWidth="1" collapsed="1"/>
    <col min="2" max="2" width="7.77734375" style="106" hidden="1" customWidth="1" outlineLevel="1"/>
    <col min="3" max="4" width="5.44140625" style="129" hidden="1" customWidth="1"/>
    <col min="5" max="5" width="7.77734375" style="106" customWidth="1"/>
    <col min="6" max="6" width="7.77734375" style="106" hidden="1" customWidth="1"/>
    <col min="7" max="7" width="5.44140625" style="129" hidden="1" customWidth="1"/>
    <col min="8" max="8" width="7.77734375" style="106" customWidth="1" collapsed="1"/>
    <col min="9" max="9" width="7.77734375" style="210" hidden="1" customWidth="1" outlineLevel="1"/>
    <col min="10" max="10" width="7.77734375" style="210" customWidth="1" collapsed="1"/>
    <col min="11" max="12" width="7.77734375" style="106" hidden="1" customWidth="1"/>
    <col min="13" max="13" width="5.44140625" style="129" hidden="1" customWidth="1"/>
    <col min="14" max="14" width="7.77734375" style="106" customWidth="1"/>
    <col min="15" max="15" width="7.77734375" style="106" hidden="1" customWidth="1"/>
    <col min="16" max="16" width="5.44140625" style="129" hidden="1" customWidth="1"/>
    <col min="17" max="17" width="7.77734375" style="106" customWidth="1" collapsed="1"/>
    <col min="18" max="18" width="7.77734375" style="210" hidden="1" customWidth="1" outlineLevel="1"/>
    <col min="19" max="19" width="7.77734375" style="210" customWidth="1" collapsed="1"/>
    <col min="20" max="21" width="7.77734375" style="106" hidden="1" customWidth="1"/>
    <col min="22" max="22" width="5" style="129" hidden="1" customWidth="1"/>
    <col min="23" max="23" width="7.77734375" style="106" customWidth="1"/>
    <col min="24" max="24" width="7.77734375" style="106" hidden="1" customWidth="1"/>
    <col min="25" max="25" width="5" style="129" hidden="1" customWidth="1"/>
    <col min="26" max="26" width="7.77734375" style="106" customWidth="1" collapsed="1"/>
    <col min="27" max="27" width="7.77734375" style="210" hidden="1" customWidth="1" outlineLevel="1"/>
    <col min="28" max="28" width="7.77734375" style="210" customWidth="1" collapsed="1"/>
    <col min="29" max="16384" width="8.88671875" style="129"/>
  </cols>
  <sheetData>
    <row r="1" spans="1:28" ht="18.600000000000001" customHeight="1" thickBot="1" x14ac:dyDescent="0.4">
      <c r="A1" s="438" t="s">
        <v>964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" customHeight="1" thickBot="1" x14ac:dyDescent="0.35">
      <c r="A2" s="232" t="s">
        <v>265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" customHeight="1" thickBot="1" x14ac:dyDescent="0.35">
      <c r="A3" s="220" t="s">
        <v>127</v>
      </c>
      <c r="B3" s="221">
        <f>SUBTOTAL(9,B6:B1048576)/4</f>
        <v>58472976.75</v>
      </c>
      <c r="C3" s="222">
        <f t="shared" ref="C3:Z3" si="0">SUBTOTAL(9,C6:C1048576)</f>
        <v>9</v>
      </c>
      <c r="D3" s="222"/>
      <c r="E3" s="222">
        <f>SUBTOTAL(9,E6:E1048576)/4</f>
        <v>38577270.700000003</v>
      </c>
      <c r="F3" s="222"/>
      <c r="G3" s="222">
        <f t="shared" si="0"/>
        <v>9</v>
      </c>
      <c r="H3" s="222">
        <f>SUBTOTAL(9,H6:H1048576)/4</f>
        <v>19614592.470000003</v>
      </c>
      <c r="I3" s="225">
        <f>IF(B3&lt;&gt;0,H3/B3,"")</f>
        <v>0.33544713404726745</v>
      </c>
      <c r="J3" s="223">
        <f>IF(E3&lt;&gt;0,H3/E3,"")</f>
        <v>0.50844946037097438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" customHeight="1" x14ac:dyDescent="0.3">
      <c r="A4" s="439" t="s">
        <v>205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" customHeight="1" thickBot="1" x14ac:dyDescent="0.35">
      <c r="A5" s="615"/>
      <c r="B5" s="616">
        <v>2015</v>
      </c>
      <c r="C5" s="617"/>
      <c r="D5" s="617"/>
      <c r="E5" s="617">
        <v>2017</v>
      </c>
      <c r="F5" s="617"/>
      <c r="G5" s="617"/>
      <c r="H5" s="617">
        <v>2018</v>
      </c>
      <c r="I5" s="618" t="s">
        <v>206</v>
      </c>
      <c r="J5" s="619" t="s">
        <v>2</v>
      </c>
      <c r="K5" s="616">
        <v>2015</v>
      </c>
      <c r="L5" s="617"/>
      <c r="M5" s="617"/>
      <c r="N5" s="617">
        <v>2017</v>
      </c>
      <c r="O5" s="617"/>
      <c r="P5" s="617"/>
      <c r="Q5" s="617">
        <v>2018</v>
      </c>
      <c r="R5" s="618" t="s">
        <v>206</v>
      </c>
      <c r="S5" s="619" t="s">
        <v>2</v>
      </c>
      <c r="T5" s="616">
        <v>2015</v>
      </c>
      <c r="U5" s="617"/>
      <c r="V5" s="617"/>
      <c r="W5" s="617">
        <v>2017</v>
      </c>
      <c r="X5" s="617"/>
      <c r="Y5" s="617"/>
      <c r="Z5" s="617">
        <v>2018</v>
      </c>
      <c r="AA5" s="618" t="s">
        <v>206</v>
      </c>
      <c r="AB5" s="619" t="s">
        <v>2</v>
      </c>
    </row>
    <row r="6" spans="1:28" ht="14.4" customHeight="1" x14ac:dyDescent="0.3">
      <c r="A6" s="620" t="s">
        <v>960</v>
      </c>
      <c r="B6" s="621">
        <v>58472976.75</v>
      </c>
      <c r="C6" s="622">
        <v>1</v>
      </c>
      <c r="D6" s="622">
        <v>1.5157364865109546</v>
      </c>
      <c r="E6" s="621">
        <v>38577270.700000003</v>
      </c>
      <c r="F6" s="622">
        <v>0.65974528481654571</v>
      </c>
      <c r="G6" s="622">
        <v>1</v>
      </c>
      <c r="H6" s="621">
        <v>19614592.470000003</v>
      </c>
      <c r="I6" s="622">
        <v>0.33544713404726745</v>
      </c>
      <c r="J6" s="622">
        <v>0.50844946037097438</v>
      </c>
      <c r="K6" s="621"/>
      <c r="L6" s="622"/>
      <c r="M6" s="622"/>
      <c r="N6" s="621"/>
      <c r="O6" s="622"/>
      <c r="P6" s="622"/>
      <c r="Q6" s="621"/>
      <c r="R6" s="622"/>
      <c r="S6" s="622"/>
      <c r="T6" s="621"/>
      <c r="U6" s="622"/>
      <c r="V6" s="622"/>
      <c r="W6" s="621"/>
      <c r="X6" s="622"/>
      <c r="Y6" s="622"/>
      <c r="Z6" s="621"/>
      <c r="AA6" s="622"/>
      <c r="AB6" s="623"/>
    </row>
    <row r="7" spans="1:28" ht="14.4" customHeight="1" x14ac:dyDescent="0.3">
      <c r="A7" s="630" t="s">
        <v>961</v>
      </c>
      <c r="B7" s="624">
        <v>185</v>
      </c>
      <c r="C7" s="625">
        <v>1</v>
      </c>
      <c r="D7" s="625">
        <v>5</v>
      </c>
      <c r="E7" s="624">
        <v>37</v>
      </c>
      <c r="F7" s="625">
        <v>0.2</v>
      </c>
      <c r="G7" s="625">
        <v>1</v>
      </c>
      <c r="H7" s="624"/>
      <c r="I7" s="625"/>
      <c r="J7" s="625"/>
      <c r="K7" s="624"/>
      <c r="L7" s="625"/>
      <c r="M7" s="625"/>
      <c r="N7" s="624"/>
      <c r="O7" s="625"/>
      <c r="P7" s="625"/>
      <c r="Q7" s="624"/>
      <c r="R7" s="625"/>
      <c r="S7" s="625"/>
      <c r="T7" s="624"/>
      <c r="U7" s="625"/>
      <c r="V7" s="625"/>
      <c r="W7" s="624"/>
      <c r="X7" s="625"/>
      <c r="Y7" s="625"/>
      <c r="Z7" s="624"/>
      <c r="AA7" s="625"/>
      <c r="AB7" s="626"/>
    </row>
    <row r="8" spans="1:28" ht="14.4" customHeight="1" x14ac:dyDescent="0.3">
      <c r="A8" s="630" t="s">
        <v>962</v>
      </c>
      <c r="B8" s="624">
        <v>3465403.7500000023</v>
      </c>
      <c r="C8" s="625">
        <v>1</v>
      </c>
      <c r="D8" s="625">
        <v>0.91734580068829685</v>
      </c>
      <c r="E8" s="624">
        <v>3777641.7000000039</v>
      </c>
      <c r="F8" s="625">
        <v>1.0901014636461916</v>
      </c>
      <c r="G8" s="625">
        <v>1</v>
      </c>
      <c r="H8" s="624">
        <v>3952317.6300000027</v>
      </c>
      <c r="I8" s="625">
        <v>1.1405071140700416</v>
      </c>
      <c r="J8" s="625">
        <v>1.0462394117472811</v>
      </c>
      <c r="K8" s="624"/>
      <c r="L8" s="625"/>
      <c r="M8" s="625"/>
      <c r="N8" s="624"/>
      <c r="O8" s="625"/>
      <c r="P8" s="625"/>
      <c r="Q8" s="624"/>
      <c r="R8" s="625"/>
      <c r="S8" s="625"/>
      <c r="T8" s="624"/>
      <c r="U8" s="625"/>
      <c r="V8" s="625"/>
      <c r="W8" s="624"/>
      <c r="X8" s="625"/>
      <c r="Y8" s="625"/>
      <c r="Z8" s="624"/>
      <c r="AA8" s="625"/>
      <c r="AB8" s="626"/>
    </row>
    <row r="9" spans="1:28" ht="14.4" customHeight="1" thickBot="1" x14ac:dyDescent="0.35">
      <c r="A9" s="631" t="s">
        <v>963</v>
      </c>
      <c r="B9" s="627">
        <v>55007388</v>
      </c>
      <c r="C9" s="628">
        <v>1</v>
      </c>
      <c r="D9" s="628">
        <v>1.580690601200152</v>
      </c>
      <c r="E9" s="627">
        <v>34799592</v>
      </c>
      <c r="F9" s="628">
        <v>0.63263487442814048</v>
      </c>
      <c r="G9" s="628">
        <v>1</v>
      </c>
      <c r="H9" s="627">
        <v>15662274.84</v>
      </c>
      <c r="I9" s="628">
        <v>0.28473038639827797</v>
      </c>
      <c r="J9" s="628">
        <v>0.45007064565584559</v>
      </c>
      <c r="K9" s="627"/>
      <c r="L9" s="628"/>
      <c r="M9" s="628"/>
      <c r="N9" s="627"/>
      <c r="O9" s="628"/>
      <c r="P9" s="628"/>
      <c r="Q9" s="627"/>
      <c r="R9" s="628"/>
      <c r="S9" s="628"/>
      <c r="T9" s="627"/>
      <c r="U9" s="628"/>
      <c r="V9" s="628"/>
      <c r="W9" s="627"/>
      <c r="X9" s="628"/>
      <c r="Y9" s="628"/>
      <c r="Z9" s="627"/>
      <c r="AA9" s="628"/>
      <c r="AB9" s="629"/>
    </row>
    <row r="10" spans="1:28" ht="14.4" customHeight="1" thickBot="1" x14ac:dyDescent="0.35"/>
    <row r="11" spans="1:28" ht="14.4" customHeight="1" x14ac:dyDescent="0.3">
      <c r="A11" s="620" t="s">
        <v>452</v>
      </c>
      <c r="B11" s="621">
        <v>3465662.7500000019</v>
      </c>
      <c r="C11" s="622">
        <v>1</v>
      </c>
      <c r="D11" s="622">
        <v>0.9174053764815937</v>
      </c>
      <c r="E11" s="621">
        <v>3777678.7000000048</v>
      </c>
      <c r="F11" s="622">
        <v>1.0900306730653475</v>
      </c>
      <c r="G11" s="622">
        <v>1</v>
      </c>
      <c r="H11" s="621">
        <v>3952317.6300000031</v>
      </c>
      <c r="I11" s="622">
        <v>1.1404218803459745</v>
      </c>
      <c r="J11" s="623">
        <v>1.0462291644866457</v>
      </c>
    </row>
    <row r="12" spans="1:28" ht="14.4" customHeight="1" x14ac:dyDescent="0.3">
      <c r="A12" s="630" t="s">
        <v>965</v>
      </c>
      <c r="B12" s="624">
        <v>3465292.7500000019</v>
      </c>
      <c r="C12" s="625">
        <v>1</v>
      </c>
      <c r="D12" s="625">
        <v>0.91760401553021431</v>
      </c>
      <c r="E12" s="624">
        <v>3776457.7000000048</v>
      </c>
      <c r="F12" s="625">
        <v>1.0897947078208625</v>
      </c>
      <c r="G12" s="625">
        <v>1</v>
      </c>
      <c r="H12" s="624">
        <v>3951688.6300000031</v>
      </c>
      <c r="I12" s="625">
        <v>1.1403621324634119</v>
      </c>
      <c r="J12" s="626">
        <v>1.046400871907025</v>
      </c>
    </row>
    <row r="13" spans="1:28" ht="14.4" customHeight="1" x14ac:dyDescent="0.3">
      <c r="A13" s="630" t="s">
        <v>966</v>
      </c>
      <c r="B13" s="624">
        <v>370</v>
      </c>
      <c r="C13" s="625">
        <v>1</v>
      </c>
      <c r="D13" s="625">
        <v>0.30303030303030304</v>
      </c>
      <c r="E13" s="624">
        <v>1221</v>
      </c>
      <c r="F13" s="625">
        <v>3.3</v>
      </c>
      <c r="G13" s="625">
        <v>1</v>
      </c>
      <c r="H13" s="624">
        <v>629</v>
      </c>
      <c r="I13" s="625">
        <v>1.7</v>
      </c>
      <c r="J13" s="626">
        <v>0.51515151515151514</v>
      </c>
    </row>
    <row r="14" spans="1:28" ht="14.4" customHeight="1" x14ac:dyDescent="0.3">
      <c r="A14" s="632" t="s">
        <v>457</v>
      </c>
      <c r="B14" s="633">
        <v>55007314</v>
      </c>
      <c r="C14" s="634">
        <v>1</v>
      </c>
      <c r="D14" s="634">
        <v>1.5806884747384395</v>
      </c>
      <c r="E14" s="633">
        <v>34799592</v>
      </c>
      <c r="F14" s="634">
        <v>0.63263572549643121</v>
      </c>
      <c r="G14" s="634">
        <v>1</v>
      </c>
      <c r="H14" s="633">
        <v>15662274.840000002</v>
      </c>
      <c r="I14" s="634">
        <v>0.28473076943913317</v>
      </c>
      <c r="J14" s="635">
        <v>0.45007064565584565</v>
      </c>
    </row>
    <row r="15" spans="1:28" ht="14.4" customHeight="1" thickBot="1" x14ac:dyDescent="0.35">
      <c r="A15" s="631" t="s">
        <v>965</v>
      </c>
      <c r="B15" s="627">
        <v>55007314</v>
      </c>
      <c r="C15" s="628">
        <v>1</v>
      </c>
      <c r="D15" s="628">
        <v>1.5806884747384395</v>
      </c>
      <c r="E15" s="627">
        <v>34799592</v>
      </c>
      <c r="F15" s="628">
        <v>0.63263572549643121</v>
      </c>
      <c r="G15" s="628">
        <v>1</v>
      </c>
      <c r="H15" s="627">
        <v>15662274.840000002</v>
      </c>
      <c r="I15" s="628">
        <v>0.28473076943913317</v>
      </c>
      <c r="J15" s="629">
        <v>0.45007064565584565</v>
      </c>
    </row>
    <row r="16" spans="1:28" ht="14.4" customHeight="1" x14ac:dyDescent="0.3">
      <c r="A16" s="544" t="s">
        <v>242</v>
      </c>
    </row>
    <row r="17" spans="1:1" ht="14.4" customHeight="1" x14ac:dyDescent="0.3">
      <c r="A17" s="545" t="s">
        <v>481</v>
      </c>
    </row>
    <row r="18" spans="1:1" ht="14.4" customHeight="1" x14ac:dyDescent="0.3">
      <c r="A18" s="544" t="s">
        <v>967</v>
      </c>
    </row>
    <row r="19" spans="1:1" ht="14.4" customHeight="1" x14ac:dyDescent="0.3">
      <c r="A19" s="544" t="s">
        <v>968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0" bestFit="1" customWidth="1"/>
    <col min="2" max="2" width="11.6640625" style="150" hidden="1" customWidth="1"/>
    <col min="3" max="4" width="11" style="152" customWidth="1"/>
    <col min="5" max="5" width="11" style="153" customWidth="1"/>
    <col min="6" max="16384" width="8.88671875" style="150"/>
  </cols>
  <sheetData>
    <row r="1" spans="1:5" ht="18.600000000000001" thickBot="1" x14ac:dyDescent="0.4">
      <c r="A1" s="329" t="s">
        <v>120</v>
      </c>
      <c r="B1" s="329"/>
      <c r="C1" s="330"/>
      <c r="D1" s="330"/>
      <c r="E1" s="330"/>
    </row>
    <row r="2" spans="1:5" ht="14.4" customHeight="1" thickBot="1" x14ac:dyDescent="0.35">
      <c r="A2" s="232" t="s">
        <v>265</v>
      </c>
      <c r="B2" s="151"/>
    </row>
    <row r="3" spans="1:5" ht="14.4" customHeight="1" thickBot="1" x14ac:dyDescent="0.35">
      <c r="A3" s="154"/>
      <c r="C3" s="155" t="s">
        <v>106</v>
      </c>
      <c r="D3" s="156" t="s">
        <v>72</v>
      </c>
      <c r="E3" s="157" t="s">
        <v>74</v>
      </c>
    </row>
    <row r="4" spans="1:5" ht="14.4" customHeight="1" thickBot="1" x14ac:dyDescent="0.3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13434.610380882263</v>
      </c>
      <c r="D4" s="160">
        <f ca="1">IF(ISERROR(VLOOKUP("Náklady celkem",INDIRECT("HI!$A:$G"),5,0)),0,VLOOKUP("Náklady celkem",INDIRECT("HI!$A:$G"),5,0))</f>
        <v>12728.681220000002</v>
      </c>
      <c r="E4" s="161">
        <f ca="1">IF(C4=0,0,D4/C4)</f>
        <v>0.94745443739203539</v>
      </c>
    </row>
    <row r="5" spans="1:5" ht="14.4" customHeight="1" x14ac:dyDescent="0.3">
      <c r="A5" s="162" t="s">
        <v>148</v>
      </c>
      <c r="B5" s="163"/>
      <c r="C5" s="164"/>
      <c r="D5" s="164"/>
      <c r="E5" s="165"/>
    </row>
    <row r="6" spans="1:5" ht="14.4" customHeight="1" x14ac:dyDescent="0.3">
      <c r="A6" s="166" t="s">
        <v>153</v>
      </c>
      <c r="B6" s="167"/>
      <c r="C6" s="168"/>
      <c r="D6" s="168"/>
      <c r="E6" s="165"/>
    </row>
    <row r="7" spans="1:5" ht="14.4" customHeight="1" x14ac:dyDescent="0.3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20.000001220703126</v>
      </c>
      <c r="D7" s="168">
        <f>IF(ISERROR(HI!E5),"",HI!E5)</f>
        <v>16.902720000000002</v>
      </c>
      <c r="E7" s="165">
        <f t="shared" ref="E7:E14" si="0">IF(C7=0,0,D7/C7)</f>
        <v>0.84513594841699535</v>
      </c>
    </row>
    <row r="8" spans="1:5" ht="14.4" customHeight="1" x14ac:dyDescent="0.3">
      <c r="A8" s="257" t="str">
        <f>HYPERLINK("#'LŽ Statim'!A1","Podíl statimových žádanek (max. 30%)")</f>
        <v>Podíl statimových žádanek (max. 30%)</v>
      </c>
      <c r="B8" s="255" t="s">
        <v>201</v>
      </c>
      <c r="C8" s="256">
        <v>0.3</v>
      </c>
      <c r="D8" s="256">
        <f>IF('LŽ Statim'!G3="",0,'LŽ Statim'!G3)</f>
        <v>0</v>
      </c>
      <c r="E8" s="165">
        <f>IF(C8=0,0,D8/C8)</f>
        <v>0</v>
      </c>
    </row>
    <row r="9" spans="1:5" ht="14.4" customHeight="1" x14ac:dyDescent="0.3">
      <c r="A9" s="170" t="s">
        <v>149</v>
      </c>
      <c r="B9" s="167"/>
      <c r="C9" s="168"/>
      <c r="D9" s="168"/>
      <c r="E9" s="165"/>
    </row>
    <row r="10" spans="1:5" ht="14.4" customHeight="1" x14ac:dyDescent="0.3">
      <c r="A10" s="257" t="str">
        <f>HYPERLINK("#'Léky Recepty'!A1","Záchyt v lékárně (Úhrada Kč, min. 60%)")</f>
        <v>Záchyt v lékárně (Úhrada Kč, min. 60%)</v>
      </c>
      <c r="B10" s="167" t="s">
        <v>115</v>
      </c>
      <c r="C10" s="169">
        <v>0.6</v>
      </c>
      <c r="D10" s="169">
        <f>IF(ISERROR(VLOOKUP("Celkem",'Léky Recepty'!B:H,5,0)),0,VLOOKUP("Celkem",'Léky Recepty'!B:H,5,0))</f>
        <v>0.89131086021278161</v>
      </c>
      <c r="E10" s="165">
        <f t="shared" si="0"/>
        <v>1.4855181003546361</v>
      </c>
    </row>
    <row r="11" spans="1:5" ht="14.4" customHeight="1" x14ac:dyDescent="0.3">
      <c r="A11" s="257" t="str">
        <f>HYPERLINK("#'LRp PL'!A1","Plnění pozitivního listu (min. 80%)")</f>
        <v>Plnění pozitivního listu (min. 80%)</v>
      </c>
      <c r="B11" s="167" t="s">
        <v>142</v>
      </c>
      <c r="C11" s="169">
        <v>0.8</v>
      </c>
      <c r="D11" s="169">
        <f>IF(ISERROR(VLOOKUP("Celkem",'LRp PL'!A:F,5,0)),0,VLOOKUP("Celkem",'LRp PL'!A:F,5,0))</f>
        <v>1</v>
      </c>
      <c r="E11" s="165">
        <f t="shared" si="0"/>
        <v>1.25</v>
      </c>
    </row>
    <row r="12" spans="1:5" ht="14.4" customHeight="1" x14ac:dyDescent="0.3">
      <c r="A12" s="170" t="s">
        <v>150</v>
      </c>
      <c r="B12" s="167"/>
      <c r="C12" s="168"/>
      <c r="D12" s="168"/>
      <c r="E12" s="165"/>
    </row>
    <row r="13" spans="1:5" ht="14.4" customHeight="1" x14ac:dyDescent="0.3">
      <c r="A13" s="171" t="s">
        <v>154</v>
      </c>
      <c r="B13" s="167"/>
      <c r="C13" s="164"/>
      <c r="D13" s="164"/>
      <c r="E13" s="165"/>
    </row>
    <row r="14" spans="1:5" ht="14.4" customHeight="1" x14ac:dyDescent="0.3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110</v>
      </c>
      <c r="C14" s="168">
        <f>IF(ISERROR(HI!F6),"",HI!F6)</f>
        <v>2393.4770127868651</v>
      </c>
      <c r="D14" s="168">
        <f>IF(ISERROR(HI!E6),"",HI!E6)</f>
        <v>1667.8940499999999</v>
      </c>
      <c r="E14" s="165">
        <f t="shared" si="0"/>
        <v>0.69684983022167124</v>
      </c>
    </row>
    <row r="15" spans="1:5" ht="14.4" customHeight="1" thickBot="1" x14ac:dyDescent="0.3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9440.9979975585939</v>
      </c>
      <c r="D15" s="164">
        <f ca="1">IF(ISERROR(VLOOKUP("Osobní náklady (Kč) *",INDIRECT("HI!$A:$G"),5,0)),0,VLOOKUP("Osobní náklady (Kč) *",INDIRECT("HI!$A:$G"),5,0))</f>
        <v>9347.2908700000007</v>
      </c>
      <c r="E15" s="165">
        <f ca="1">IF(C15=0,0,D15/C15)</f>
        <v>0.99007444683466461</v>
      </c>
    </row>
    <row r="16" spans="1:5" ht="14.4" customHeight="1" thickBot="1" x14ac:dyDescent="0.35">
      <c r="A16" s="177"/>
      <c r="B16" s="178"/>
      <c r="C16" s="179"/>
      <c r="D16" s="179"/>
      <c r="E16" s="180"/>
    </row>
    <row r="17" spans="1:5" ht="14.4" customHeight="1" thickBot="1" x14ac:dyDescent="0.3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38577.270700000001</v>
      </c>
      <c r="D17" s="183">
        <f ca="1">IF(ISERROR(VLOOKUP("Výnosy celkem",INDIRECT("HI!$A:$G"),5,0)),0,VLOOKUP("Výnosy celkem",INDIRECT("HI!$A:$G"),5,0))</f>
        <v>19614.592470000003</v>
      </c>
      <c r="E17" s="184">
        <f t="shared" ref="E17:E22" ca="1" si="1">IF(C17=0,0,D17/C17)</f>
        <v>0.50844946037097438</v>
      </c>
    </row>
    <row r="18" spans="1:5" ht="14.4" customHeight="1" x14ac:dyDescent="0.3">
      <c r="A18" s="185" t="str">
        <f>HYPERLINK("#HI!A1","Ambulance (body za výkony + Kč za ZUM a ZULP)")</f>
        <v>Ambulance (body za výkony + Kč za ZUM a ZULP)</v>
      </c>
      <c r="B18" s="163"/>
      <c r="C18" s="164">
        <f ca="1">IF(ISERROR(VLOOKUP("Ambulance *",INDIRECT("HI!$A:$G"),6,0)),0,VLOOKUP("Ambulance *",INDIRECT("HI!$A:$G"),6,0))</f>
        <v>38577.270700000001</v>
      </c>
      <c r="D18" s="164">
        <f ca="1">IF(ISERROR(VLOOKUP("Ambulance *",INDIRECT("HI!$A:$G"),5,0)),0,VLOOKUP("Ambulance *",INDIRECT("HI!$A:$G"),5,0))</f>
        <v>19614.592470000003</v>
      </c>
      <c r="E18" s="165">
        <f t="shared" ca="1" si="1"/>
        <v>0.50844946037097438</v>
      </c>
    </row>
    <row r="19" spans="1:5" ht="14.4" customHeight="1" x14ac:dyDescent="0.3">
      <c r="A19" s="264" t="str">
        <f>HYPERLINK("#'ZV Vykáz.-A'!A1","Zdravotní výkony vykázané u ambulantních pacientů (min. 100 % 2016)")</f>
        <v>Zdravotní výkony vykázané u ambulantních pacientů (min. 100 % 2016)</v>
      </c>
      <c r="B19" s="265" t="s">
        <v>122</v>
      </c>
      <c r="C19" s="169">
        <v>1</v>
      </c>
      <c r="D19" s="169">
        <f>IF(ISERROR(VLOOKUP("Celkem:",'ZV Vykáz.-A'!$A:$AB,10,0)),"",VLOOKUP("Celkem:",'ZV Vykáz.-A'!$A:$AB,10,0))</f>
        <v>0.50844946037097438</v>
      </c>
      <c r="E19" s="165">
        <f t="shared" si="1"/>
        <v>0.50844946037097438</v>
      </c>
    </row>
    <row r="20" spans="1:5" ht="14.4" customHeight="1" x14ac:dyDescent="0.3">
      <c r="A20" s="263" t="str">
        <f>HYPERLINK("#'ZV Vykáz.-A'!A1","Specializovaná ambulantní péče")</f>
        <v>Specializovaná ambulantní péče</v>
      </c>
      <c r="B20" s="265" t="s">
        <v>122</v>
      </c>
      <c r="C20" s="169">
        <v>1</v>
      </c>
      <c r="D20" s="256">
        <f>IF(ISERROR(VLOOKUP("Specializovaná ambulantní péče",'ZV Vykáz.-A'!$A:$AB,10,0)),"",VLOOKUP("Specializovaná ambulantní péče",'ZV Vykáz.-A'!$A:$AB,10,0))</f>
        <v>0.50844946037097438</v>
      </c>
      <c r="E20" s="165">
        <f t="shared" si="1"/>
        <v>0.50844946037097438</v>
      </c>
    </row>
    <row r="21" spans="1:5" ht="14.4" customHeight="1" x14ac:dyDescent="0.3">
      <c r="A21" s="263" t="str">
        <f>HYPERLINK("#'ZV Vykáz.-A'!A1","Ambulantní péče ve vyjmenovaných odbornostech (§9)")</f>
        <v>Ambulantní péče ve vyjmenovaných odbornostech (§9)</v>
      </c>
      <c r="B21" s="265" t="s">
        <v>122</v>
      </c>
      <c r="C21" s="169">
        <v>1</v>
      </c>
      <c r="D21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1" s="165">
        <f>IF(OR(C21=0,D21=""),0,IF(C21="","",D21/C21))</f>
        <v>0</v>
      </c>
    </row>
    <row r="22" spans="1:5" ht="14.4" customHeight="1" x14ac:dyDescent="0.3">
      <c r="A22" s="186" t="str">
        <f>HYPERLINK("#'ZV Vykáz.-H'!A1","Zdravotní výkony vykázané u hospitalizovaných pacientů (max. 85 %)")</f>
        <v>Zdravotní výkony vykázané u hospitalizovaných pacientů (max. 85 %)</v>
      </c>
      <c r="B22" s="265" t="s">
        <v>124</v>
      </c>
      <c r="C22" s="169">
        <v>0.85</v>
      </c>
      <c r="D22" s="169">
        <f>IF(ISERROR(VLOOKUP("Celkem:",'ZV Vykáz.-H'!$A:$S,7,0)),"",VLOOKUP("Celkem:",'ZV Vykáz.-H'!$A:$S,7,0))</f>
        <v>0.62973916909295091</v>
      </c>
      <c r="E22" s="165">
        <f t="shared" si="1"/>
        <v>0.74086961069758928</v>
      </c>
    </row>
    <row r="23" spans="1:5" ht="14.4" customHeight="1" x14ac:dyDescent="0.3">
      <c r="A23" s="187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" customHeight="1" thickBot="1" x14ac:dyDescent="0.35">
      <c r="A24" s="188" t="s">
        <v>151</v>
      </c>
      <c r="B24" s="174"/>
      <c r="C24" s="175"/>
      <c r="D24" s="175"/>
      <c r="E24" s="176"/>
    </row>
    <row r="25" spans="1:5" ht="14.4" customHeight="1" thickBot="1" x14ac:dyDescent="0.35">
      <c r="A25" s="189"/>
      <c r="B25" s="190"/>
      <c r="C25" s="191"/>
      <c r="D25" s="191"/>
      <c r="E25" s="192"/>
    </row>
    <row r="26" spans="1:5" ht="14.4" customHeight="1" thickBot="1" x14ac:dyDescent="0.35">
      <c r="A26" s="193" t="s">
        <v>152</v>
      </c>
      <c r="B26" s="194"/>
      <c r="C26" s="195"/>
      <c r="D26" s="195"/>
      <c r="E26" s="196"/>
    </row>
  </sheetData>
  <mergeCells count="1">
    <mergeCell ref="A1:E1"/>
  </mergeCells>
  <conditionalFormatting sqref="E5">
    <cfRule type="cellIs" dxfId="6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1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0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59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29" bestFit="1" customWidth="1"/>
    <col min="2" max="2" width="7.77734375" style="207" hidden="1" customWidth="1" outlineLevel="1"/>
    <col min="3" max="3" width="7.77734375" style="207" customWidth="1" collapsed="1"/>
    <col min="4" max="4" width="7.77734375" style="207" customWidth="1"/>
    <col min="5" max="5" width="7.77734375" style="106" hidden="1" customWidth="1" outlineLevel="1"/>
    <col min="6" max="6" width="7.77734375" style="106" customWidth="1" collapsed="1"/>
    <col min="7" max="7" width="7.77734375" style="106" customWidth="1"/>
    <col min="8" max="16384" width="8.88671875" style="129"/>
  </cols>
  <sheetData>
    <row r="1" spans="1:7" ht="18.600000000000001" customHeight="1" thickBot="1" x14ac:dyDescent="0.4">
      <c r="A1" s="438" t="s">
        <v>970</v>
      </c>
      <c r="B1" s="329"/>
      <c r="C1" s="329"/>
      <c r="D1" s="329"/>
      <c r="E1" s="329"/>
      <c r="F1" s="329"/>
      <c r="G1" s="329"/>
    </row>
    <row r="2" spans="1:7" ht="14.4" customHeight="1" thickBot="1" x14ac:dyDescent="0.35">
      <c r="A2" s="232" t="s">
        <v>265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73" t="s">
        <v>127</v>
      </c>
      <c r="B3" s="259">
        <f t="shared" ref="B3:G3" si="0">SUBTOTAL(9,B6:B1048576)</f>
        <v>32011</v>
      </c>
      <c r="C3" s="260">
        <f t="shared" si="0"/>
        <v>20133</v>
      </c>
      <c r="D3" s="272">
        <f t="shared" si="0"/>
        <v>10507</v>
      </c>
      <c r="E3" s="224">
        <f t="shared" si="0"/>
        <v>58472976.749999918</v>
      </c>
      <c r="F3" s="222">
        <f t="shared" si="0"/>
        <v>38577270.699999891</v>
      </c>
      <c r="G3" s="261">
        <f t="shared" si="0"/>
        <v>19614592.469999991</v>
      </c>
    </row>
    <row r="4" spans="1:7" ht="14.4" customHeight="1" x14ac:dyDescent="0.3">
      <c r="A4" s="439" t="s">
        <v>134</v>
      </c>
      <c r="B4" s="444" t="s">
        <v>203</v>
      </c>
      <c r="C4" s="442"/>
      <c r="D4" s="445"/>
      <c r="E4" s="444" t="s">
        <v>98</v>
      </c>
      <c r="F4" s="442"/>
      <c r="G4" s="445"/>
    </row>
    <row r="5" spans="1:7" ht="14.4" customHeight="1" thickBot="1" x14ac:dyDescent="0.35">
      <c r="A5" s="615"/>
      <c r="B5" s="616">
        <v>2015</v>
      </c>
      <c r="C5" s="617">
        <v>2017</v>
      </c>
      <c r="D5" s="636">
        <v>2018</v>
      </c>
      <c r="E5" s="616">
        <v>2015</v>
      </c>
      <c r="F5" s="617">
        <v>2017</v>
      </c>
      <c r="G5" s="636">
        <v>2018</v>
      </c>
    </row>
    <row r="6" spans="1:7" ht="14.4" customHeight="1" x14ac:dyDescent="0.3">
      <c r="A6" s="603" t="s">
        <v>965</v>
      </c>
      <c r="B6" s="116">
        <v>32004</v>
      </c>
      <c r="C6" s="116">
        <v>20106</v>
      </c>
      <c r="D6" s="116">
        <v>10498</v>
      </c>
      <c r="E6" s="637">
        <v>58472606.749999918</v>
      </c>
      <c r="F6" s="637">
        <v>38576049.699999891</v>
      </c>
      <c r="G6" s="638">
        <v>19613963.469999991</v>
      </c>
    </row>
    <row r="7" spans="1:7" ht="14.4" customHeight="1" thickBot="1" x14ac:dyDescent="0.35">
      <c r="A7" s="641" t="s">
        <v>969</v>
      </c>
      <c r="B7" s="594">
        <v>7</v>
      </c>
      <c r="C7" s="594">
        <v>27</v>
      </c>
      <c r="D7" s="594">
        <v>9</v>
      </c>
      <c r="E7" s="639">
        <v>370</v>
      </c>
      <c r="F7" s="639">
        <v>1221</v>
      </c>
      <c r="G7" s="640">
        <v>629</v>
      </c>
    </row>
    <row r="8" spans="1:7" ht="14.4" customHeight="1" x14ac:dyDescent="0.3">
      <c r="A8" s="544" t="s">
        <v>242</v>
      </c>
    </row>
    <row r="9" spans="1:7" ht="14.4" customHeight="1" x14ac:dyDescent="0.3">
      <c r="A9" s="545" t="s">
        <v>481</v>
      </c>
    </row>
    <row r="10" spans="1:7" ht="14.4" customHeight="1" x14ac:dyDescent="0.3">
      <c r="A10" s="544" t="s">
        <v>967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82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.109375" style="129" bestFit="1" customWidth="1"/>
    <col min="5" max="5" width="8" style="129" customWidth="1"/>
    <col min="6" max="6" width="50.88671875" style="129" bestFit="1" customWidth="1" collapsed="1"/>
    <col min="7" max="8" width="11.109375" style="207" hidden="1" customWidth="1" outlineLevel="1"/>
    <col min="9" max="10" width="9.33203125" style="129" hidden="1" customWidth="1"/>
    <col min="11" max="12" width="11.109375" style="207" customWidth="1"/>
    <col min="13" max="14" width="9.33203125" style="129" hidden="1" customWidth="1"/>
    <col min="15" max="16" width="11.109375" style="207" customWidth="1"/>
    <col min="17" max="17" width="11.109375" style="210" customWidth="1"/>
    <col min="18" max="18" width="11.109375" style="207" customWidth="1"/>
    <col min="19" max="16384" width="8.88671875" style="129"/>
  </cols>
  <sheetData>
    <row r="1" spans="1:18" ht="18.600000000000001" customHeight="1" thickBot="1" x14ac:dyDescent="0.4">
      <c r="A1" s="329" t="s">
        <v>1093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" customHeight="1" thickBot="1" x14ac:dyDescent="0.35">
      <c r="A2" s="232" t="s">
        <v>265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" customHeight="1" thickBot="1" x14ac:dyDescent="0.35">
      <c r="F3" s="87" t="s">
        <v>127</v>
      </c>
      <c r="G3" s="102">
        <f t="shared" ref="G3:P3" si="0">SUBTOTAL(9,G6:G1048576)</f>
        <v>32011</v>
      </c>
      <c r="H3" s="103">
        <f t="shared" si="0"/>
        <v>58472976.75</v>
      </c>
      <c r="I3" s="74"/>
      <c r="J3" s="74"/>
      <c r="K3" s="103">
        <f t="shared" si="0"/>
        <v>20133</v>
      </c>
      <c r="L3" s="103">
        <f t="shared" si="0"/>
        <v>38577270.700000003</v>
      </c>
      <c r="M3" s="74"/>
      <c r="N3" s="74"/>
      <c r="O3" s="103">
        <f t="shared" si="0"/>
        <v>10507</v>
      </c>
      <c r="P3" s="103">
        <f t="shared" si="0"/>
        <v>19614592.469999999</v>
      </c>
      <c r="Q3" s="75">
        <f>IF(L3=0,0,P3/L3)</f>
        <v>0.50844946037097427</v>
      </c>
      <c r="R3" s="104">
        <f>IF(O3=0,0,P3/O3)</f>
        <v>1866.8118844579803</v>
      </c>
    </row>
    <row r="4" spans="1:18" ht="14.4" customHeight="1" x14ac:dyDescent="0.3">
      <c r="A4" s="446" t="s">
        <v>207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2015</v>
      </c>
      <c r="H4" s="451"/>
      <c r="I4" s="101"/>
      <c r="J4" s="101"/>
      <c r="K4" s="450">
        <v>2017</v>
      </c>
      <c r="L4" s="451"/>
      <c r="M4" s="101"/>
      <c r="N4" s="101"/>
      <c r="O4" s="450">
        <v>2018</v>
      </c>
      <c r="P4" s="451"/>
      <c r="Q4" s="452" t="s">
        <v>2</v>
      </c>
      <c r="R4" s="447" t="s">
        <v>97</v>
      </c>
    </row>
    <row r="5" spans="1:18" ht="14.4" customHeight="1" thickBot="1" x14ac:dyDescent="0.35">
      <c r="A5" s="642"/>
      <c r="B5" s="642"/>
      <c r="C5" s="643"/>
      <c r="D5" s="644"/>
      <c r="E5" s="645"/>
      <c r="F5" s="646"/>
      <c r="G5" s="647" t="s">
        <v>71</v>
      </c>
      <c r="H5" s="648" t="s">
        <v>14</v>
      </c>
      <c r="I5" s="649"/>
      <c r="J5" s="649"/>
      <c r="K5" s="647" t="s">
        <v>71</v>
      </c>
      <c r="L5" s="648" t="s">
        <v>14</v>
      </c>
      <c r="M5" s="649"/>
      <c r="N5" s="649"/>
      <c r="O5" s="647" t="s">
        <v>71</v>
      </c>
      <c r="P5" s="648" t="s">
        <v>14</v>
      </c>
      <c r="Q5" s="650"/>
      <c r="R5" s="651"/>
    </row>
    <row r="6" spans="1:18" ht="14.4" customHeight="1" x14ac:dyDescent="0.3">
      <c r="A6" s="564" t="s">
        <v>971</v>
      </c>
      <c r="B6" s="565" t="s">
        <v>972</v>
      </c>
      <c r="C6" s="565" t="s">
        <v>452</v>
      </c>
      <c r="D6" s="565" t="s">
        <v>973</v>
      </c>
      <c r="E6" s="565" t="s">
        <v>974</v>
      </c>
      <c r="F6" s="565" t="s">
        <v>975</v>
      </c>
      <c r="G6" s="116"/>
      <c r="H6" s="116"/>
      <c r="I6" s="565"/>
      <c r="J6" s="565"/>
      <c r="K6" s="116">
        <v>1</v>
      </c>
      <c r="L6" s="116">
        <v>37</v>
      </c>
      <c r="M6" s="565">
        <v>1</v>
      </c>
      <c r="N6" s="565">
        <v>37</v>
      </c>
      <c r="O6" s="116"/>
      <c r="P6" s="116"/>
      <c r="Q6" s="570"/>
      <c r="R6" s="591"/>
    </row>
    <row r="7" spans="1:18" ht="14.4" customHeight="1" x14ac:dyDescent="0.3">
      <c r="A7" s="571" t="s">
        <v>971</v>
      </c>
      <c r="B7" s="572" t="s">
        <v>972</v>
      </c>
      <c r="C7" s="572" t="s">
        <v>452</v>
      </c>
      <c r="D7" s="572" t="s">
        <v>973</v>
      </c>
      <c r="E7" s="572" t="s">
        <v>974</v>
      </c>
      <c r="F7" s="572" t="s">
        <v>976</v>
      </c>
      <c r="G7" s="592">
        <v>3</v>
      </c>
      <c r="H7" s="592">
        <v>111</v>
      </c>
      <c r="I7" s="572"/>
      <c r="J7" s="572">
        <v>37</v>
      </c>
      <c r="K7" s="592"/>
      <c r="L7" s="592"/>
      <c r="M7" s="572"/>
      <c r="N7" s="572"/>
      <c r="O7" s="592"/>
      <c r="P7" s="592"/>
      <c r="Q7" s="577"/>
      <c r="R7" s="593"/>
    </row>
    <row r="8" spans="1:18" ht="14.4" customHeight="1" x14ac:dyDescent="0.3">
      <c r="A8" s="571" t="s">
        <v>971</v>
      </c>
      <c r="B8" s="572" t="s">
        <v>972</v>
      </c>
      <c r="C8" s="572" t="s">
        <v>452</v>
      </c>
      <c r="D8" s="572" t="s">
        <v>973</v>
      </c>
      <c r="E8" s="572" t="s">
        <v>977</v>
      </c>
      <c r="F8" s="572" t="s">
        <v>978</v>
      </c>
      <c r="G8" s="592">
        <v>1</v>
      </c>
      <c r="H8" s="592">
        <v>74</v>
      </c>
      <c r="I8" s="572"/>
      <c r="J8" s="572">
        <v>74</v>
      </c>
      <c r="K8" s="592"/>
      <c r="L8" s="592"/>
      <c r="M8" s="572"/>
      <c r="N8" s="572"/>
      <c r="O8" s="592"/>
      <c r="P8" s="592"/>
      <c r="Q8" s="577"/>
      <c r="R8" s="593"/>
    </row>
    <row r="9" spans="1:18" ht="14.4" customHeight="1" x14ac:dyDescent="0.3">
      <c r="A9" s="571" t="s">
        <v>971</v>
      </c>
      <c r="B9" s="572" t="s">
        <v>979</v>
      </c>
      <c r="C9" s="572" t="s">
        <v>452</v>
      </c>
      <c r="D9" s="572" t="s">
        <v>973</v>
      </c>
      <c r="E9" s="572" t="s">
        <v>980</v>
      </c>
      <c r="F9" s="572" t="s">
        <v>981</v>
      </c>
      <c r="G9" s="592">
        <v>59</v>
      </c>
      <c r="H9" s="592">
        <v>3894</v>
      </c>
      <c r="I9" s="572">
        <v>1.2553191489361701</v>
      </c>
      <c r="J9" s="572">
        <v>66</v>
      </c>
      <c r="K9" s="592">
        <v>47</v>
      </c>
      <c r="L9" s="592">
        <v>3102</v>
      </c>
      <c r="M9" s="572">
        <v>1</v>
      </c>
      <c r="N9" s="572">
        <v>66</v>
      </c>
      <c r="O9" s="592">
        <v>42</v>
      </c>
      <c r="P9" s="592">
        <v>2772</v>
      </c>
      <c r="Q9" s="577">
        <v>0.8936170212765957</v>
      </c>
      <c r="R9" s="593">
        <v>66</v>
      </c>
    </row>
    <row r="10" spans="1:18" ht="14.4" customHeight="1" x14ac:dyDescent="0.3">
      <c r="A10" s="571" t="s">
        <v>971</v>
      </c>
      <c r="B10" s="572" t="s">
        <v>979</v>
      </c>
      <c r="C10" s="572" t="s">
        <v>452</v>
      </c>
      <c r="D10" s="572" t="s">
        <v>973</v>
      </c>
      <c r="E10" s="572" t="s">
        <v>980</v>
      </c>
      <c r="F10" s="572" t="s">
        <v>982</v>
      </c>
      <c r="G10" s="592">
        <v>17</v>
      </c>
      <c r="H10" s="592">
        <v>1122</v>
      </c>
      <c r="I10" s="572">
        <v>1.4166666666666667</v>
      </c>
      <c r="J10" s="572">
        <v>66</v>
      </c>
      <c r="K10" s="592">
        <v>12</v>
      </c>
      <c r="L10" s="592">
        <v>792</v>
      </c>
      <c r="M10" s="572">
        <v>1</v>
      </c>
      <c r="N10" s="572">
        <v>66</v>
      </c>
      <c r="O10" s="592">
        <v>13</v>
      </c>
      <c r="P10" s="592">
        <v>858</v>
      </c>
      <c r="Q10" s="577">
        <v>1.0833333333333333</v>
      </c>
      <c r="R10" s="593">
        <v>66</v>
      </c>
    </row>
    <row r="11" spans="1:18" ht="14.4" customHeight="1" x14ac:dyDescent="0.3">
      <c r="A11" s="571" t="s">
        <v>971</v>
      </c>
      <c r="B11" s="572" t="s">
        <v>979</v>
      </c>
      <c r="C11" s="572" t="s">
        <v>452</v>
      </c>
      <c r="D11" s="572" t="s">
        <v>973</v>
      </c>
      <c r="E11" s="572" t="s">
        <v>974</v>
      </c>
      <c r="F11" s="572" t="s">
        <v>975</v>
      </c>
      <c r="G11" s="592">
        <v>177</v>
      </c>
      <c r="H11" s="592">
        <v>6549</v>
      </c>
      <c r="I11" s="572">
        <v>1.0925925925925926</v>
      </c>
      <c r="J11" s="572">
        <v>37</v>
      </c>
      <c r="K11" s="592">
        <v>162</v>
      </c>
      <c r="L11" s="592">
        <v>5994</v>
      </c>
      <c r="M11" s="572">
        <v>1</v>
      </c>
      <c r="N11" s="572">
        <v>37</v>
      </c>
      <c r="O11" s="592">
        <v>146</v>
      </c>
      <c r="P11" s="592">
        <v>5402</v>
      </c>
      <c r="Q11" s="577">
        <v>0.90123456790123457</v>
      </c>
      <c r="R11" s="593">
        <v>37</v>
      </c>
    </row>
    <row r="12" spans="1:18" ht="14.4" customHeight="1" x14ac:dyDescent="0.3">
      <c r="A12" s="571" t="s">
        <v>971</v>
      </c>
      <c r="B12" s="572" t="s">
        <v>979</v>
      </c>
      <c r="C12" s="572" t="s">
        <v>452</v>
      </c>
      <c r="D12" s="572" t="s">
        <v>973</v>
      </c>
      <c r="E12" s="572" t="s">
        <v>974</v>
      </c>
      <c r="F12" s="572" t="s">
        <v>976</v>
      </c>
      <c r="G12" s="592">
        <v>1</v>
      </c>
      <c r="H12" s="592">
        <v>37</v>
      </c>
      <c r="I12" s="572">
        <v>0.2</v>
      </c>
      <c r="J12" s="572">
        <v>37</v>
      </c>
      <c r="K12" s="592">
        <v>5</v>
      </c>
      <c r="L12" s="592">
        <v>185</v>
      </c>
      <c r="M12" s="572">
        <v>1</v>
      </c>
      <c r="N12" s="572">
        <v>37</v>
      </c>
      <c r="O12" s="592">
        <v>1</v>
      </c>
      <c r="P12" s="592">
        <v>37</v>
      </c>
      <c r="Q12" s="577">
        <v>0.2</v>
      </c>
      <c r="R12" s="593">
        <v>37</v>
      </c>
    </row>
    <row r="13" spans="1:18" ht="14.4" customHeight="1" x14ac:dyDescent="0.3">
      <c r="A13" s="571" t="s">
        <v>971</v>
      </c>
      <c r="B13" s="572" t="s">
        <v>979</v>
      </c>
      <c r="C13" s="572" t="s">
        <v>452</v>
      </c>
      <c r="D13" s="572" t="s">
        <v>973</v>
      </c>
      <c r="E13" s="572" t="s">
        <v>983</v>
      </c>
      <c r="F13" s="572" t="s">
        <v>984</v>
      </c>
      <c r="G13" s="592">
        <v>501</v>
      </c>
      <c r="H13" s="592">
        <v>1241478</v>
      </c>
      <c r="I13" s="572">
        <v>0.86161095996890791</v>
      </c>
      <c r="J13" s="572">
        <v>2478</v>
      </c>
      <c r="K13" s="592">
        <v>581</v>
      </c>
      <c r="L13" s="592">
        <v>1440880</v>
      </c>
      <c r="M13" s="572">
        <v>1</v>
      </c>
      <c r="N13" s="572">
        <v>2480</v>
      </c>
      <c r="O13" s="592">
        <v>581</v>
      </c>
      <c r="P13" s="592">
        <v>1442623</v>
      </c>
      <c r="Q13" s="577">
        <v>1.0012096774193548</v>
      </c>
      <c r="R13" s="593">
        <v>2483</v>
      </c>
    </row>
    <row r="14" spans="1:18" ht="14.4" customHeight="1" x14ac:dyDescent="0.3">
      <c r="A14" s="571" t="s">
        <v>971</v>
      </c>
      <c r="B14" s="572" t="s">
        <v>979</v>
      </c>
      <c r="C14" s="572" t="s">
        <v>452</v>
      </c>
      <c r="D14" s="572" t="s">
        <v>973</v>
      </c>
      <c r="E14" s="572" t="s">
        <v>985</v>
      </c>
      <c r="F14" s="572" t="s">
        <v>986</v>
      </c>
      <c r="G14" s="592">
        <v>16</v>
      </c>
      <c r="H14" s="592">
        <v>5536</v>
      </c>
      <c r="I14" s="572">
        <v>1.994236311239193</v>
      </c>
      <c r="J14" s="572">
        <v>346</v>
      </c>
      <c r="K14" s="592">
        <v>8</v>
      </c>
      <c r="L14" s="592">
        <v>2776</v>
      </c>
      <c r="M14" s="572">
        <v>1</v>
      </c>
      <c r="N14" s="572">
        <v>347</v>
      </c>
      <c r="O14" s="592">
        <v>107</v>
      </c>
      <c r="P14" s="592">
        <v>37129</v>
      </c>
      <c r="Q14" s="577">
        <v>13.375</v>
      </c>
      <c r="R14" s="593">
        <v>347</v>
      </c>
    </row>
    <row r="15" spans="1:18" ht="14.4" customHeight="1" x14ac:dyDescent="0.3">
      <c r="A15" s="571" t="s">
        <v>971</v>
      </c>
      <c r="B15" s="572" t="s">
        <v>979</v>
      </c>
      <c r="C15" s="572" t="s">
        <v>452</v>
      </c>
      <c r="D15" s="572" t="s">
        <v>973</v>
      </c>
      <c r="E15" s="572" t="s">
        <v>987</v>
      </c>
      <c r="F15" s="572" t="s">
        <v>988</v>
      </c>
      <c r="G15" s="592">
        <v>26</v>
      </c>
      <c r="H15" s="592">
        <v>9100</v>
      </c>
      <c r="I15" s="572">
        <v>1.0802469135802468</v>
      </c>
      <c r="J15" s="572">
        <v>350</v>
      </c>
      <c r="K15" s="592">
        <v>24</v>
      </c>
      <c r="L15" s="592">
        <v>8424</v>
      </c>
      <c r="M15" s="572">
        <v>1</v>
      </c>
      <c r="N15" s="572">
        <v>351</v>
      </c>
      <c r="O15" s="592">
        <v>15</v>
      </c>
      <c r="P15" s="592">
        <v>5265</v>
      </c>
      <c r="Q15" s="577">
        <v>0.625</v>
      </c>
      <c r="R15" s="593">
        <v>351</v>
      </c>
    </row>
    <row r="16" spans="1:18" ht="14.4" customHeight="1" x14ac:dyDescent="0.3">
      <c r="A16" s="571" t="s">
        <v>971</v>
      </c>
      <c r="B16" s="572" t="s">
        <v>979</v>
      </c>
      <c r="C16" s="572" t="s">
        <v>452</v>
      </c>
      <c r="D16" s="572" t="s">
        <v>973</v>
      </c>
      <c r="E16" s="572" t="s">
        <v>987</v>
      </c>
      <c r="F16" s="572" t="s">
        <v>989</v>
      </c>
      <c r="G16" s="592">
        <v>995</v>
      </c>
      <c r="H16" s="592">
        <v>348250</v>
      </c>
      <c r="I16" s="572">
        <v>0.97654059268232496</v>
      </c>
      <c r="J16" s="572">
        <v>350</v>
      </c>
      <c r="K16" s="592">
        <v>1016</v>
      </c>
      <c r="L16" s="592">
        <v>356616</v>
      </c>
      <c r="M16" s="572">
        <v>1</v>
      </c>
      <c r="N16" s="572">
        <v>351</v>
      </c>
      <c r="O16" s="592">
        <v>1069</v>
      </c>
      <c r="P16" s="592">
        <v>375219</v>
      </c>
      <c r="Q16" s="577">
        <v>1.0521653543307086</v>
      </c>
      <c r="R16" s="593">
        <v>351</v>
      </c>
    </row>
    <row r="17" spans="1:18" ht="14.4" customHeight="1" x14ac:dyDescent="0.3">
      <c r="A17" s="571" t="s">
        <v>971</v>
      </c>
      <c r="B17" s="572" t="s">
        <v>979</v>
      </c>
      <c r="C17" s="572" t="s">
        <v>452</v>
      </c>
      <c r="D17" s="572" t="s">
        <v>973</v>
      </c>
      <c r="E17" s="572" t="s">
        <v>990</v>
      </c>
      <c r="F17" s="572" t="s">
        <v>991</v>
      </c>
      <c r="G17" s="592">
        <v>825</v>
      </c>
      <c r="H17" s="592">
        <v>27499.860000000044</v>
      </c>
      <c r="I17" s="572">
        <v>11.786327790159465</v>
      </c>
      <c r="J17" s="572">
        <v>33.333163636363693</v>
      </c>
      <c r="K17" s="592">
        <v>70</v>
      </c>
      <c r="L17" s="592">
        <v>2333.1999999999985</v>
      </c>
      <c r="M17" s="572">
        <v>1</v>
      </c>
      <c r="N17" s="572">
        <v>33.331428571428546</v>
      </c>
      <c r="O17" s="592">
        <v>34</v>
      </c>
      <c r="P17" s="592">
        <v>1133.25</v>
      </c>
      <c r="Q17" s="577">
        <v>0.48570632607577607</v>
      </c>
      <c r="R17" s="593">
        <v>33.330882352941174</v>
      </c>
    </row>
    <row r="18" spans="1:18" ht="14.4" customHeight="1" x14ac:dyDescent="0.3">
      <c r="A18" s="571" t="s">
        <v>971</v>
      </c>
      <c r="B18" s="572" t="s">
        <v>979</v>
      </c>
      <c r="C18" s="572" t="s">
        <v>452</v>
      </c>
      <c r="D18" s="572" t="s">
        <v>973</v>
      </c>
      <c r="E18" s="572" t="s">
        <v>990</v>
      </c>
      <c r="F18" s="572" t="s">
        <v>992</v>
      </c>
      <c r="G18" s="592">
        <v>1305</v>
      </c>
      <c r="H18" s="592">
        <v>43499.890000000021</v>
      </c>
      <c r="I18" s="572">
        <v>0.57871378872236934</v>
      </c>
      <c r="J18" s="572">
        <v>33.33324904214561</v>
      </c>
      <c r="K18" s="592">
        <v>2255</v>
      </c>
      <c r="L18" s="592">
        <v>75166.500000000087</v>
      </c>
      <c r="M18" s="572">
        <v>1</v>
      </c>
      <c r="N18" s="572">
        <v>33.333259423503364</v>
      </c>
      <c r="O18" s="592">
        <v>2297</v>
      </c>
      <c r="P18" s="592">
        <v>76566.380000000092</v>
      </c>
      <c r="Q18" s="577">
        <v>1.0186237220038181</v>
      </c>
      <c r="R18" s="593">
        <v>33.333208532869001</v>
      </c>
    </row>
    <row r="19" spans="1:18" ht="14.4" customHeight="1" x14ac:dyDescent="0.3">
      <c r="A19" s="571" t="s">
        <v>971</v>
      </c>
      <c r="B19" s="572" t="s">
        <v>979</v>
      </c>
      <c r="C19" s="572" t="s">
        <v>452</v>
      </c>
      <c r="D19" s="572" t="s">
        <v>973</v>
      </c>
      <c r="E19" s="572" t="s">
        <v>993</v>
      </c>
      <c r="F19" s="572" t="s">
        <v>994</v>
      </c>
      <c r="G19" s="592">
        <v>1138</v>
      </c>
      <c r="H19" s="592">
        <v>1728622</v>
      </c>
      <c r="I19" s="572">
        <v>0.94456089351285188</v>
      </c>
      <c r="J19" s="572">
        <v>1519</v>
      </c>
      <c r="K19" s="592">
        <v>1204</v>
      </c>
      <c r="L19" s="592">
        <v>1830080</v>
      </c>
      <c r="M19" s="572">
        <v>1</v>
      </c>
      <c r="N19" s="572">
        <v>1520</v>
      </c>
      <c r="O19" s="592">
        <v>1284</v>
      </c>
      <c r="P19" s="592">
        <v>1954248</v>
      </c>
      <c r="Q19" s="577">
        <v>1.0678484000699422</v>
      </c>
      <c r="R19" s="593">
        <v>1522</v>
      </c>
    </row>
    <row r="20" spans="1:18" ht="14.4" customHeight="1" x14ac:dyDescent="0.3">
      <c r="A20" s="571" t="s">
        <v>971</v>
      </c>
      <c r="B20" s="572" t="s">
        <v>979</v>
      </c>
      <c r="C20" s="572" t="s">
        <v>452</v>
      </c>
      <c r="D20" s="572" t="s">
        <v>973</v>
      </c>
      <c r="E20" s="572" t="s">
        <v>995</v>
      </c>
      <c r="F20" s="572" t="s">
        <v>996</v>
      </c>
      <c r="G20" s="592">
        <v>24</v>
      </c>
      <c r="H20" s="592">
        <v>2784</v>
      </c>
      <c r="I20" s="572">
        <v>1.411764705882353</v>
      </c>
      <c r="J20" s="572">
        <v>116</v>
      </c>
      <c r="K20" s="592">
        <v>17</v>
      </c>
      <c r="L20" s="592">
        <v>1972</v>
      </c>
      <c r="M20" s="572">
        <v>1</v>
      </c>
      <c r="N20" s="572">
        <v>116</v>
      </c>
      <c r="O20" s="592">
        <v>12</v>
      </c>
      <c r="P20" s="592">
        <v>1392</v>
      </c>
      <c r="Q20" s="577">
        <v>0.70588235294117652</v>
      </c>
      <c r="R20" s="593">
        <v>116</v>
      </c>
    </row>
    <row r="21" spans="1:18" ht="14.4" customHeight="1" x14ac:dyDescent="0.3">
      <c r="A21" s="571" t="s">
        <v>971</v>
      </c>
      <c r="B21" s="572" t="s">
        <v>979</v>
      </c>
      <c r="C21" s="572" t="s">
        <v>452</v>
      </c>
      <c r="D21" s="572" t="s">
        <v>973</v>
      </c>
      <c r="E21" s="572" t="s">
        <v>995</v>
      </c>
      <c r="F21" s="572" t="s">
        <v>997</v>
      </c>
      <c r="G21" s="592">
        <v>226</v>
      </c>
      <c r="H21" s="592">
        <v>26216</v>
      </c>
      <c r="I21" s="572">
        <v>1.0180180180180181</v>
      </c>
      <c r="J21" s="572">
        <v>116</v>
      </c>
      <c r="K21" s="592">
        <v>222</v>
      </c>
      <c r="L21" s="592">
        <v>25752</v>
      </c>
      <c r="M21" s="572">
        <v>1</v>
      </c>
      <c r="N21" s="572">
        <v>116</v>
      </c>
      <c r="O21" s="592">
        <v>211</v>
      </c>
      <c r="P21" s="592">
        <v>24476</v>
      </c>
      <c r="Q21" s="577">
        <v>0.9504504504504504</v>
      </c>
      <c r="R21" s="593">
        <v>116</v>
      </c>
    </row>
    <row r="22" spans="1:18" ht="14.4" customHeight="1" x14ac:dyDescent="0.3">
      <c r="A22" s="571" t="s">
        <v>971</v>
      </c>
      <c r="B22" s="572" t="s">
        <v>979</v>
      </c>
      <c r="C22" s="572" t="s">
        <v>452</v>
      </c>
      <c r="D22" s="572" t="s">
        <v>973</v>
      </c>
      <c r="E22" s="572" t="s">
        <v>998</v>
      </c>
      <c r="F22" s="572" t="s">
        <v>999</v>
      </c>
      <c r="G22" s="592">
        <v>545</v>
      </c>
      <c r="H22" s="592">
        <v>20165</v>
      </c>
      <c r="I22" s="572">
        <v>0.89490968801313631</v>
      </c>
      <c r="J22" s="572">
        <v>37</v>
      </c>
      <c r="K22" s="592">
        <v>609</v>
      </c>
      <c r="L22" s="592">
        <v>22533</v>
      </c>
      <c r="M22" s="572">
        <v>1</v>
      </c>
      <c r="N22" s="572">
        <v>37</v>
      </c>
      <c r="O22" s="592">
        <v>641</v>
      </c>
      <c r="P22" s="592">
        <v>23717</v>
      </c>
      <c r="Q22" s="577">
        <v>1.0525451559934318</v>
      </c>
      <c r="R22" s="593">
        <v>37</v>
      </c>
    </row>
    <row r="23" spans="1:18" ht="14.4" customHeight="1" x14ac:dyDescent="0.3">
      <c r="A23" s="571" t="s">
        <v>971</v>
      </c>
      <c r="B23" s="572" t="s">
        <v>979</v>
      </c>
      <c r="C23" s="572" t="s">
        <v>452</v>
      </c>
      <c r="D23" s="572" t="s">
        <v>973</v>
      </c>
      <c r="E23" s="572" t="s">
        <v>977</v>
      </c>
      <c r="F23" s="572" t="s">
        <v>978</v>
      </c>
      <c r="G23" s="592">
        <v>8</v>
      </c>
      <c r="H23" s="592">
        <v>592</v>
      </c>
      <c r="I23" s="572">
        <v>0.5714285714285714</v>
      </c>
      <c r="J23" s="572">
        <v>74</v>
      </c>
      <c r="K23" s="592">
        <v>14</v>
      </c>
      <c r="L23" s="592">
        <v>1036</v>
      </c>
      <c r="M23" s="572">
        <v>1</v>
      </c>
      <c r="N23" s="572">
        <v>74</v>
      </c>
      <c r="O23" s="592">
        <v>20</v>
      </c>
      <c r="P23" s="592">
        <v>1480</v>
      </c>
      <c r="Q23" s="577">
        <v>1.4285714285714286</v>
      </c>
      <c r="R23" s="593">
        <v>74</v>
      </c>
    </row>
    <row r="24" spans="1:18" ht="14.4" customHeight="1" x14ac:dyDescent="0.3">
      <c r="A24" s="571" t="s">
        <v>971</v>
      </c>
      <c r="B24" s="572" t="s">
        <v>979</v>
      </c>
      <c r="C24" s="572" t="s">
        <v>452</v>
      </c>
      <c r="D24" s="572" t="s">
        <v>973</v>
      </c>
      <c r="E24" s="572" t="s">
        <v>1000</v>
      </c>
      <c r="F24" s="572" t="s">
        <v>1001</v>
      </c>
      <c r="G24" s="592">
        <v>1</v>
      </c>
      <c r="H24" s="592">
        <v>59</v>
      </c>
      <c r="I24" s="572"/>
      <c r="J24" s="572">
        <v>59</v>
      </c>
      <c r="K24" s="592"/>
      <c r="L24" s="592"/>
      <c r="M24" s="572"/>
      <c r="N24" s="572"/>
      <c r="O24" s="592"/>
      <c r="P24" s="592"/>
      <c r="Q24" s="577"/>
      <c r="R24" s="593"/>
    </row>
    <row r="25" spans="1:18" ht="14.4" customHeight="1" x14ac:dyDescent="0.3">
      <c r="A25" s="571" t="s">
        <v>1002</v>
      </c>
      <c r="B25" s="572" t="s">
        <v>1003</v>
      </c>
      <c r="C25" s="572" t="s">
        <v>452</v>
      </c>
      <c r="D25" s="572" t="s">
        <v>973</v>
      </c>
      <c r="E25" s="572" t="s">
        <v>977</v>
      </c>
      <c r="F25" s="572" t="s">
        <v>978</v>
      </c>
      <c r="G25" s="592">
        <v>1</v>
      </c>
      <c r="H25" s="592">
        <v>74</v>
      </c>
      <c r="I25" s="572"/>
      <c r="J25" s="572">
        <v>74</v>
      </c>
      <c r="K25" s="592"/>
      <c r="L25" s="592"/>
      <c r="M25" s="572"/>
      <c r="N25" s="572"/>
      <c r="O25" s="592"/>
      <c r="P25" s="592"/>
      <c r="Q25" s="577"/>
      <c r="R25" s="593"/>
    </row>
    <row r="26" spans="1:18" ht="14.4" customHeight="1" x14ac:dyDescent="0.3">
      <c r="A26" s="571" t="s">
        <v>1002</v>
      </c>
      <c r="B26" s="572" t="s">
        <v>1003</v>
      </c>
      <c r="C26" s="572" t="s">
        <v>457</v>
      </c>
      <c r="D26" s="572" t="s">
        <v>973</v>
      </c>
      <c r="E26" s="572" t="s">
        <v>1004</v>
      </c>
      <c r="F26" s="572" t="s">
        <v>1005</v>
      </c>
      <c r="G26" s="592">
        <v>44</v>
      </c>
      <c r="H26" s="592">
        <v>491304</v>
      </c>
      <c r="I26" s="572">
        <v>1.0225232162703286</v>
      </c>
      <c r="J26" s="572">
        <v>11166</v>
      </c>
      <c r="K26" s="592">
        <v>43</v>
      </c>
      <c r="L26" s="592">
        <v>480482</v>
      </c>
      <c r="M26" s="572">
        <v>1</v>
      </c>
      <c r="N26" s="572">
        <v>11174</v>
      </c>
      <c r="O26" s="592">
        <v>52</v>
      </c>
      <c r="P26" s="592">
        <v>646984</v>
      </c>
      <c r="Q26" s="577">
        <v>1.3465311915951066</v>
      </c>
      <c r="R26" s="593">
        <v>12442</v>
      </c>
    </row>
    <row r="27" spans="1:18" ht="14.4" customHeight="1" x14ac:dyDescent="0.3">
      <c r="A27" s="571" t="s">
        <v>1002</v>
      </c>
      <c r="B27" s="572" t="s">
        <v>1003</v>
      </c>
      <c r="C27" s="572" t="s">
        <v>457</v>
      </c>
      <c r="D27" s="572" t="s">
        <v>973</v>
      </c>
      <c r="E27" s="572" t="s">
        <v>1006</v>
      </c>
      <c r="F27" s="572" t="s">
        <v>1007</v>
      </c>
      <c r="G27" s="592">
        <v>368</v>
      </c>
      <c r="H27" s="592">
        <v>115552</v>
      </c>
      <c r="I27" s="572">
        <v>0.70274280848993498</v>
      </c>
      <c r="J27" s="572">
        <v>314</v>
      </c>
      <c r="K27" s="592">
        <v>522</v>
      </c>
      <c r="L27" s="592">
        <v>164430</v>
      </c>
      <c r="M27" s="572">
        <v>1</v>
      </c>
      <c r="N27" s="572">
        <v>315</v>
      </c>
      <c r="O27" s="592">
        <v>1276</v>
      </c>
      <c r="P27" s="592">
        <v>381524</v>
      </c>
      <c r="Q27" s="577">
        <v>2.3202821869488535</v>
      </c>
      <c r="R27" s="593">
        <v>299</v>
      </c>
    </row>
    <row r="28" spans="1:18" ht="14.4" customHeight="1" x14ac:dyDescent="0.3">
      <c r="A28" s="571" t="s">
        <v>1002</v>
      </c>
      <c r="B28" s="572" t="s">
        <v>1003</v>
      </c>
      <c r="C28" s="572" t="s">
        <v>457</v>
      </c>
      <c r="D28" s="572" t="s">
        <v>973</v>
      </c>
      <c r="E28" s="572" t="s">
        <v>1006</v>
      </c>
      <c r="F28" s="572" t="s">
        <v>1008</v>
      </c>
      <c r="G28" s="592"/>
      <c r="H28" s="592"/>
      <c r="I28" s="572"/>
      <c r="J28" s="572"/>
      <c r="K28" s="592">
        <v>21</v>
      </c>
      <c r="L28" s="592">
        <v>6615</v>
      </c>
      <c r="M28" s="572">
        <v>1</v>
      </c>
      <c r="N28" s="572">
        <v>315</v>
      </c>
      <c r="O28" s="592">
        <v>20</v>
      </c>
      <c r="P28" s="592">
        <v>5980</v>
      </c>
      <c r="Q28" s="577">
        <v>0.90400604686318975</v>
      </c>
      <c r="R28" s="593">
        <v>299</v>
      </c>
    </row>
    <row r="29" spans="1:18" ht="14.4" customHeight="1" x14ac:dyDescent="0.3">
      <c r="A29" s="571" t="s">
        <v>1002</v>
      </c>
      <c r="B29" s="572" t="s">
        <v>1003</v>
      </c>
      <c r="C29" s="572" t="s">
        <v>457</v>
      </c>
      <c r="D29" s="572" t="s">
        <v>973</v>
      </c>
      <c r="E29" s="572" t="s">
        <v>1009</v>
      </c>
      <c r="F29" s="572"/>
      <c r="G29" s="592">
        <v>331</v>
      </c>
      <c r="H29" s="592">
        <v>424673</v>
      </c>
      <c r="I29" s="572">
        <v>0.92314196900202161</v>
      </c>
      <c r="J29" s="572">
        <v>1283</v>
      </c>
      <c r="K29" s="592">
        <v>358</v>
      </c>
      <c r="L29" s="592">
        <v>460030</v>
      </c>
      <c r="M29" s="572">
        <v>1</v>
      </c>
      <c r="N29" s="572">
        <v>1285</v>
      </c>
      <c r="O29" s="592"/>
      <c r="P29" s="592"/>
      <c r="Q29" s="577"/>
      <c r="R29" s="593"/>
    </row>
    <row r="30" spans="1:18" ht="14.4" customHeight="1" x14ac:dyDescent="0.3">
      <c r="A30" s="571" t="s">
        <v>1002</v>
      </c>
      <c r="B30" s="572" t="s">
        <v>1003</v>
      </c>
      <c r="C30" s="572" t="s">
        <v>457</v>
      </c>
      <c r="D30" s="572" t="s">
        <v>973</v>
      </c>
      <c r="E30" s="572" t="s">
        <v>1009</v>
      </c>
      <c r="F30" s="572" t="s">
        <v>1010</v>
      </c>
      <c r="G30" s="592">
        <v>583</v>
      </c>
      <c r="H30" s="592">
        <v>747989</v>
      </c>
      <c r="I30" s="572">
        <v>0.92689905573868003</v>
      </c>
      <c r="J30" s="572">
        <v>1283</v>
      </c>
      <c r="K30" s="592">
        <v>628</v>
      </c>
      <c r="L30" s="592">
        <v>806980</v>
      </c>
      <c r="M30" s="572">
        <v>1</v>
      </c>
      <c r="N30" s="572">
        <v>1285</v>
      </c>
      <c r="O30" s="592"/>
      <c r="P30" s="592"/>
      <c r="Q30" s="577"/>
      <c r="R30" s="593"/>
    </row>
    <row r="31" spans="1:18" ht="14.4" customHeight="1" x14ac:dyDescent="0.3">
      <c r="A31" s="571" t="s">
        <v>1002</v>
      </c>
      <c r="B31" s="572" t="s">
        <v>1003</v>
      </c>
      <c r="C31" s="572" t="s">
        <v>457</v>
      </c>
      <c r="D31" s="572" t="s">
        <v>973</v>
      </c>
      <c r="E31" s="572" t="s">
        <v>1011</v>
      </c>
      <c r="F31" s="572" t="s">
        <v>1012</v>
      </c>
      <c r="G31" s="592">
        <v>51</v>
      </c>
      <c r="H31" s="592">
        <v>497403</v>
      </c>
      <c r="I31" s="572">
        <v>1.887147442463976</v>
      </c>
      <c r="J31" s="572">
        <v>9753</v>
      </c>
      <c r="K31" s="592">
        <v>27</v>
      </c>
      <c r="L31" s="592">
        <v>263574</v>
      </c>
      <c r="M31" s="572">
        <v>1</v>
      </c>
      <c r="N31" s="572">
        <v>9762</v>
      </c>
      <c r="O31" s="592">
        <v>42</v>
      </c>
      <c r="P31" s="592">
        <v>439614</v>
      </c>
      <c r="Q31" s="577">
        <v>1.6678959229666053</v>
      </c>
      <c r="R31" s="593">
        <v>10467</v>
      </c>
    </row>
    <row r="32" spans="1:18" ht="14.4" customHeight="1" x14ac:dyDescent="0.3">
      <c r="A32" s="571" t="s">
        <v>1002</v>
      </c>
      <c r="B32" s="572" t="s">
        <v>1003</v>
      </c>
      <c r="C32" s="572" t="s">
        <v>457</v>
      </c>
      <c r="D32" s="572" t="s">
        <v>973</v>
      </c>
      <c r="E32" s="572" t="s">
        <v>1011</v>
      </c>
      <c r="F32" s="572" t="s">
        <v>1013</v>
      </c>
      <c r="G32" s="592">
        <v>2</v>
      </c>
      <c r="H32" s="592">
        <v>19506</v>
      </c>
      <c r="I32" s="572">
        <v>0.33302601925834868</v>
      </c>
      <c r="J32" s="572">
        <v>9753</v>
      </c>
      <c r="K32" s="592">
        <v>6</v>
      </c>
      <c r="L32" s="592">
        <v>58572</v>
      </c>
      <c r="M32" s="572">
        <v>1</v>
      </c>
      <c r="N32" s="572">
        <v>9762</v>
      </c>
      <c r="O32" s="592">
        <v>3</v>
      </c>
      <c r="P32" s="592">
        <v>31401</v>
      </c>
      <c r="Q32" s="577">
        <v>0.5361094038106945</v>
      </c>
      <c r="R32" s="593">
        <v>10467</v>
      </c>
    </row>
    <row r="33" spans="1:18" ht="14.4" customHeight="1" x14ac:dyDescent="0.3">
      <c r="A33" s="571" t="s">
        <v>1002</v>
      </c>
      <c r="B33" s="572" t="s">
        <v>1003</v>
      </c>
      <c r="C33" s="572" t="s">
        <v>457</v>
      </c>
      <c r="D33" s="572" t="s">
        <v>973</v>
      </c>
      <c r="E33" s="572" t="s">
        <v>1014</v>
      </c>
      <c r="F33" s="572" t="s">
        <v>1015</v>
      </c>
      <c r="G33" s="592">
        <v>2782</v>
      </c>
      <c r="H33" s="592">
        <v>1210170</v>
      </c>
      <c r="I33" s="572"/>
      <c r="J33" s="572">
        <v>435</v>
      </c>
      <c r="K33" s="592"/>
      <c r="L33" s="592"/>
      <c r="M33" s="572"/>
      <c r="N33" s="572"/>
      <c r="O33" s="592"/>
      <c r="P33" s="592"/>
      <c r="Q33" s="577"/>
      <c r="R33" s="593"/>
    </row>
    <row r="34" spans="1:18" ht="14.4" customHeight="1" x14ac:dyDescent="0.3">
      <c r="A34" s="571" t="s">
        <v>1002</v>
      </c>
      <c r="B34" s="572" t="s">
        <v>1003</v>
      </c>
      <c r="C34" s="572" t="s">
        <v>457</v>
      </c>
      <c r="D34" s="572" t="s">
        <v>973</v>
      </c>
      <c r="E34" s="572" t="s">
        <v>1016</v>
      </c>
      <c r="F34" s="572"/>
      <c r="G34" s="592">
        <v>96</v>
      </c>
      <c r="H34" s="592">
        <v>97056</v>
      </c>
      <c r="I34" s="572">
        <v>0.54491555874955089</v>
      </c>
      <c r="J34" s="572">
        <v>1011</v>
      </c>
      <c r="K34" s="592">
        <v>176</v>
      </c>
      <c r="L34" s="592">
        <v>178112</v>
      </c>
      <c r="M34" s="572">
        <v>1</v>
      </c>
      <c r="N34" s="572">
        <v>1012</v>
      </c>
      <c r="O34" s="592"/>
      <c r="P34" s="592"/>
      <c r="Q34" s="577"/>
      <c r="R34" s="593"/>
    </row>
    <row r="35" spans="1:18" ht="14.4" customHeight="1" x14ac:dyDescent="0.3">
      <c r="A35" s="571" t="s">
        <v>1002</v>
      </c>
      <c r="B35" s="572" t="s">
        <v>1003</v>
      </c>
      <c r="C35" s="572" t="s">
        <v>457</v>
      </c>
      <c r="D35" s="572" t="s">
        <v>973</v>
      </c>
      <c r="E35" s="572" t="s">
        <v>1016</v>
      </c>
      <c r="F35" s="572" t="s">
        <v>1017</v>
      </c>
      <c r="G35" s="592">
        <v>145</v>
      </c>
      <c r="H35" s="592">
        <v>146595</v>
      </c>
      <c r="I35" s="572">
        <v>4.5267724802371543</v>
      </c>
      <c r="J35" s="572">
        <v>1011</v>
      </c>
      <c r="K35" s="592">
        <v>32</v>
      </c>
      <c r="L35" s="592">
        <v>32384</v>
      </c>
      <c r="M35" s="572">
        <v>1</v>
      </c>
      <c r="N35" s="572">
        <v>1012</v>
      </c>
      <c r="O35" s="592"/>
      <c r="P35" s="592"/>
      <c r="Q35" s="577"/>
      <c r="R35" s="593"/>
    </row>
    <row r="36" spans="1:18" ht="14.4" customHeight="1" x14ac:dyDescent="0.3">
      <c r="A36" s="571" t="s">
        <v>1002</v>
      </c>
      <c r="B36" s="572" t="s">
        <v>1003</v>
      </c>
      <c r="C36" s="572" t="s">
        <v>457</v>
      </c>
      <c r="D36" s="572" t="s">
        <v>973</v>
      </c>
      <c r="E36" s="572" t="s">
        <v>1018</v>
      </c>
      <c r="F36" s="572"/>
      <c r="G36" s="592">
        <v>6952</v>
      </c>
      <c r="H36" s="592">
        <v>15947888</v>
      </c>
      <c r="I36" s="572">
        <v>3.0693723832300388</v>
      </c>
      <c r="J36" s="572">
        <v>2294</v>
      </c>
      <c r="K36" s="592">
        <v>2262</v>
      </c>
      <c r="L36" s="592">
        <v>5195814</v>
      </c>
      <c r="M36" s="572">
        <v>1</v>
      </c>
      <c r="N36" s="572">
        <v>2297</v>
      </c>
      <c r="O36" s="592"/>
      <c r="P36" s="592"/>
      <c r="Q36" s="577"/>
      <c r="R36" s="593"/>
    </row>
    <row r="37" spans="1:18" ht="14.4" customHeight="1" x14ac:dyDescent="0.3">
      <c r="A37" s="571" t="s">
        <v>1002</v>
      </c>
      <c r="B37" s="572" t="s">
        <v>1003</v>
      </c>
      <c r="C37" s="572" t="s">
        <v>457</v>
      </c>
      <c r="D37" s="572" t="s">
        <v>973</v>
      </c>
      <c r="E37" s="572" t="s">
        <v>1018</v>
      </c>
      <c r="F37" s="572" t="s">
        <v>1019</v>
      </c>
      <c r="G37" s="592">
        <v>14310</v>
      </c>
      <c r="H37" s="592">
        <v>32827140</v>
      </c>
      <c r="I37" s="572">
        <v>1.5523908760456142</v>
      </c>
      <c r="J37" s="572">
        <v>2294</v>
      </c>
      <c r="K37" s="592">
        <v>9206</v>
      </c>
      <c r="L37" s="592">
        <v>21146182</v>
      </c>
      <c r="M37" s="572">
        <v>1</v>
      </c>
      <c r="N37" s="572">
        <v>2297</v>
      </c>
      <c r="O37" s="592"/>
      <c r="P37" s="592"/>
      <c r="Q37" s="577"/>
      <c r="R37" s="593"/>
    </row>
    <row r="38" spans="1:18" ht="14.4" customHeight="1" x14ac:dyDescent="0.3">
      <c r="A38" s="571" t="s">
        <v>1002</v>
      </c>
      <c r="B38" s="572" t="s">
        <v>1003</v>
      </c>
      <c r="C38" s="572" t="s">
        <v>457</v>
      </c>
      <c r="D38" s="572" t="s">
        <v>973</v>
      </c>
      <c r="E38" s="572" t="s">
        <v>1020</v>
      </c>
      <c r="F38" s="572" t="s">
        <v>1021</v>
      </c>
      <c r="G38" s="592"/>
      <c r="H38" s="592"/>
      <c r="I38" s="572"/>
      <c r="J38" s="572"/>
      <c r="K38" s="592">
        <v>1</v>
      </c>
      <c r="L38" s="592">
        <v>374</v>
      </c>
      <c r="M38" s="572">
        <v>1</v>
      </c>
      <c r="N38" s="572">
        <v>374</v>
      </c>
      <c r="O38" s="592"/>
      <c r="P38" s="592"/>
      <c r="Q38" s="577"/>
      <c r="R38" s="593"/>
    </row>
    <row r="39" spans="1:18" ht="14.4" customHeight="1" x14ac:dyDescent="0.3">
      <c r="A39" s="571" t="s">
        <v>1002</v>
      </c>
      <c r="B39" s="572" t="s">
        <v>1003</v>
      </c>
      <c r="C39" s="572" t="s">
        <v>457</v>
      </c>
      <c r="D39" s="572" t="s">
        <v>973</v>
      </c>
      <c r="E39" s="572" t="s">
        <v>1022</v>
      </c>
      <c r="F39" s="572" t="s">
        <v>1023</v>
      </c>
      <c r="G39" s="592">
        <v>45</v>
      </c>
      <c r="H39" s="592">
        <v>23760</v>
      </c>
      <c r="I39" s="572">
        <v>1</v>
      </c>
      <c r="J39" s="572">
        <v>528</v>
      </c>
      <c r="K39" s="592">
        <v>45</v>
      </c>
      <c r="L39" s="592">
        <v>23760</v>
      </c>
      <c r="M39" s="572">
        <v>1</v>
      </c>
      <c r="N39" s="572">
        <v>528</v>
      </c>
      <c r="O39" s="592">
        <v>54</v>
      </c>
      <c r="P39" s="592">
        <v>35640</v>
      </c>
      <c r="Q39" s="577">
        <v>1.5</v>
      </c>
      <c r="R39" s="593">
        <v>660</v>
      </c>
    </row>
    <row r="40" spans="1:18" ht="14.4" customHeight="1" x14ac:dyDescent="0.3">
      <c r="A40" s="571" t="s">
        <v>1002</v>
      </c>
      <c r="B40" s="572" t="s">
        <v>1003</v>
      </c>
      <c r="C40" s="572" t="s">
        <v>457</v>
      </c>
      <c r="D40" s="572" t="s">
        <v>973</v>
      </c>
      <c r="E40" s="572" t="s">
        <v>1024</v>
      </c>
      <c r="F40" s="572" t="s">
        <v>1025</v>
      </c>
      <c r="G40" s="592">
        <v>80</v>
      </c>
      <c r="H40" s="592">
        <v>74880</v>
      </c>
      <c r="I40" s="572">
        <v>0.9745685503813416</v>
      </c>
      <c r="J40" s="572">
        <v>936</v>
      </c>
      <c r="K40" s="592">
        <v>82</v>
      </c>
      <c r="L40" s="592">
        <v>76834</v>
      </c>
      <c r="M40" s="572">
        <v>1</v>
      </c>
      <c r="N40" s="572">
        <v>937</v>
      </c>
      <c r="O40" s="592">
        <v>94</v>
      </c>
      <c r="P40" s="592">
        <v>90428</v>
      </c>
      <c r="Q40" s="577">
        <v>1.1769268813285785</v>
      </c>
      <c r="R40" s="593">
        <v>962</v>
      </c>
    </row>
    <row r="41" spans="1:18" ht="14.4" customHeight="1" x14ac:dyDescent="0.3">
      <c r="A41" s="571" t="s">
        <v>1002</v>
      </c>
      <c r="B41" s="572" t="s">
        <v>1003</v>
      </c>
      <c r="C41" s="572" t="s">
        <v>457</v>
      </c>
      <c r="D41" s="572" t="s">
        <v>973</v>
      </c>
      <c r="E41" s="572" t="s">
        <v>1024</v>
      </c>
      <c r="F41" s="572" t="s">
        <v>1026</v>
      </c>
      <c r="G41" s="592">
        <v>1</v>
      </c>
      <c r="H41" s="592">
        <v>936</v>
      </c>
      <c r="I41" s="572">
        <v>0.16648879402347919</v>
      </c>
      <c r="J41" s="572">
        <v>936</v>
      </c>
      <c r="K41" s="592">
        <v>6</v>
      </c>
      <c r="L41" s="592">
        <v>5622</v>
      </c>
      <c r="M41" s="572">
        <v>1</v>
      </c>
      <c r="N41" s="572">
        <v>937</v>
      </c>
      <c r="O41" s="592">
        <v>4</v>
      </c>
      <c r="P41" s="592">
        <v>3848</v>
      </c>
      <c r="Q41" s="577">
        <v>0.6844539309854144</v>
      </c>
      <c r="R41" s="593">
        <v>962</v>
      </c>
    </row>
    <row r="42" spans="1:18" ht="14.4" customHeight="1" x14ac:dyDescent="0.3">
      <c r="A42" s="571" t="s">
        <v>1002</v>
      </c>
      <c r="B42" s="572" t="s">
        <v>1003</v>
      </c>
      <c r="C42" s="572" t="s">
        <v>457</v>
      </c>
      <c r="D42" s="572" t="s">
        <v>973</v>
      </c>
      <c r="E42" s="572" t="s">
        <v>1027</v>
      </c>
      <c r="F42" s="572" t="s">
        <v>1028</v>
      </c>
      <c r="G42" s="592"/>
      <c r="H42" s="592"/>
      <c r="I42" s="572"/>
      <c r="J42" s="572"/>
      <c r="K42" s="592">
        <v>6</v>
      </c>
      <c r="L42" s="592">
        <v>41616</v>
      </c>
      <c r="M42" s="572">
        <v>1</v>
      </c>
      <c r="N42" s="572">
        <v>6936</v>
      </c>
      <c r="O42" s="592">
        <v>3</v>
      </c>
      <c r="P42" s="592">
        <v>22647</v>
      </c>
      <c r="Q42" s="577">
        <v>0.54418973471741638</v>
      </c>
      <c r="R42" s="593">
        <v>7549</v>
      </c>
    </row>
    <row r="43" spans="1:18" ht="14.4" customHeight="1" x14ac:dyDescent="0.3">
      <c r="A43" s="571" t="s">
        <v>1002</v>
      </c>
      <c r="B43" s="572" t="s">
        <v>1003</v>
      </c>
      <c r="C43" s="572" t="s">
        <v>457</v>
      </c>
      <c r="D43" s="572" t="s">
        <v>973</v>
      </c>
      <c r="E43" s="572" t="s">
        <v>1027</v>
      </c>
      <c r="F43" s="572" t="s">
        <v>1029</v>
      </c>
      <c r="G43" s="592">
        <v>286</v>
      </c>
      <c r="H43" s="592">
        <v>1981980</v>
      </c>
      <c r="I43" s="572">
        <v>1.0823961937716262</v>
      </c>
      <c r="J43" s="572">
        <v>6930</v>
      </c>
      <c r="K43" s="592">
        <v>264</v>
      </c>
      <c r="L43" s="592">
        <v>1831104</v>
      </c>
      <c r="M43" s="572">
        <v>1</v>
      </c>
      <c r="N43" s="572">
        <v>6936</v>
      </c>
      <c r="O43" s="592">
        <v>280</v>
      </c>
      <c r="P43" s="592">
        <v>2113720</v>
      </c>
      <c r="Q43" s="577">
        <v>1.1543418615217924</v>
      </c>
      <c r="R43" s="593">
        <v>7549</v>
      </c>
    </row>
    <row r="44" spans="1:18" ht="14.4" customHeight="1" x14ac:dyDescent="0.3">
      <c r="A44" s="571" t="s">
        <v>1002</v>
      </c>
      <c r="B44" s="572" t="s">
        <v>1003</v>
      </c>
      <c r="C44" s="572" t="s">
        <v>457</v>
      </c>
      <c r="D44" s="572" t="s">
        <v>973</v>
      </c>
      <c r="E44" s="572" t="s">
        <v>1030</v>
      </c>
      <c r="F44" s="572" t="s">
        <v>1031</v>
      </c>
      <c r="G44" s="592">
        <v>9</v>
      </c>
      <c r="H44" s="592">
        <v>32031</v>
      </c>
      <c r="I44" s="572">
        <v>1.1240524985962943</v>
      </c>
      <c r="J44" s="572">
        <v>3559</v>
      </c>
      <c r="K44" s="592">
        <v>8</v>
      </c>
      <c r="L44" s="592">
        <v>28496</v>
      </c>
      <c r="M44" s="572">
        <v>1</v>
      </c>
      <c r="N44" s="572">
        <v>3562</v>
      </c>
      <c r="O44" s="592">
        <v>31</v>
      </c>
      <c r="P44" s="592">
        <v>163432</v>
      </c>
      <c r="Q44" s="577">
        <v>5.7352610892756877</v>
      </c>
      <c r="R44" s="593">
        <v>5272</v>
      </c>
    </row>
    <row r="45" spans="1:18" ht="14.4" customHeight="1" x14ac:dyDescent="0.3">
      <c r="A45" s="571" t="s">
        <v>1002</v>
      </c>
      <c r="B45" s="572" t="s">
        <v>1003</v>
      </c>
      <c r="C45" s="572" t="s">
        <v>457</v>
      </c>
      <c r="D45" s="572" t="s">
        <v>973</v>
      </c>
      <c r="E45" s="572" t="s">
        <v>1030</v>
      </c>
      <c r="F45" s="572" t="s">
        <v>1032</v>
      </c>
      <c r="G45" s="592">
        <v>2</v>
      </c>
      <c r="H45" s="592">
        <v>7118</v>
      </c>
      <c r="I45" s="572"/>
      <c r="J45" s="572">
        <v>3559</v>
      </c>
      <c r="K45" s="592"/>
      <c r="L45" s="592"/>
      <c r="M45" s="572"/>
      <c r="N45" s="572"/>
      <c r="O45" s="592">
        <v>4</v>
      </c>
      <c r="P45" s="592">
        <v>21088</v>
      </c>
      <c r="Q45" s="577"/>
      <c r="R45" s="593">
        <v>5272</v>
      </c>
    </row>
    <row r="46" spans="1:18" ht="14.4" customHeight="1" x14ac:dyDescent="0.3">
      <c r="A46" s="571" t="s">
        <v>1002</v>
      </c>
      <c r="B46" s="572" t="s">
        <v>1003</v>
      </c>
      <c r="C46" s="572" t="s">
        <v>457</v>
      </c>
      <c r="D46" s="572" t="s">
        <v>973</v>
      </c>
      <c r="E46" s="572" t="s">
        <v>1033</v>
      </c>
      <c r="F46" s="572" t="s">
        <v>1034</v>
      </c>
      <c r="G46" s="592">
        <v>35</v>
      </c>
      <c r="H46" s="592">
        <v>312795</v>
      </c>
      <c r="I46" s="572">
        <v>0.85299042279331561</v>
      </c>
      <c r="J46" s="572">
        <v>8937</v>
      </c>
      <c r="K46" s="592">
        <v>41</v>
      </c>
      <c r="L46" s="592">
        <v>366704</v>
      </c>
      <c r="M46" s="572">
        <v>1</v>
      </c>
      <c r="N46" s="572">
        <v>8944</v>
      </c>
      <c r="O46" s="592">
        <v>43</v>
      </c>
      <c r="P46" s="592">
        <v>452532</v>
      </c>
      <c r="Q46" s="577">
        <v>1.2340525328330207</v>
      </c>
      <c r="R46" s="593">
        <v>10524</v>
      </c>
    </row>
    <row r="47" spans="1:18" ht="14.4" customHeight="1" x14ac:dyDescent="0.3">
      <c r="A47" s="571" t="s">
        <v>1002</v>
      </c>
      <c r="B47" s="572" t="s">
        <v>1003</v>
      </c>
      <c r="C47" s="572" t="s">
        <v>457</v>
      </c>
      <c r="D47" s="572" t="s">
        <v>973</v>
      </c>
      <c r="E47" s="572" t="s">
        <v>1033</v>
      </c>
      <c r="F47" s="572" t="s">
        <v>1035</v>
      </c>
      <c r="G47" s="592"/>
      <c r="H47" s="592"/>
      <c r="I47" s="572"/>
      <c r="J47" s="572"/>
      <c r="K47" s="592">
        <v>2</v>
      </c>
      <c r="L47" s="592">
        <v>17888</v>
      </c>
      <c r="M47" s="572">
        <v>1</v>
      </c>
      <c r="N47" s="572">
        <v>8944</v>
      </c>
      <c r="O47" s="592">
        <v>4</v>
      </c>
      <c r="P47" s="592">
        <v>42096</v>
      </c>
      <c r="Q47" s="577">
        <v>2.3533094812164581</v>
      </c>
      <c r="R47" s="593">
        <v>10524</v>
      </c>
    </row>
    <row r="48" spans="1:18" ht="14.4" customHeight="1" x14ac:dyDescent="0.3">
      <c r="A48" s="571" t="s">
        <v>1002</v>
      </c>
      <c r="B48" s="572" t="s">
        <v>1003</v>
      </c>
      <c r="C48" s="572" t="s">
        <v>457</v>
      </c>
      <c r="D48" s="572" t="s">
        <v>973</v>
      </c>
      <c r="E48" s="572" t="s">
        <v>1036</v>
      </c>
      <c r="F48" s="572" t="s">
        <v>1037</v>
      </c>
      <c r="G48" s="592">
        <v>3</v>
      </c>
      <c r="H48" s="592">
        <v>32787</v>
      </c>
      <c r="I48" s="572">
        <v>0.99926853799030813</v>
      </c>
      <c r="J48" s="572">
        <v>10929</v>
      </c>
      <c r="K48" s="592">
        <v>3</v>
      </c>
      <c r="L48" s="592">
        <v>32811</v>
      </c>
      <c r="M48" s="572">
        <v>1</v>
      </c>
      <c r="N48" s="572">
        <v>10937</v>
      </c>
      <c r="O48" s="592">
        <v>3</v>
      </c>
      <c r="P48" s="592">
        <v>37326</v>
      </c>
      <c r="Q48" s="577">
        <v>1.1376062905732833</v>
      </c>
      <c r="R48" s="593">
        <v>12442</v>
      </c>
    </row>
    <row r="49" spans="1:18" ht="14.4" customHeight="1" x14ac:dyDescent="0.3">
      <c r="A49" s="571" t="s">
        <v>1002</v>
      </c>
      <c r="B49" s="572" t="s">
        <v>1003</v>
      </c>
      <c r="C49" s="572" t="s">
        <v>457</v>
      </c>
      <c r="D49" s="572" t="s">
        <v>973</v>
      </c>
      <c r="E49" s="572" t="s">
        <v>1038</v>
      </c>
      <c r="F49" s="572" t="s">
        <v>1039</v>
      </c>
      <c r="G49" s="592">
        <v>11</v>
      </c>
      <c r="H49" s="592">
        <v>12133</v>
      </c>
      <c r="I49" s="572">
        <v>5.4950181159420293</v>
      </c>
      <c r="J49" s="572">
        <v>1103</v>
      </c>
      <c r="K49" s="592">
        <v>2</v>
      </c>
      <c r="L49" s="592">
        <v>2208</v>
      </c>
      <c r="M49" s="572">
        <v>1</v>
      </c>
      <c r="N49" s="572">
        <v>1104</v>
      </c>
      <c r="O49" s="592">
        <v>0</v>
      </c>
      <c r="P49" s="592">
        <v>0</v>
      </c>
      <c r="Q49" s="577">
        <v>0</v>
      </c>
      <c r="R49" s="593"/>
    </row>
    <row r="50" spans="1:18" ht="14.4" customHeight="1" x14ac:dyDescent="0.3">
      <c r="A50" s="571" t="s">
        <v>1002</v>
      </c>
      <c r="B50" s="572" t="s">
        <v>1003</v>
      </c>
      <c r="C50" s="572" t="s">
        <v>457</v>
      </c>
      <c r="D50" s="572" t="s">
        <v>973</v>
      </c>
      <c r="E50" s="572" t="s">
        <v>1038</v>
      </c>
      <c r="F50" s="572" t="s">
        <v>1040</v>
      </c>
      <c r="G50" s="592"/>
      <c r="H50" s="592"/>
      <c r="I50" s="572"/>
      <c r="J50" s="572"/>
      <c r="K50" s="592"/>
      <c r="L50" s="592"/>
      <c r="M50" s="572"/>
      <c r="N50" s="572"/>
      <c r="O50" s="592">
        <v>1</v>
      </c>
      <c r="P50" s="592">
        <v>1114</v>
      </c>
      <c r="Q50" s="577"/>
      <c r="R50" s="593">
        <v>1114</v>
      </c>
    </row>
    <row r="51" spans="1:18" ht="14.4" customHeight="1" x14ac:dyDescent="0.3">
      <c r="A51" s="571" t="s">
        <v>1002</v>
      </c>
      <c r="B51" s="572" t="s">
        <v>1003</v>
      </c>
      <c r="C51" s="572" t="s">
        <v>457</v>
      </c>
      <c r="D51" s="572" t="s">
        <v>973</v>
      </c>
      <c r="E51" s="572" t="s">
        <v>1041</v>
      </c>
      <c r="F51" s="572" t="s">
        <v>1042</v>
      </c>
      <c r="G51" s="592">
        <v>6</v>
      </c>
      <c r="H51" s="592">
        <v>3618</v>
      </c>
      <c r="I51" s="572">
        <v>6</v>
      </c>
      <c r="J51" s="572">
        <v>603</v>
      </c>
      <c r="K51" s="592">
        <v>1</v>
      </c>
      <c r="L51" s="592">
        <v>603</v>
      </c>
      <c r="M51" s="572">
        <v>1</v>
      </c>
      <c r="N51" s="572">
        <v>603</v>
      </c>
      <c r="O51" s="592">
        <v>2</v>
      </c>
      <c r="P51" s="592">
        <v>1248</v>
      </c>
      <c r="Q51" s="577">
        <v>2.0696517412935322</v>
      </c>
      <c r="R51" s="593">
        <v>624</v>
      </c>
    </row>
    <row r="52" spans="1:18" ht="14.4" customHeight="1" x14ac:dyDescent="0.3">
      <c r="A52" s="571" t="s">
        <v>1002</v>
      </c>
      <c r="B52" s="572" t="s">
        <v>1003</v>
      </c>
      <c r="C52" s="572" t="s">
        <v>457</v>
      </c>
      <c r="D52" s="572" t="s">
        <v>973</v>
      </c>
      <c r="E52" s="572" t="s">
        <v>1041</v>
      </c>
      <c r="F52" s="572" t="s">
        <v>1043</v>
      </c>
      <c r="G52" s="592"/>
      <c r="H52" s="592"/>
      <c r="I52" s="572"/>
      <c r="J52" s="572"/>
      <c r="K52" s="592">
        <v>3</v>
      </c>
      <c r="L52" s="592">
        <v>1809</v>
      </c>
      <c r="M52" s="572">
        <v>1</v>
      </c>
      <c r="N52" s="572">
        <v>603</v>
      </c>
      <c r="O52" s="592">
        <v>2</v>
      </c>
      <c r="P52" s="592">
        <v>1248</v>
      </c>
      <c r="Q52" s="577">
        <v>0.68988391376451075</v>
      </c>
      <c r="R52" s="593">
        <v>624</v>
      </c>
    </row>
    <row r="53" spans="1:18" ht="14.4" customHeight="1" x14ac:dyDescent="0.3">
      <c r="A53" s="571" t="s">
        <v>1002</v>
      </c>
      <c r="B53" s="572" t="s">
        <v>1003</v>
      </c>
      <c r="C53" s="572" t="s">
        <v>457</v>
      </c>
      <c r="D53" s="572" t="s">
        <v>973</v>
      </c>
      <c r="E53" s="572" t="s">
        <v>1044</v>
      </c>
      <c r="F53" s="572"/>
      <c r="G53" s="592"/>
      <c r="H53" s="592"/>
      <c r="I53" s="572"/>
      <c r="J53" s="572"/>
      <c r="K53" s="592">
        <v>64</v>
      </c>
      <c r="L53" s="592">
        <v>0</v>
      </c>
      <c r="M53" s="572"/>
      <c r="N53" s="572">
        <v>0</v>
      </c>
      <c r="O53" s="592"/>
      <c r="P53" s="592"/>
      <c r="Q53" s="577"/>
      <c r="R53" s="593"/>
    </row>
    <row r="54" spans="1:18" ht="14.4" customHeight="1" x14ac:dyDescent="0.3">
      <c r="A54" s="571" t="s">
        <v>1002</v>
      </c>
      <c r="B54" s="572" t="s">
        <v>1003</v>
      </c>
      <c r="C54" s="572" t="s">
        <v>457</v>
      </c>
      <c r="D54" s="572" t="s">
        <v>973</v>
      </c>
      <c r="E54" s="572" t="s">
        <v>1045</v>
      </c>
      <c r="F54" s="572"/>
      <c r="G54" s="592"/>
      <c r="H54" s="592"/>
      <c r="I54" s="572"/>
      <c r="J54" s="572"/>
      <c r="K54" s="592">
        <v>54</v>
      </c>
      <c r="L54" s="592">
        <v>3247128</v>
      </c>
      <c r="M54" s="572">
        <v>1</v>
      </c>
      <c r="N54" s="572">
        <v>60132</v>
      </c>
      <c r="O54" s="592"/>
      <c r="P54" s="592"/>
      <c r="Q54" s="577"/>
      <c r="R54" s="593"/>
    </row>
    <row r="55" spans="1:18" ht="14.4" customHeight="1" x14ac:dyDescent="0.3">
      <c r="A55" s="571" t="s">
        <v>1002</v>
      </c>
      <c r="B55" s="572" t="s">
        <v>1003</v>
      </c>
      <c r="C55" s="572" t="s">
        <v>457</v>
      </c>
      <c r="D55" s="572" t="s">
        <v>973</v>
      </c>
      <c r="E55" s="572" t="s">
        <v>1046</v>
      </c>
      <c r="F55" s="572"/>
      <c r="G55" s="592"/>
      <c r="H55" s="592"/>
      <c r="I55" s="572"/>
      <c r="J55" s="572"/>
      <c r="K55" s="592">
        <v>6</v>
      </c>
      <c r="L55" s="592">
        <v>0</v>
      </c>
      <c r="M55" s="572"/>
      <c r="N55" s="572">
        <v>0</v>
      </c>
      <c r="O55" s="592"/>
      <c r="P55" s="592"/>
      <c r="Q55" s="577"/>
      <c r="R55" s="593"/>
    </row>
    <row r="56" spans="1:18" ht="14.4" customHeight="1" x14ac:dyDescent="0.3">
      <c r="A56" s="571" t="s">
        <v>1002</v>
      </c>
      <c r="B56" s="572" t="s">
        <v>1003</v>
      </c>
      <c r="C56" s="572" t="s">
        <v>457</v>
      </c>
      <c r="D56" s="572" t="s">
        <v>973</v>
      </c>
      <c r="E56" s="572" t="s">
        <v>1047</v>
      </c>
      <c r="F56" s="572"/>
      <c r="G56" s="592"/>
      <c r="H56" s="592"/>
      <c r="I56" s="572"/>
      <c r="J56" s="572"/>
      <c r="K56" s="592">
        <v>17</v>
      </c>
      <c r="L56" s="592">
        <v>329460</v>
      </c>
      <c r="M56" s="572">
        <v>1</v>
      </c>
      <c r="N56" s="572">
        <v>19380</v>
      </c>
      <c r="O56" s="592"/>
      <c r="P56" s="592"/>
      <c r="Q56" s="577"/>
      <c r="R56" s="593"/>
    </row>
    <row r="57" spans="1:18" ht="14.4" customHeight="1" x14ac:dyDescent="0.3">
      <c r="A57" s="571" t="s">
        <v>1002</v>
      </c>
      <c r="B57" s="572" t="s">
        <v>1003</v>
      </c>
      <c r="C57" s="572" t="s">
        <v>457</v>
      </c>
      <c r="D57" s="572" t="s">
        <v>973</v>
      </c>
      <c r="E57" s="572" t="s">
        <v>1048</v>
      </c>
      <c r="F57" s="572" t="s">
        <v>1049</v>
      </c>
      <c r="G57" s="592"/>
      <c r="H57" s="592"/>
      <c r="I57" s="572"/>
      <c r="J57" s="572"/>
      <c r="K57" s="592"/>
      <c r="L57" s="592"/>
      <c r="M57" s="572"/>
      <c r="N57" s="572"/>
      <c r="O57" s="592">
        <v>104</v>
      </c>
      <c r="P57" s="592">
        <v>63336</v>
      </c>
      <c r="Q57" s="577"/>
      <c r="R57" s="593">
        <v>609</v>
      </c>
    </row>
    <row r="58" spans="1:18" ht="14.4" customHeight="1" x14ac:dyDescent="0.3">
      <c r="A58" s="571" t="s">
        <v>1002</v>
      </c>
      <c r="B58" s="572" t="s">
        <v>1003</v>
      </c>
      <c r="C58" s="572" t="s">
        <v>457</v>
      </c>
      <c r="D58" s="572" t="s">
        <v>973</v>
      </c>
      <c r="E58" s="572" t="s">
        <v>1050</v>
      </c>
      <c r="F58" s="572" t="s">
        <v>1051</v>
      </c>
      <c r="G58" s="592"/>
      <c r="H58" s="592"/>
      <c r="I58" s="572"/>
      <c r="J58" s="572"/>
      <c r="K58" s="592"/>
      <c r="L58" s="592"/>
      <c r="M58" s="572"/>
      <c r="N58" s="572"/>
      <c r="O58" s="592">
        <v>87</v>
      </c>
      <c r="P58" s="592">
        <v>389760</v>
      </c>
      <c r="Q58" s="577"/>
      <c r="R58" s="593">
        <v>4480</v>
      </c>
    </row>
    <row r="59" spans="1:18" ht="14.4" customHeight="1" x14ac:dyDescent="0.3">
      <c r="A59" s="571" t="s">
        <v>1002</v>
      </c>
      <c r="B59" s="572" t="s">
        <v>1003</v>
      </c>
      <c r="C59" s="572" t="s">
        <v>457</v>
      </c>
      <c r="D59" s="572" t="s">
        <v>973</v>
      </c>
      <c r="E59" s="572" t="s">
        <v>1052</v>
      </c>
      <c r="F59" s="572" t="s">
        <v>1053</v>
      </c>
      <c r="G59" s="592"/>
      <c r="H59" s="592"/>
      <c r="I59" s="572"/>
      <c r="J59" s="572"/>
      <c r="K59" s="592"/>
      <c r="L59" s="592"/>
      <c r="M59" s="572"/>
      <c r="N59" s="572"/>
      <c r="O59" s="592">
        <v>548</v>
      </c>
      <c r="P59" s="592">
        <v>606636</v>
      </c>
      <c r="Q59" s="577"/>
      <c r="R59" s="593">
        <v>1107</v>
      </c>
    </row>
    <row r="60" spans="1:18" ht="14.4" customHeight="1" x14ac:dyDescent="0.3">
      <c r="A60" s="571" t="s">
        <v>1002</v>
      </c>
      <c r="B60" s="572" t="s">
        <v>1003</v>
      </c>
      <c r="C60" s="572" t="s">
        <v>457</v>
      </c>
      <c r="D60" s="572" t="s">
        <v>973</v>
      </c>
      <c r="E60" s="572" t="s">
        <v>1054</v>
      </c>
      <c r="F60" s="572" t="s">
        <v>1055</v>
      </c>
      <c r="G60" s="592"/>
      <c r="H60" s="592"/>
      <c r="I60" s="572"/>
      <c r="J60" s="572"/>
      <c r="K60" s="592"/>
      <c r="L60" s="592"/>
      <c r="M60" s="572"/>
      <c r="N60" s="572"/>
      <c r="O60" s="592">
        <v>317</v>
      </c>
      <c r="P60" s="592">
        <v>2355310</v>
      </c>
      <c r="Q60" s="577"/>
      <c r="R60" s="593">
        <v>7430</v>
      </c>
    </row>
    <row r="61" spans="1:18" ht="14.4" customHeight="1" x14ac:dyDescent="0.3">
      <c r="A61" s="571" t="s">
        <v>1002</v>
      </c>
      <c r="B61" s="572" t="s">
        <v>1003</v>
      </c>
      <c r="C61" s="572" t="s">
        <v>457</v>
      </c>
      <c r="D61" s="572" t="s">
        <v>973</v>
      </c>
      <c r="E61" s="572" t="s">
        <v>1054</v>
      </c>
      <c r="F61" s="572" t="s">
        <v>1056</v>
      </c>
      <c r="G61" s="592"/>
      <c r="H61" s="592"/>
      <c r="I61" s="572"/>
      <c r="J61" s="572"/>
      <c r="K61" s="592"/>
      <c r="L61" s="592"/>
      <c r="M61" s="572"/>
      <c r="N61" s="572"/>
      <c r="O61" s="592">
        <v>5</v>
      </c>
      <c r="P61" s="592">
        <v>37150</v>
      </c>
      <c r="Q61" s="577"/>
      <c r="R61" s="593">
        <v>7430</v>
      </c>
    </row>
    <row r="62" spans="1:18" ht="14.4" customHeight="1" x14ac:dyDescent="0.3">
      <c r="A62" s="571" t="s">
        <v>1002</v>
      </c>
      <c r="B62" s="572" t="s">
        <v>1003</v>
      </c>
      <c r="C62" s="572" t="s">
        <v>457</v>
      </c>
      <c r="D62" s="572" t="s">
        <v>973</v>
      </c>
      <c r="E62" s="572" t="s">
        <v>1057</v>
      </c>
      <c r="F62" s="572" t="s">
        <v>1058</v>
      </c>
      <c r="G62" s="592"/>
      <c r="H62" s="592"/>
      <c r="I62" s="572"/>
      <c r="J62" s="572"/>
      <c r="K62" s="592"/>
      <c r="L62" s="592"/>
      <c r="M62" s="572"/>
      <c r="N62" s="572"/>
      <c r="O62" s="592">
        <v>16</v>
      </c>
      <c r="P62" s="592">
        <v>61360</v>
      </c>
      <c r="Q62" s="577"/>
      <c r="R62" s="593">
        <v>3835</v>
      </c>
    </row>
    <row r="63" spans="1:18" ht="14.4" customHeight="1" x14ac:dyDescent="0.3">
      <c r="A63" s="571" t="s">
        <v>1002</v>
      </c>
      <c r="B63" s="572" t="s">
        <v>1003</v>
      </c>
      <c r="C63" s="572" t="s">
        <v>457</v>
      </c>
      <c r="D63" s="572" t="s">
        <v>973</v>
      </c>
      <c r="E63" s="572" t="s">
        <v>1057</v>
      </c>
      <c r="F63" s="572" t="s">
        <v>1059</v>
      </c>
      <c r="G63" s="592"/>
      <c r="H63" s="592"/>
      <c r="I63" s="572"/>
      <c r="J63" s="572"/>
      <c r="K63" s="592"/>
      <c r="L63" s="592"/>
      <c r="M63" s="572"/>
      <c r="N63" s="572"/>
      <c r="O63" s="592">
        <v>555</v>
      </c>
      <c r="P63" s="592">
        <v>2128425</v>
      </c>
      <c r="Q63" s="577"/>
      <c r="R63" s="593">
        <v>3835</v>
      </c>
    </row>
    <row r="64" spans="1:18" ht="14.4" customHeight="1" x14ac:dyDescent="0.3">
      <c r="A64" s="571" t="s">
        <v>1002</v>
      </c>
      <c r="B64" s="572" t="s">
        <v>1003</v>
      </c>
      <c r="C64" s="572" t="s">
        <v>457</v>
      </c>
      <c r="D64" s="572" t="s">
        <v>973</v>
      </c>
      <c r="E64" s="572" t="s">
        <v>1060</v>
      </c>
      <c r="F64" s="572" t="s">
        <v>1061</v>
      </c>
      <c r="G64" s="592"/>
      <c r="H64" s="592"/>
      <c r="I64" s="572"/>
      <c r="J64" s="572"/>
      <c r="K64" s="592"/>
      <c r="L64" s="592"/>
      <c r="M64" s="572"/>
      <c r="N64" s="572"/>
      <c r="O64" s="592">
        <v>45</v>
      </c>
      <c r="P64" s="592">
        <v>107775</v>
      </c>
      <c r="Q64" s="577"/>
      <c r="R64" s="593">
        <v>2395</v>
      </c>
    </row>
    <row r="65" spans="1:18" ht="14.4" customHeight="1" x14ac:dyDescent="0.3">
      <c r="A65" s="571" t="s">
        <v>1002</v>
      </c>
      <c r="B65" s="572" t="s">
        <v>1003</v>
      </c>
      <c r="C65" s="572" t="s">
        <v>457</v>
      </c>
      <c r="D65" s="572" t="s">
        <v>973</v>
      </c>
      <c r="E65" s="572" t="s">
        <v>1060</v>
      </c>
      <c r="F65" s="572" t="s">
        <v>1062</v>
      </c>
      <c r="G65" s="592"/>
      <c r="H65" s="592"/>
      <c r="I65" s="572"/>
      <c r="J65" s="572"/>
      <c r="K65" s="592"/>
      <c r="L65" s="592"/>
      <c r="M65" s="572"/>
      <c r="N65" s="572"/>
      <c r="O65" s="592">
        <v>4</v>
      </c>
      <c r="P65" s="592">
        <v>9580</v>
      </c>
      <c r="Q65" s="577"/>
      <c r="R65" s="593">
        <v>2395</v>
      </c>
    </row>
    <row r="66" spans="1:18" ht="14.4" customHeight="1" x14ac:dyDescent="0.3">
      <c r="A66" s="571" t="s">
        <v>1002</v>
      </c>
      <c r="B66" s="572" t="s">
        <v>1003</v>
      </c>
      <c r="C66" s="572" t="s">
        <v>457</v>
      </c>
      <c r="D66" s="572" t="s">
        <v>973</v>
      </c>
      <c r="E66" s="572" t="s">
        <v>1063</v>
      </c>
      <c r="F66" s="572" t="s">
        <v>1064</v>
      </c>
      <c r="G66" s="592"/>
      <c r="H66" s="592"/>
      <c r="I66" s="572"/>
      <c r="J66" s="572"/>
      <c r="K66" s="592"/>
      <c r="L66" s="592"/>
      <c r="M66" s="572"/>
      <c r="N66" s="572"/>
      <c r="O66" s="592">
        <v>23</v>
      </c>
      <c r="P66" s="592">
        <v>816477</v>
      </c>
      <c r="Q66" s="577"/>
      <c r="R66" s="593">
        <v>35499</v>
      </c>
    </row>
    <row r="67" spans="1:18" ht="14.4" customHeight="1" x14ac:dyDescent="0.3">
      <c r="A67" s="571" t="s">
        <v>1002</v>
      </c>
      <c r="B67" s="572" t="s">
        <v>1003</v>
      </c>
      <c r="C67" s="572" t="s">
        <v>457</v>
      </c>
      <c r="D67" s="572" t="s">
        <v>973</v>
      </c>
      <c r="E67" s="572" t="s">
        <v>1065</v>
      </c>
      <c r="F67" s="572" t="s">
        <v>1066</v>
      </c>
      <c r="G67" s="592"/>
      <c r="H67" s="592"/>
      <c r="I67" s="572"/>
      <c r="J67" s="572"/>
      <c r="K67" s="592"/>
      <c r="L67" s="592"/>
      <c r="M67" s="572"/>
      <c r="N67" s="572"/>
      <c r="O67" s="592">
        <v>8</v>
      </c>
      <c r="P67" s="592">
        <v>70448</v>
      </c>
      <c r="Q67" s="577"/>
      <c r="R67" s="593">
        <v>8806</v>
      </c>
    </row>
    <row r="68" spans="1:18" ht="14.4" customHeight="1" x14ac:dyDescent="0.3">
      <c r="A68" s="571" t="s">
        <v>1002</v>
      </c>
      <c r="B68" s="572" t="s">
        <v>1003</v>
      </c>
      <c r="C68" s="572" t="s">
        <v>457</v>
      </c>
      <c r="D68" s="572" t="s">
        <v>973</v>
      </c>
      <c r="E68" s="572" t="s">
        <v>1067</v>
      </c>
      <c r="F68" s="572" t="s">
        <v>1068</v>
      </c>
      <c r="G68" s="592"/>
      <c r="H68" s="592"/>
      <c r="I68" s="572"/>
      <c r="J68" s="572"/>
      <c r="K68" s="592"/>
      <c r="L68" s="592"/>
      <c r="M68" s="572"/>
      <c r="N68" s="572"/>
      <c r="O68" s="592">
        <v>8</v>
      </c>
      <c r="P68" s="592">
        <v>80000</v>
      </c>
      <c r="Q68" s="577"/>
      <c r="R68" s="593">
        <v>10000</v>
      </c>
    </row>
    <row r="69" spans="1:18" ht="14.4" customHeight="1" x14ac:dyDescent="0.3">
      <c r="A69" s="571" t="s">
        <v>1002</v>
      </c>
      <c r="B69" s="572" t="s">
        <v>1003</v>
      </c>
      <c r="C69" s="572" t="s">
        <v>457</v>
      </c>
      <c r="D69" s="572" t="s">
        <v>973</v>
      </c>
      <c r="E69" s="572" t="s">
        <v>1069</v>
      </c>
      <c r="F69" s="572" t="s">
        <v>1070</v>
      </c>
      <c r="G69" s="592"/>
      <c r="H69" s="592"/>
      <c r="I69" s="572"/>
      <c r="J69" s="572"/>
      <c r="K69" s="592"/>
      <c r="L69" s="592"/>
      <c r="M69" s="572"/>
      <c r="N69" s="572"/>
      <c r="O69" s="592">
        <v>133</v>
      </c>
      <c r="P69" s="592">
        <v>1431966.6800000002</v>
      </c>
      <c r="Q69" s="577"/>
      <c r="R69" s="593">
        <v>10766.666766917295</v>
      </c>
    </row>
    <row r="70" spans="1:18" ht="14.4" customHeight="1" x14ac:dyDescent="0.3">
      <c r="A70" s="571" t="s">
        <v>1002</v>
      </c>
      <c r="B70" s="572" t="s">
        <v>1003</v>
      </c>
      <c r="C70" s="572" t="s">
        <v>457</v>
      </c>
      <c r="D70" s="572" t="s">
        <v>973</v>
      </c>
      <c r="E70" s="572" t="s">
        <v>1069</v>
      </c>
      <c r="F70" s="572" t="s">
        <v>1071</v>
      </c>
      <c r="G70" s="592"/>
      <c r="H70" s="592"/>
      <c r="I70" s="572"/>
      <c r="J70" s="572"/>
      <c r="K70" s="592"/>
      <c r="L70" s="592"/>
      <c r="M70" s="572"/>
      <c r="N70" s="572"/>
      <c r="O70" s="592">
        <v>5</v>
      </c>
      <c r="P70" s="592">
        <v>53833.34</v>
      </c>
      <c r="Q70" s="577"/>
      <c r="R70" s="593">
        <v>10766.668</v>
      </c>
    </row>
    <row r="71" spans="1:18" ht="14.4" customHeight="1" x14ac:dyDescent="0.3">
      <c r="A71" s="571" t="s">
        <v>1002</v>
      </c>
      <c r="B71" s="572" t="s">
        <v>1003</v>
      </c>
      <c r="C71" s="572" t="s">
        <v>457</v>
      </c>
      <c r="D71" s="572" t="s">
        <v>973</v>
      </c>
      <c r="E71" s="572" t="s">
        <v>1072</v>
      </c>
      <c r="F71" s="572" t="s">
        <v>1073</v>
      </c>
      <c r="G71" s="592"/>
      <c r="H71" s="592"/>
      <c r="I71" s="572"/>
      <c r="J71" s="572"/>
      <c r="K71" s="592"/>
      <c r="L71" s="592"/>
      <c r="M71" s="572"/>
      <c r="N71" s="572"/>
      <c r="O71" s="592">
        <v>48</v>
      </c>
      <c r="P71" s="592">
        <v>400000</v>
      </c>
      <c r="Q71" s="577"/>
      <c r="R71" s="593">
        <v>8333.3333333333339</v>
      </c>
    </row>
    <row r="72" spans="1:18" ht="14.4" customHeight="1" x14ac:dyDescent="0.3">
      <c r="A72" s="571" t="s">
        <v>1002</v>
      </c>
      <c r="B72" s="572" t="s">
        <v>1003</v>
      </c>
      <c r="C72" s="572" t="s">
        <v>457</v>
      </c>
      <c r="D72" s="572" t="s">
        <v>973</v>
      </c>
      <c r="E72" s="572" t="s">
        <v>1074</v>
      </c>
      <c r="F72" s="572" t="s">
        <v>1075</v>
      </c>
      <c r="G72" s="592"/>
      <c r="H72" s="592"/>
      <c r="I72" s="572"/>
      <c r="J72" s="572"/>
      <c r="K72" s="592"/>
      <c r="L72" s="592"/>
      <c r="M72" s="572"/>
      <c r="N72" s="572"/>
      <c r="O72" s="592">
        <v>102</v>
      </c>
      <c r="P72" s="592">
        <v>0</v>
      </c>
      <c r="Q72" s="577"/>
      <c r="R72" s="593">
        <v>0</v>
      </c>
    </row>
    <row r="73" spans="1:18" ht="14.4" customHeight="1" x14ac:dyDescent="0.3">
      <c r="A73" s="571" t="s">
        <v>1002</v>
      </c>
      <c r="B73" s="572" t="s">
        <v>1003</v>
      </c>
      <c r="C73" s="572" t="s">
        <v>457</v>
      </c>
      <c r="D73" s="572" t="s">
        <v>973</v>
      </c>
      <c r="E73" s="572" t="s">
        <v>1074</v>
      </c>
      <c r="F73" s="572" t="s">
        <v>1076</v>
      </c>
      <c r="G73" s="592"/>
      <c r="H73" s="592"/>
      <c r="I73" s="572"/>
      <c r="J73" s="572"/>
      <c r="K73" s="592"/>
      <c r="L73" s="592"/>
      <c r="M73" s="572"/>
      <c r="N73" s="572"/>
      <c r="O73" s="592">
        <v>5</v>
      </c>
      <c r="P73" s="592">
        <v>0</v>
      </c>
      <c r="Q73" s="577"/>
      <c r="R73" s="593">
        <v>0</v>
      </c>
    </row>
    <row r="74" spans="1:18" ht="14.4" customHeight="1" x14ac:dyDescent="0.3">
      <c r="A74" s="571" t="s">
        <v>1002</v>
      </c>
      <c r="B74" s="572" t="s">
        <v>1003</v>
      </c>
      <c r="C74" s="572" t="s">
        <v>457</v>
      </c>
      <c r="D74" s="572" t="s">
        <v>973</v>
      </c>
      <c r="E74" s="572" t="s">
        <v>1077</v>
      </c>
      <c r="F74" s="572" t="s">
        <v>1078</v>
      </c>
      <c r="G74" s="592"/>
      <c r="H74" s="592"/>
      <c r="I74" s="572"/>
      <c r="J74" s="572"/>
      <c r="K74" s="592"/>
      <c r="L74" s="592"/>
      <c r="M74" s="572"/>
      <c r="N74" s="572"/>
      <c r="O74" s="592">
        <v>9</v>
      </c>
      <c r="P74" s="592">
        <v>74250</v>
      </c>
      <c r="Q74" s="577"/>
      <c r="R74" s="593">
        <v>8250</v>
      </c>
    </row>
    <row r="75" spans="1:18" ht="14.4" customHeight="1" x14ac:dyDescent="0.3">
      <c r="A75" s="571" t="s">
        <v>1002</v>
      </c>
      <c r="B75" s="572" t="s">
        <v>1003</v>
      </c>
      <c r="C75" s="572" t="s">
        <v>457</v>
      </c>
      <c r="D75" s="572" t="s">
        <v>973</v>
      </c>
      <c r="E75" s="572" t="s">
        <v>1079</v>
      </c>
      <c r="F75" s="572" t="s">
        <v>1080</v>
      </c>
      <c r="G75" s="592"/>
      <c r="H75" s="592"/>
      <c r="I75" s="572"/>
      <c r="J75" s="572"/>
      <c r="K75" s="592"/>
      <c r="L75" s="592"/>
      <c r="M75" s="572"/>
      <c r="N75" s="572"/>
      <c r="O75" s="592">
        <v>8</v>
      </c>
      <c r="P75" s="592">
        <v>0</v>
      </c>
      <c r="Q75" s="577"/>
      <c r="R75" s="593">
        <v>0</v>
      </c>
    </row>
    <row r="76" spans="1:18" ht="14.4" customHeight="1" x14ac:dyDescent="0.3">
      <c r="A76" s="571" t="s">
        <v>1002</v>
      </c>
      <c r="B76" s="572" t="s">
        <v>1003</v>
      </c>
      <c r="C76" s="572" t="s">
        <v>457</v>
      </c>
      <c r="D76" s="572" t="s">
        <v>973</v>
      </c>
      <c r="E76" s="572" t="s">
        <v>1079</v>
      </c>
      <c r="F76" s="572" t="s">
        <v>1081</v>
      </c>
      <c r="G76" s="592"/>
      <c r="H76" s="592"/>
      <c r="I76" s="572"/>
      <c r="J76" s="572"/>
      <c r="K76" s="592"/>
      <c r="L76" s="592"/>
      <c r="M76" s="572"/>
      <c r="N76" s="572"/>
      <c r="O76" s="592">
        <v>2</v>
      </c>
      <c r="P76" s="592">
        <v>0</v>
      </c>
      <c r="Q76" s="577"/>
      <c r="R76" s="593">
        <v>0</v>
      </c>
    </row>
    <row r="77" spans="1:18" ht="14.4" customHeight="1" x14ac:dyDescent="0.3">
      <c r="A77" s="571" t="s">
        <v>1002</v>
      </c>
      <c r="B77" s="572" t="s">
        <v>1003</v>
      </c>
      <c r="C77" s="572" t="s">
        <v>457</v>
      </c>
      <c r="D77" s="572" t="s">
        <v>973</v>
      </c>
      <c r="E77" s="572" t="s">
        <v>1082</v>
      </c>
      <c r="F77" s="572" t="s">
        <v>1083</v>
      </c>
      <c r="G77" s="592"/>
      <c r="H77" s="592"/>
      <c r="I77" s="572"/>
      <c r="J77" s="572"/>
      <c r="K77" s="592"/>
      <c r="L77" s="592"/>
      <c r="M77" s="572"/>
      <c r="N77" s="572"/>
      <c r="O77" s="592">
        <v>0</v>
      </c>
      <c r="P77" s="592">
        <v>0</v>
      </c>
      <c r="Q77" s="577"/>
      <c r="R77" s="593"/>
    </row>
    <row r="78" spans="1:18" ht="14.4" customHeight="1" x14ac:dyDescent="0.3">
      <c r="A78" s="571" t="s">
        <v>1002</v>
      </c>
      <c r="B78" s="572" t="s">
        <v>1003</v>
      </c>
      <c r="C78" s="572" t="s">
        <v>457</v>
      </c>
      <c r="D78" s="572" t="s">
        <v>973</v>
      </c>
      <c r="E78" s="572" t="s">
        <v>1084</v>
      </c>
      <c r="F78" s="572" t="s">
        <v>1085</v>
      </c>
      <c r="G78" s="592"/>
      <c r="H78" s="592"/>
      <c r="I78" s="572"/>
      <c r="J78" s="572"/>
      <c r="K78" s="592"/>
      <c r="L78" s="592"/>
      <c r="M78" s="572"/>
      <c r="N78" s="572"/>
      <c r="O78" s="592">
        <v>14</v>
      </c>
      <c r="P78" s="592">
        <v>427777.82</v>
      </c>
      <c r="Q78" s="577"/>
      <c r="R78" s="593">
        <v>30555.558571428573</v>
      </c>
    </row>
    <row r="79" spans="1:18" ht="14.4" customHeight="1" x14ac:dyDescent="0.3">
      <c r="A79" s="571" t="s">
        <v>1002</v>
      </c>
      <c r="B79" s="572" t="s">
        <v>1003</v>
      </c>
      <c r="C79" s="572" t="s">
        <v>457</v>
      </c>
      <c r="D79" s="572" t="s">
        <v>973</v>
      </c>
      <c r="E79" s="572" t="s">
        <v>1086</v>
      </c>
      <c r="F79" s="572" t="s">
        <v>1087</v>
      </c>
      <c r="G79" s="592"/>
      <c r="H79" s="592"/>
      <c r="I79" s="572"/>
      <c r="J79" s="572"/>
      <c r="K79" s="592"/>
      <c r="L79" s="592"/>
      <c r="M79" s="572"/>
      <c r="N79" s="572"/>
      <c r="O79" s="592">
        <v>17</v>
      </c>
      <c r="P79" s="592">
        <v>72420</v>
      </c>
      <c r="Q79" s="577"/>
      <c r="R79" s="593">
        <v>4260</v>
      </c>
    </row>
    <row r="80" spans="1:18" ht="14.4" customHeight="1" x14ac:dyDescent="0.3">
      <c r="A80" s="571" t="s">
        <v>1002</v>
      </c>
      <c r="B80" s="572" t="s">
        <v>1003</v>
      </c>
      <c r="C80" s="572" t="s">
        <v>457</v>
      </c>
      <c r="D80" s="572" t="s">
        <v>973</v>
      </c>
      <c r="E80" s="572" t="s">
        <v>1088</v>
      </c>
      <c r="F80" s="572" t="s">
        <v>1089</v>
      </c>
      <c r="G80" s="592"/>
      <c r="H80" s="592"/>
      <c r="I80" s="572"/>
      <c r="J80" s="572"/>
      <c r="K80" s="592"/>
      <c r="L80" s="592"/>
      <c r="M80" s="572"/>
      <c r="N80" s="572"/>
      <c r="O80" s="592">
        <v>9</v>
      </c>
      <c r="P80" s="592">
        <v>47900</v>
      </c>
      <c r="Q80" s="577"/>
      <c r="R80" s="593">
        <v>5322.2222222222226</v>
      </c>
    </row>
    <row r="81" spans="1:18" ht="14.4" customHeight="1" x14ac:dyDescent="0.3">
      <c r="A81" s="571" t="s">
        <v>1002</v>
      </c>
      <c r="B81" s="572" t="s">
        <v>1003</v>
      </c>
      <c r="C81" s="572" t="s">
        <v>457</v>
      </c>
      <c r="D81" s="572" t="s">
        <v>973</v>
      </c>
      <c r="E81" s="572" t="s">
        <v>1090</v>
      </c>
      <c r="F81" s="572" t="s">
        <v>1091</v>
      </c>
      <c r="G81" s="592"/>
      <c r="H81" s="592"/>
      <c r="I81" s="572"/>
      <c r="J81" s="572"/>
      <c r="K81" s="592"/>
      <c r="L81" s="592"/>
      <c r="M81" s="572"/>
      <c r="N81" s="572"/>
      <c r="O81" s="592">
        <v>30</v>
      </c>
      <c r="P81" s="592">
        <v>1320000</v>
      </c>
      <c r="Q81" s="577"/>
      <c r="R81" s="593">
        <v>44000</v>
      </c>
    </row>
    <row r="82" spans="1:18" ht="14.4" customHeight="1" thickBot="1" x14ac:dyDescent="0.35">
      <c r="A82" s="579" t="s">
        <v>1002</v>
      </c>
      <c r="B82" s="580" t="s">
        <v>1003</v>
      </c>
      <c r="C82" s="580" t="s">
        <v>457</v>
      </c>
      <c r="D82" s="580" t="s">
        <v>973</v>
      </c>
      <c r="E82" s="580" t="s">
        <v>1090</v>
      </c>
      <c r="F82" s="580" t="s">
        <v>1092</v>
      </c>
      <c r="G82" s="594"/>
      <c r="H82" s="594"/>
      <c r="I82" s="580"/>
      <c r="J82" s="580"/>
      <c r="K82" s="594"/>
      <c r="L82" s="594"/>
      <c r="M82" s="580"/>
      <c r="N82" s="580"/>
      <c r="O82" s="594">
        <v>14</v>
      </c>
      <c r="P82" s="594">
        <v>616000</v>
      </c>
      <c r="Q82" s="585"/>
      <c r="R82" s="595">
        <v>44000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85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29" customWidth="1"/>
    <col min="2" max="2" width="8.6640625" style="129" bestFit="1" customWidth="1"/>
    <col min="3" max="3" width="6.109375" style="129" customWidth="1"/>
    <col min="4" max="4" width="27.77734375" style="129" customWidth="1"/>
    <col min="5" max="5" width="2.109375" style="129" bestFit="1" customWidth="1"/>
    <col min="6" max="6" width="8" style="129" customWidth="1"/>
    <col min="7" max="7" width="50.88671875" style="129" bestFit="1" customWidth="1" collapsed="1"/>
    <col min="8" max="9" width="11.109375" style="207" hidden="1" customWidth="1" outlineLevel="1"/>
    <col min="10" max="11" width="9.33203125" style="129" hidden="1" customWidth="1"/>
    <col min="12" max="13" width="11.109375" style="207" customWidth="1"/>
    <col min="14" max="15" width="9.33203125" style="129" hidden="1" customWidth="1"/>
    <col min="16" max="17" width="11.109375" style="207" customWidth="1"/>
    <col min="18" max="18" width="11.109375" style="210" customWidth="1"/>
    <col min="19" max="19" width="11.109375" style="207" customWidth="1"/>
    <col min="20" max="16384" width="8.88671875" style="129"/>
  </cols>
  <sheetData>
    <row r="1" spans="1:19" ht="18.600000000000001" customHeight="1" thickBot="1" x14ac:dyDescent="0.4">
      <c r="A1" s="329" t="s">
        <v>1094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" customHeight="1" thickBot="1" x14ac:dyDescent="0.35">
      <c r="A2" s="232" t="s">
        <v>265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" customHeight="1" thickBot="1" x14ac:dyDescent="0.35">
      <c r="G3" s="87" t="s">
        <v>127</v>
      </c>
      <c r="H3" s="102">
        <f t="shared" ref="H3:Q3" si="0">SUBTOTAL(9,H6:H1048576)</f>
        <v>32011</v>
      </c>
      <c r="I3" s="103">
        <f t="shared" si="0"/>
        <v>58472976.75</v>
      </c>
      <c r="J3" s="74"/>
      <c r="K3" s="74"/>
      <c r="L3" s="103">
        <f t="shared" si="0"/>
        <v>20133</v>
      </c>
      <c r="M3" s="103">
        <f t="shared" si="0"/>
        <v>38577270.700000003</v>
      </c>
      <c r="N3" s="74"/>
      <c r="O3" s="74"/>
      <c r="P3" s="103">
        <f t="shared" si="0"/>
        <v>10507</v>
      </c>
      <c r="Q3" s="103">
        <f t="shared" si="0"/>
        <v>19614592.469999999</v>
      </c>
      <c r="R3" s="75">
        <f>IF(M3=0,0,Q3/M3)</f>
        <v>0.50844946037097427</v>
      </c>
      <c r="S3" s="104">
        <f>IF(P3=0,0,Q3/P3)</f>
        <v>1866.8118844579803</v>
      </c>
    </row>
    <row r="4" spans="1:19" ht="14.4" customHeight="1" x14ac:dyDescent="0.3">
      <c r="A4" s="446" t="s">
        <v>207</v>
      </c>
      <c r="B4" s="446" t="s">
        <v>94</v>
      </c>
      <c r="C4" s="454" t="s">
        <v>0</v>
      </c>
      <c r="D4" s="266" t="s">
        <v>134</v>
      </c>
      <c r="E4" s="448" t="s">
        <v>95</v>
      </c>
      <c r="F4" s="453" t="s">
        <v>70</v>
      </c>
      <c r="G4" s="449" t="s">
        <v>69</v>
      </c>
      <c r="H4" s="450">
        <v>2015</v>
      </c>
      <c r="I4" s="451"/>
      <c r="J4" s="101"/>
      <c r="K4" s="101"/>
      <c r="L4" s="450">
        <v>2017</v>
      </c>
      <c r="M4" s="451"/>
      <c r="N4" s="101"/>
      <c r="O4" s="101"/>
      <c r="P4" s="450">
        <v>2018</v>
      </c>
      <c r="Q4" s="451"/>
      <c r="R4" s="452" t="s">
        <v>2</v>
      </c>
      <c r="S4" s="447" t="s">
        <v>97</v>
      </c>
    </row>
    <row r="5" spans="1:19" ht="14.4" customHeight="1" thickBot="1" x14ac:dyDescent="0.35">
      <c r="A5" s="642"/>
      <c r="B5" s="642"/>
      <c r="C5" s="643"/>
      <c r="D5" s="652"/>
      <c r="E5" s="644"/>
      <c r="F5" s="645"/>
      <c r="G5" s="646"/>
      <c r="H5" s="647" t="s">
        <v>71</v>
      </c>
      <c r="I5" s="648" t="s">
        <v>14</v>
      </c>
      <c r="J5" s="649"/>
      <c r="K5" s="649"/>
      <c r="L5" s="647" t="s">
        <v>71</v>
      </c>
      <c r="M5" s="648" t="s">
        <v>14</v>
      </c>
      <c r="N5" s="649"/>
      <c r="O5" s="649"/>
      <c r="P5" s="647" t="s">
        <v>71</v>
      </c>
      <c r="Q5" s="648" t="s">
        <v>14</v>
      </c>
      <c r="R5" s="650"/>
      <c r="S5" s="651"/>
    </row>
    <row r="6" spans="1:19" ht="14.4" customHeight="1" x14ac:dyDescent="0.3">
      <c r="A6" s="564" t="s">
        <v>971</v>
      </c>
      <c r="B6" s="565" t="s">
        <v>972</v>
      </c>
      <c r="C6" s="565" t="s">
        <v>452</v>
      </c>
      <c r="D6" s="565" t="s">
        <v>969</v>
      </c>
      <c r="E6" s="565" t="s">
        <v>973</v>
      </c>
      <c r="F6" s="565" t="s">
        <v>974</v>
      </c>
      <c r="G6" s="565" t="s">
        <v>975</v>
      </c>
      <c r="H6" s="116"/>
      <c r="I6" s="116"/>
      <c r="J6" s="565"/>
      <c r="K6" s="565"/>
      <c r="L6" s="116">
        <v>1</v>
      </c>
      <c r="M6" s="116">
        <v>37</v>
      </c>
      <c r="N6" s="565">
        <v>1</v>
      </c>
      <c r="O6" s="565">
        <v>37</v>
      </c>
      <c r="P6" s="116"/>
      <c r="Q6" s="116"/>
      <c r="R6" s="570"/>
      <c r="S6" s="591"/>
    </row>
    <row r="7" spans="1:19" ht="14.4" customHeight="1" x14ac:dyDescent="0.3">
      <c r="A7" s="571" t="s">
        <v>971</v>
      </c>
      <c r="B7" s="572" t="s">
        <v>972</v>
      </c>
      <c r="C7" s="572" t="s">
        <v>452</v>
      </c>
      <c r="D7" s="572" t="s">
        <v>969</v>
      </c>
      <c r="E7" s="572" t="s">
        <v>973</v>
      </c>
      <c r="F7" s="572" t="s">
        <v>974</v>
      </c>
      <c r="G7" s="572" t="s">
        <v>976</v>
      </c>
      <c r="H7" s="592">
        <v>3</v>
      </c>
      <c r="I7" s="592">
        <v>111</v>
      </c>
      <c r="J7" s="572"/>
      <c r="K7" s="572">
        <v>37</v>
      </c>
      <c r="L7" s="592"/>
      <c r="M7" s="592"/>
      <c r="N7" s="572"/>
      <c r="O7" s="572"/>
      <c r="P7" s="592"/>
      <c r="Q7" s="592"/>
      <c r="R7" s="577"/>
      <c r="S7" s="593"/>
    </row>
    <row r="8" spans="1:19" ht="14.4" customHeight="1" x14ac:dyDescent="0.3">
      <c r="A8" s="571" t="s">
        <v>971</v>
      </c>
      <c r="B8" s="572" t="s">
        <v>972</v>
      </c>
      <c r="C8" s="572" t="s">
        <v>452</v>
      </c>
      <c r="D8" s="572" t="s">
        <v>969</v>
      </c>
      <c r="E8" s="572" t="s">
        <v>973</v>
      </c>
      <c r="F8" s="572" t="s">
        <v>977</v>
      </c>
      <c r="G8" s="572" t="s">
        <v>978</v>
      </c>
      <c r="H8" s="592">
        <v>1</v>
      </c>
      <c r="I8" s="592">
        <v>74</v>
      </c>
      <c r="J8" s="572"/>
      <c r="K8" s="572">
        <v>74</v>
      </c>
      <c r="L8" s="592"/>
      <c r="M8" s="592"/>
      <c r="N8" s="572"/>
      <c r="O8" s="572"/>
      <c r="P8" s="592"/>
      <c r="Q8" s="592"/>
      <c r="R8" s="577"/>
      <c r="S8" s="593"/>
    </row>
    <row r="9" spans="1:19" ht="14.4" customHeight="1" x14ac:dyDescent="0.3">
      <c r="A9" s="571" t="s">
        <v>971</v>
      </c>
      <c r="B9" s="572" t="s">
        <v>979</v>
      </c>
      <c r="C9" s="572" t="s">
        <v>452</v>
      </c>
      <c r="D9" s="572" t="s">
        <v>965</v>
      </c>
      <c r="E9" s="572" t="s">
        <v>973</v>
      </c>
      <c r="F9" s="572" t="s">
        <v>980</v>
      </c>
      <c r="G9" s="572" t="s">
        <v>981</v>
      </c>
      <c r="H9" s="592">
        <v>59</v>
      </c>
      <c r="I9" s="592">
        <v>3894</v>
      </c>
      <c r="J9" s="572">
        <v>1.2553191489361701</v>
      </c>
      <c r="K9" s="572">
        <v>66</v>
      </c>
      <c r="L9" s="592">
        <v>47</v>
      </c>
      <c r="M9" s="592">
        <v>3102</v>
      </c>
      <c r="N9" s="572">
        <v>1</v>
      </c>
      <c r="O9" s="572">
        <v>66</v>
      </c>
      <c r="P9" s="592">
        <v>42</v>
      </c>
      <c r="Q9" s="592">
        <v>2772</v>
      </c>
      <c r="R9" s="577">
        <v>0.8936170212765957</v>
      </c>
      <c r="S9" s="593">
        <v>66</v>
      </c>
    </row>
    <row r="10" spans="1:19" ht="14.4" customHeight="1" x14ac:dyDescent="0.3">
      <c r="A10" s="571" t="s">
        <v>971</v>
      </c>
      <c r="B10" s="572" t="s">
        <v>979</v>
      </c>
      <c r="C10" s="572" t="s">
        <v>452</v>
      </c>
      <c r="D10" s="572" t="s">
        <v>965</v>
      </c>
      <c r="E10" s="572" t="s">
        <v>973</v>
      </c>
      <c r="F10" s="572" t="s">
        <v>980</v>
      </c>
      <c r="G10" s="572" t="s">
        <v>982</v>
      </c>
      <c r="H10" s="592">
        <v>17</v>
      </c>
      <c r="I10" s="592">
        <v>1122</v>
      </c>
      <c r="J10" s="572">
        <v>1.4166666666666667</v>
      </c>
      <c r="K10" s="572">
        <v>66</v>
      </c>
      <c r="L10" s="592">
        <v>12</v>
      </c>
      <c r="M10" s="592">
        <v>792</v>
      </c>
      <c r="N10" s="572">
        <v>1</v>
      </c>
      <c r="O10" s="572">
        <v>66</v>
      </c>
      <c r="P10" s="592">
        <v>13</v>
      </c>
      <c r="Q10" s="592">
        <v>858</v>
      </c>
      <c r="R10" s="577">
        <v>1.0833333333333333</v>
      </c>
      <c r="S10" s="593">
        <v>66</v>
      </c>
    </row>
    <row r="11" spans="1:19" ht="14.4" customHeight="1" x14ac:dyDescent="0.3">
      <c r="A11" s="571" t="s">
        <v>971</v>
      </c>
      <c r="B11" s="572" t="s">
        <v>979</v>
      </c>
      <c r="C11" s="572" t="s">
        <v>452</v>
      </c>
      <c r="D11" s="572" t="s">
        <v>965</v>
      </c>
      <c r="E11" s="572" t="s">
        <v>973</v>
      </c>
      <c r="F11" s="572" t="s">
        <v>974</v>
      </c>
      <c r="G11" s="572" t="s">
        <v>975</v>
      </c>
      <c r="H11" s="592">
        <v>177</v>
      </c>
      <c r="I11" s="592">
        <v>6549</v>
      </c>
      <c r="J11" s="572">
        <v>1.2464788732394365</v>
      </c>
      <c r="K11" s="572">
        <v>37</v>
      </c>
      <c r="L11" s="592">
        <v>142</v>
      </c>
      <c r="M11" s="592">
        <v>5254</v>
      </c>
      <c r="N11" s="572">
        <v>1</v>
      </c>
      <c r="O11" s="572">
        <v>37</v>
      </c>
      <c r="P11" s="592">
        <v>145</v>
      </c>
      <c r="Q11" s="592">
        <v>5365</v>
      </c>
      <c r="R11" s="577">
        <v>1.0211267605633803</v>
      </c>
      <c r="S11" s="593">
        <v>37</v>
      </c>
    </row>
    <row r="12" spans="1:19" ht="14.4" customHeight="1" x14ac:dyDescent="0.3">
      <c r="A12" s="571" t="s">
        <v>971</v>
      </c>
      <c r="B12" s="572" t="s">
        <v>979</v>
      </c>
      <c r="C12" s="572" t="s">
        <v>452</v>
      </c>
      <c r="D12" s="572" t="s">
        <v>965</v>
      </c>
      <c r="E12" s="572" t="s">
        <v>973</v>
      </c>
      <c r="F12" s="572" t="s">
        <v>974</v>
      </c>
      <c r="G12" s="572" t="s">
        <v>976</v>
      </c>
      <c r="H12" s="592"/>
      <c r="I12" s="592"/>
      <c r="J12" s="572"/>
      <c r="K12" s="572"/>
      <c r="L12" s="592">
        <v>5</v>
      </c>
      <c r="M12" s="592">
        <v>185</v>
      </c>
      <c r="N12" s="572">
        <v>1</v>
      </c>
      <c r="O12" s="572">
        <v>37</v>
      </c>
      <c r="P12" s="592">
        <v>1</v>
      </c>
      <c r="Q12" s="592">
        <v>37</v>
      </c>
      <c r="R12" s="577">
        <v>0.2</v>
      </c>
      <c r="S12" s="593">
        <v>37</v>
      </c>
    </row>
    <row r="13" spans="1:19" ht="14.4" customHeight="1" x14ac:dyDescent="0.3">
      <c r="A13" s="571" t="s">
        <v>971</v>
      </c>
      <c r="B13" s="572" t="s">
        <v>979</v>
      </c>
      <c r="C13" s="572" t="s">
        <v>452</v>
      </c>
      <c r="D13" s="572" t="s">
        <v>965</v>
      </c>
      <c r="E13" s="572" t="s">
        <v>973</v>
      </c>
      <c r="F13" s="572" t="s">
        <v>983</v>
      </c>
      <c r="G13" s="572" t="s">
        <v>984</v>
      </c>
      <c r="H13" s="592">
        <v>501</v>
      </c>
      <c r="I13" s="592">
        <v>1241478</v>
      </c>
      <c r="J13" s="572">
        <v>0.86161095996890791</v>
      </c>
      <c r="K13" s="572">
        <v>2478</v>
      </c>
      <c r="L13" s="592">
        <v>581</v>
      </c>
      <c r="M13" s="592">
        <v>1440880</v>
      </c>
      <c r="N13" s="572">
        <v>1</v>
      </c>
      <c r="O13" s="572">
        <v>2480</v>
      </c>
      <c r="P13" s="592">
        <v>581</v>
      </c>
      <c r="Q13" s="592">
        <v>1442623</v>
      </c>
      <c r="R13" s="577">
        <v>1.0012096774193548</v>
      </c>
      <c r="S13" s="593">
        <v>2483</v>
      </c>
    </row>
    <row r="14" spans="1:19" ht="14.4" customHeight="1" x14ac:dyDescent="0.3">
      <c r="A14" s="571" t="s">
        <v>971</v>
      </c>
      <c r="B14" s="572" t="s">
        <v>979</v>
      </c>
      <c r="C14" s="572" t="s">
        <v>452</v>
      </c>
      <c r="D14" s="572" t="s">
        <v>965</v>
      </c>
      <c r="E14" s="572" t="s">
        <v>973</v>
      </c>
      <c r="F14" s="572" t="s">
        <v>985</v>
      </c>
      <c r="G14" s="572" t="s">
        <v>986</v>
      </c>
      <c r="H14" s="592">
        <v>16</v>
      </c>
      <c r="I14" s="592">
        <v>5536</v>
      </c>
      <c r="J14" s="572">
        <v>1.994236311239193</v>
      </c>
      <c r="K14" s="572">
        <v>346</v>
      </c>
      <c r="L14" s="592">
        <v>8</v>
      </c>
      <c r="M14" s="592">
        <v>2776</v>
      </c>
      <c r="N14" s="572">
        <v>1</v>
      </c>
      <c r="O14" s="572">
        <v>347</v>
      </c>
      <c r="P14" s="592">
        <v>107</v>
      </c>
      <c r="Q14" s="592">
        <v>37129</v>
      </c>
      <c r="R14" s="577">
        <v>13.375</v>
      </c>
      <c r="S14" s="593">
        <v>347</v>
      </c>
    </row>
    <row r="15" spans="1:19" ht="14.4" customHeight="1" x14ac:dyDescent="0.3">
      <c r="A15" s="571" t="s">
        <v>971</v>
      </c>
      <c r="B15" s="572" t="s">
        <v>979</v>
      </c>
      <c r="C15" s="572" t="s">
        <v>452</v>
      </c>
      <c r="D15" s="572" t="s">
        <v>965</v>
      </c>
      <c r="E15" s="572" t="s">
        <v>973</v>
      </c>
      <c r="F15" s="572" t="s">
        <v>987</v>
      </c>
      <c r="G15" s="572" t="s">
        <v>988</v>
      </c>
      <c r="H15" s="592">
        <v>26</v>
      </c>
      <c r="I15" s="592">
        <v>9100</v>
      </c>
      <c r="J15" s="572">
        <v>1.0802469135802468</v>
      </c>
      <c r="K15" s="572">
        <v>350</v>
      </c>
      <c r="L15" s="592">
        <v>24</v>
      </c>
      <c r="M15" s="592">
        <v>8424</v>
      </c>
      <c r="N15" s="572">
        <v>1</v>
      </c>
      <c r="O15" s="572">
        <v>351</v>
      </c>
      <c r="P15" s="592">
        <v>15</v>
      </c>
      <c r="Q15" s="592">
        <v>5265</v>
      </c>
      <c r="R15" s="577">
        <v>0.625</v>
      </c>
      <c r="S15" s="593">
        <v>351</v>
      </c>
    </row>
    <row r="16" spans="1:19" ht="14.4" customHeight="1" x14ac:dyDescent="0.3">
      <c r="A16" s="571" t="s">
        <v>971</v>
      </c>
      <c r="B16" s="572" t="s">
        <v>979</v>
      </c>
      <c r="C16" s="572" t="s">
        <v>452</v>
      </c>
      <c r="D16" s="572" t="s">
        <v>965</v>
      </c>
      <c r="E16" s="572" t="s">
        <v>973</v>
      </c>
      <c r="F16" s="572" t="s">
        <v>987</v>
      </c>
      <c r="G16" s="572" t="s">
        <v>989</v>
      </c>
      <c r="H16" s="592">
        <v>995</v>
      </c>
      <c r="I16" s="592">
        <v>348250</v>
      </c>
      <c r="J16" s="572">
        <v>0.97654059268232496</v>
      </c>
      <c r="K16" s="572">
        <v>350</v>
      </c>
      <c r="L16" s="592">
        <v>1016</v>
      </c>
      <c r="M16" s="592">
        <v>356616</v>
      </c>
      <c r="N16" s="572">
        <v>1</v>
      </c>
      <c r="O16" s="572">
        <v>351</v>
      </c>
      <c r="P16" s="592">
        <v>1069</v>
      </c>
      <c r="Q16" s="592">
        <v>375219</v>
      </c>
      <c r="R16" s="577">
        <v>1.0521653543307086</v>
      </c>
      <c r="S16" s="593">
        <v>351</v>
      </c>
    </row>
    <row r="17" spans="1:19" ht="14.4" customHeight="1" x14ac:dyDescent="0.3">
      <c r="A17" s="571" t="s">
        <v>971</v>
      </c>
      <c r="B17" s="572" t="s">
        <v>979</v>
      </c>
      <c r="C17" s="572" t="s">
        <v>452</v>
      </c>
      <c r="D17" s="572" t="s">
        <v>965</v>
      </c>
      <c r="E17" s="572" t="s">
        <v>973</v>
      </c>
      <c r="F17" s="572" t="s">
        <v>990</v>
      </c>
      <c r="G17" s="572" t="s">
        <v>991</v>
      </c>
      <c r="H17" s="592">
        <v>825</v>
      </c>
      <c r="I17" s="592">
        <v>27499.860000000044</v>
      </c>
      <c r="J17" s="572">
        <v>11.786327790159465</v>
      </c>
      <c r="K17" s="572">
        <v>33.333163636363693</v>
      </c>
      <c r="L17" s="592">
        <v>70</v>
      </c>
      <c r="M17" s="592">
        <v>2333.1999999999985</v>
      </c>
      <c r="N17" s="572">
        <v>1</v>
      </c>
      <c r="O17" s="572">
        <v>33.331428571428546</v>
      </c>
      <c r="P17" s="592">
        <v>34</v>
      </c>
      <c r="Q17" s="592">
        <v>1133.25</v>
      </c>
      <c r="R17" s="577">
        <v>0.48570632607577607</v>
      </c>
      <c r="S17" s="593">
        <v>33.330882352941174</v>
      </c>
    </row>
    <row r="18" spans="1:19" ht="14.4" customHeight="1" x14ac:dyDescent="0.3">
      <c r="A18" s="571" t="s">
        <v>971</v>
      </c>
      <c r="B18" s="572" t="s">
        <v>979</v>
      </c>
      <c r="C18" s="572" t="s">
        <v>452</v>
      </c>
      <c r="D18" s="572" t="s">
        <v>965</v>
      </c>
      <c r="E18" s="572" t="s">
        <v>973</v>
      </c>
      <c r="F18" s="572" t="s">
        <v>990</v>
      </c>
      <c r="G18" s="572" t="s">
        <v>992</v>
      </c>
      <c r="H18" s="592">
        <v>1305</v>
      </c>
      <c r="I18" s="592">
        <v>43499.890000000021</v>
      </c>
      <c r="J18" s="572">
        <v>0.57871378872236934</v>
      </c>
      <c r="K18" s="572">
        <v>33.33324904214561</v>
      </c>
      <c r="L18" s="592">
        <v>2255</v>
      </c>
      <c r="M18" s="592">
        <v>75166.500000000087</v>
      </c>
      <c r="N18" s="572">
        <v>1</v>
      </c>
      <c r="O18" s="572">
        <v>33.333259423503364</v>
      </c>
      <c r="P18" s="592">
        <v>2297</v>
      </c>
      <c r="Q18" s="592">
        <v>76566.380000000092</v>
      </c>
      <c r="R18" s="577">
        <v>1.0186237220038181</v>
      </c>
      <c r="S18" s="593">
        <v>33.333208532869001</v>
      </c>
    </row>
    <row r="19" spans="1:19" ht="14.4" customHeight="1" x14ac:dyDescent="0.3">
      <c r="A19" s="571" t="s">
        <v>971</v>
      </c>
      <c r="B19" s="572" t="s">
        <v>979</v>
      </c>
      <c r="C19" s="572" t="s">
        <v>452</v>
      </c>
      <c r="D19" s="572" t="s">
        <v>965</v>
      </c>
      <c r="E19" s="572" t="s">
        <v>973</v>
      </c>
      <c r="F19" s="572" t="s">
        <v>993</v>
      </c>
      <c r="G19" s="572" t="s">
        <v>994</v>
      </c>
      <c r="H19" s="592">
        <v>1138</v>
      </c>
      <c r="I19" s="592">
        <v>1728622</v>
      </c>
      <c r="J19" s="572">
        <v>0.94456089351285188</v>
      </c>
      <c r="K19" s="572">
        <v>1519</v>
      </c>
      <c r="L19" s="592">
        <v>1204</v>
      </c>
      <c r="M19" s="592">
        <v>1830080</v>
      </c>
      <c r="N19" s="572">
        <v>1</v>
      </c>
      <c r="O19" s="572">
        <v>1520</v>
      </c>
      <c r="P19" s="592">
        <v>1284</v>
      </c>
      <c r="Q19" s="592">
        <v>1954248</v>
      </c>
      <c r="R19" s="577">
        <v>1.0678484000699422</v>
      </c>
      <c r="S19" s="593">
        <v>1522</v>
      </c>
    </row>
    <row r="20" spans="1:19" ht="14.4" customHeight="1" x14ac:dyDescent="0.3">
      <c r="A20" s="571" t="s">
        <v>971</v>
      </c>
      <c r="B20" s="572" t="s">
        <v>979</v>
      </c>
      <c r="C20" s="572" t="s">
        <v>452</v>
      </c>
      <c r="D20" s="572" t="s">
        <v>965</v>
      </c>
      <c r="E20" s="572" t="s">
        <v>973</v>
      </c>
      <c r="F20" s="572" t="s">
        <v>995</v>
      </c>
      <c r="G20" s="572" t="s">
        <v>996</v>
      </c>
      <c r="H20" s="592">
        <v>24</v>
      </c>
      <c r="I20" s="592">
        <v>2784</v>
      </c>
      <c r="J20" s="572">
        <v>1.411764705882353</v>
      </c>
      <c r="K20" s="572">
        <v>116</v>
      </c>
      <c r="L20" s="592">
        <v>17</v>
      </c>
      <c r="M20" s="592">
        <v>1972</v>
      </c>
      <c r="N20" s="572">
        <v>1</v>
      </c>
      <c r="O20" s="572">
        <v>116</v>
      </c>
      <c r="P20" s="592">
        <v>12</v>
      </c>
      <c r="Q20" s="592">
        <v>1392</v>
      </c>
      <c r="R20" s="577">
        <v>0.70588235294117652</v>
      </c>
      <c r="S20" s="593">
        <v>116</v>
      </c>
    </row>
    <row r="21" spans="1:19" ht="14.4" customHeight="1" x14ac:dyDescent="0.3">
      <c r="A21" s="571" t="s">
        <v>971</v>
      </c>
      <c r="B21" s="572" t="s">
        <v>979</v>
      </c>
      <c r="C21" s="572" t="s">
        <v>452</v>
      </c>
      <c r="D21" s="572" t="s">
        <v>965</v>
      </c>
      <c r="E21" s="572" t="s">
        <v>973</v>
      </c>
      <c r="F21" s="572" t="s">
        <v>995</v>
      </c>
      <c r="G21" s="572" t="s">
        <v>997</v>
      </c>
      <c r="H21" s="592">
        <v>226</v>
      </c>
      <c r="I21" s="592">
        <v>26216</v>
      </c>
      <c r="J21" s="572">
        <v>1.0180180180180181</v>
      </c>
      <c r="K21" s="572">
        <v>116</v>
      </c>
      <c r="L21" s="592">
        <v>222</v>
      </c>
      <c r="M21" s="592">
        <v>25752</v>
      </c>
      <c r="N21" s="572">
        <v>1</v>
      </c>
      <c r="O21" s="572">
        <v>116</v>
      </c>
      <c r="P21" s="592">
        <v>211</v>
      </c>
      <c r="Q21" s="592">
        <v>24476</v>
      </c>
      <c r="R21" s="577">
        <v>0.9504504504504504</v>
      </c>
      <c r="S21" s="593">
        <v>116</v>
      </c>
    </row>
    <row r="22" spans="1:19" ht="14.4" customHeight="1" x14ac:dyDescent="0.3">
      <c r="A22" s="571" t="s">
        <v>971</v>
      </c>
      <c r="B22" s="572" t="s">
        <v>979</v>
      </c>
      <c r="C22" s="572" t="s">
        <v>452</v>
      </c>
      <c r="D22" s="572" t="s">
        <v>965</v>
      </c>
      <c r="E22" s="572" t="s">
        <v>973</v>
      </c>
      <c r="F22" s="572" t="s">
        <v>998</v>
      </c>
      <c r="G22" s="572" t="s">
        <v>999</v>
      </c>
      <c r="H22" s="592">
        <v>545</v>
      </c>
      <c r="I22" s="592">
        <v>20165</v>
      </c>
      <c r="J22" s="572">
        <v>0.89490968801313631</v>
      </c>
      <c r="K22" s="572">
        <v>37</v>
      </c>
      <c r="L22" s="592">
        <v>609</v>
      </c>
      <c r="M22" s="592">
        <v>22533</v>
      </c>
      <c r="N22" s="572">
        <v>1</v>
      </c>
      <c r="O22" s="572">
        <v>37</v>
      </c>
      <c r="P22" s="592">
        <v>641</v>
      </c>
      <c r="Q22" s="592">
        <v>23717</v>
      </c>
      <c r="R22" s="577">
        <v>1.0525451559934318</v>
      </c>
      <c r="S22" s="593">
        <v>37</v>
      </c>
    </row>
    <row r="23" spans="1:19" ht="14.4" customHeight="1" x14ac:dyDescent="0.3">
      <c r="A23" s="571" t="s">
        <v>971</v>
      </c>
      <c r="B23" s="572" t="s">
        <v>979</v>
      </c>
      <c r="C23" s="572" t="s">
        <v>452</v>
      </c>
      <c r="D23" s="572" t="s">
        <v>965</v>
      </c>
      <c r="E23" s="572" t="s">
        <v>973</v>
      </c>
      <c r="F23" s="572" t="s">
        <v>977</v>
      </c>
      <c r="G23" s="572" t="s">
        <v>978</v>
      </c>
      <c r="H23" s="592">
        <v>7</v>
      </c>
      <c r="I23" s="592">
        <v>518</v>
      </c>
      <c r="J23" s="572">
        <v>0.875</v>
      </c>
      <c r="K23" s="572">
        <v>74</v>
      </c>
      <c r="L23" s="592">
        <v>8</v>
      </c>
      <c r="M23" s="592">
        <v>592</v>
      </c>
      <c r="N23" s="572">
        <v>1</v>
      </c>
      <c r="O23" s="572">
        <v>74</v>
      </c>
      <c r="P23" s="592">
        <v>12</v>
      </c>
      <c r="Q23" s="592">
        <v>888</v>
      </c>
      <c r="R23" s="577">
        <v>1.5</v>
      </c>
      <c r="S23" s="593">
        <v>74</v>
      </c>
    </row>
    <row r="24" spans="1:19" ht="14.4" customHeight="1" x14ac:dyDescent="0.3">
      <c r="A24" s="571" t="s">
        <v>971</v>
      </c>
      <c r="B24" s="572" t="s">
        <v>979</v>
      </c>
      <c r="C24" s="572" t="s">
        <v>452</v>
      </c>
      <c r="D24" s="572" t="s">
        <v>965</v>
      </c>
      <c r="E24" s="572" t="s">
        <v>973</v>
      </c>
      <c r="F24" s="572" t="s">
        <v>1000</v>
      </c>
      <c r="G24" s="572" t="s">
        <v>1001</v>
      </c>
      <c r="H24" s="592">
        <v>1</v>
      </c>
      <c r="I24" s="592">
        <v>59</v>
      </c>
      <c r="J24" s="572"/>
      <c r="K24" s="572">
        <v>59</v>
      </c>
      <c r="L24" s="592"/>
      <c r="M24" s="592"/>
      <c r="N24" s="572"/>
      <c r="O24" s="572"/>
      <c r="P24" s="592"/>
      <c r="Q24" s="592"/>
      <c r="R24" s="577"/>
      <c r="S24" s="593"/>
    </row>
    <row r="25" spans="1:19" ht="14.4" customHeight="1" x14ac:dyDescent="0.3">
      <c r="A25" s="571" t="s">
        <v>971</v>
      </c>
      <c r="B25" s="572" t="s">
        <v>979</v>
      </c>
      <c r="C25" s="572" t="s">
        <v>452</v>
      </c>
      <c r="D25" s="572" t="s">
        <v>969</v>
      </c>
      <c r="E25" s="572" t="s">
        <v>973</v>
      </c>
      <c r="F25" s="572" t="s">
        <v>974</v>
      </c>
      <c r="G25" s="572" t="s">
        <v>975</v>
      </c>
      <c r="H25" s="592"/>
      <c r="I25" s="592"/>
      <c r="J25" s="572"/>
      <c r="K25" s="572"/>
      <c r="L25" s="592">
        <v>20</v>
      </c>
      <c r="M25" s="592">
        <v>740</v>
      </c>
      <c r="N25" s="572">
        <v>1</v>
      </c>
      <c r="O25" s="572">
        <v>37</v>
      </c>
      <c r="P25" s="592">
        <v>1</v>
      </c>
      <c r="Q25" s="592">
        <v>37</v>
      </c>
      <c r="R25" s="577">
        <v>0.05</v>
      </c>
      <c r="S25" s="593">
        <v>37</v>
      </c>
    </row>
    <row r="26" spans="1:19" ht="14.4" customHeight="1" x14ac:dyDescent="0.3">
      <c r="A26" s="571" t="s">
        <v>971</v>
      </c>
      <c r="B26" s="572" t="s">
        <v>979</v>
      </c>
      <c r="C26" s="572" t="s">
        <v>452</v>
      </c>
      <c r="D26" s="572" t="s">
        <v>969</v>
      </c>
      <c r="E26" s="572" t="s">
        <v>973</v>
      </c>
      <c r="F26" s="572" t="s">
        <v>974</v>
      </c>
      <c r="G26" s="572" t="s">
        <v>976</v>
      </c>
      <c r="H26" s="592">
        <v>1</v>
      </c>
      <c r="I26" s="592">
        <v>37</v>
      </c>
      <c r="J26" s="572"/>
      <c r="K26" s="572">
        <v>37</v>
      </c>
      <c r="L26" s="592"/>
      <c r="M26" s="592"/>
      <c r="N26" s="572"/>
      <c r="O26" s="572"/>
      <c r="P26" s="592"/>
      <c r="Q26" s="592"/>
      <c r="R26" s="577"/>
      <c r="S26" s="593"/>
    </row>
    <row r="27" spans="1:19" ht="14.4" customHeight="1" x14ac:dyDescent="0.3">
      <c r="A27" s="571" t="s">
        <v>971</v>
      </c>
      <c r="B27" s="572" t="s">
        <v>979</v>
      </c>
      <c r="C27" s="572" t="s">
        <v>452</v>
      </c>
      <c r="D27" s="572" t="s">
        <v>969</v>
      </c>
      <c r="E27" s="572" t="s">
        <v>973</v>
      </c>
      <c r="F27" s="572" t="s">
        <v>977</v>
      </c>
      <c r="G27" s="572" t="s">
        <v>978</v>
      </c>
      <c r="H27" s="592">
        <v>1</v>
      </c>
      <c r="I27" s="592">
        <v>74</v>
      </c>
      <c r="J27" s="572">
        <v>0.16666666666666666</v>
      </c>
      <c r="K27" s="572">
        <v>74</v>
      </c>
      <c r="L27" s="592">
        <v>6</v>
      </c>
      <c r="M27" s="592">
        <v>444</v>
      </c>
      <c r="N27" s="572">
        <v>1</v>
      </c>
      <c r="O27" s="572">
        <v>74</v>
      </c>
      <c r="P27" s="592">
        <v>8</v>
      </c>
      <c r="Q27" s="592">
        <v>592</v>
      </c>
      <c r="R27" s="577">
        <v>1.3333333333333333</v>
      </c>
      <c r="S27" s="593">
        <v>74</v>
      </c>
    </row>
    <row r="28" spans="1:19" ht="14.4" customHeight="1" x14ac:dyDescent="0.3">
      <c r="A28" s="571" t="s">
        <v>1002</v>
      </c>
      <c r="B28" s="572" t="s">
        <v>1003</v>
      </c>
      <c r="C28" s="572" t="s">
        <v>452</v>
      </c>
      <c r="D28" s="572" t="s">
        <v>969</v>
      </c>
      <c r="E28" s="572" t="s">
        <v>973</v>
      </c>
      <c r="F28" s="572" t="s">
        <v>977</v>
      </c>
      <c r="G28" s="572" t="s">
        <v>978</v>
      </c>
      <c r="H28" s="592">
        <v>1</v>
      </c>
      <c r="I28" s="592">
        <v>74</v>
      </c>
      <c r="J28" s="572"/>
      <c r="K28" s="572">
        <v>74</v>
      </c>
      <c r="L28" s="592"/>
      <c r="M28" s="592"/>
      <c r="N28" s="572"/>
      <c r="O28" s="572"/>
      <c r="P28" s="592"/>
      <c r="Q28" s="592"/>
      <c r="R28" s="577"/>
      <c r="S28" s="593"/>
    </row>
    <row r="29" spans="1:19" ht="14.4" customHeight="1" x14ac:dyDescent="0.3">
      <c r="A29" s="571" t="s">
        <v>1002</v>
      </c>
      <c r="B29" s="572" t="s">
        <v>1003</v>
      </c>
      <c r="C29" s="572" t="s">
        <v>457</v>
      </c>
      <c r="D29" s="572" t="s">
        <v>965</v>
      </c>
      <c r="E29" s="572" t="s">
        <v>973</v>
      </c>
      <c r="F29" s="572" t="s">
        <v>1004</v>
      </c>
      <c r="G29" s="572" t="s">
        <v>1005</v>
      </c>
      <c r="H29" s="592">
        <v>44</v>
      </c>
      <c r="I29" s="592">
        <v>491304</v>
      </c>
      <c r="J29" s="572">
        <v>1.0225232162703286</v>
      </c>
      <c r="K29" s="572">
        <v>11166</v>
      </c>
      <c r="L29" s="592">
        <v>43</v>
      </c>
      <c r="M29" s="592">
        <v>480482</v>
      </c>
      <c r="N29" s="572">
        <v>1</v>
      </c>
      <c r="O29" s="572">
        <v>11174</v>
      </c>
      <c r="P29" s="592">
        <v>52</v>
      </c>
      <c r="Q29" s="592">
        <v>646984</v>
      </c>
      <c r="R29" s="577">
        <v>1.3465311915951066</v>
      </c>
      <c r="S29" s="593">
        <v>12442</v>
      </c>
    </row>
    <row r="30" spans="1:19" ht="14.4" customHeight="1" x14ac:dyDescent="0.3">
      <c r="A30" s="571" t="s">
        <v>1002</v>
      </c>
      <c r="B30" s="572" t="s">
        <v>1003</v>
      </c>
      <c r="C30" s="572" t="s">
        <v>457</v>
      </c>
      <c r="D30" s="572" t="s">
        <v>965</v>
      </c>
      <c r="E30" s="572" t="s">
        <v>973</v>
      </c>
      <c r="F30" s="572" t="s">
        <v>1006</v>
      </c>
      <c r="G30" s="572" t="s">
        <v>1007</v>
      </c>
      <c r="H30" s="592">
        <v>368</v>
      </c>
      <c r="I30" s="592">
        <v>115552</v>
      </c>
      <c r="J30" s="572">
        <v>0.70274280848993498</v>
      </c>
      <c r="K30" s="572">
        <v>314</v>
      </c>
      <c r="L30" s="592">
        <v>522</v>
      </c>
      <c r="M30" s="592">
        <v>164430</v>
      </c>
      <c r="N30" s="572">
        <v>1</v>
      </c>
      <c r="O30" s="572">
        <v>315</v>
      </c>
      <c r="P30" s="592">
        <v>1276</v>
      </c>
      <c r="Q30" s="592">
        <v>381524</v>
      </c>
      <c r="R30" s="577">
        <v>2.3202821869488535</v>
      </c>
      <c r="S30" s="593">
        <v>299</v>
      </c>
    </row>
    <row r="31" spans="1:19" ht="14.4" customHeight="1" x14ac:dyDescent="0.3">
      <c r="A31" s="571" t="s">
        <v>1002</v>
      </c>
      <c r="B31" s="572" t="s">
        <v>1003</v>
      </c>
      <c r="C31" s="572" t="s">
        <v>457</v>
      </c>
      <c r="D31" s="572" t="s">
        <v>965</v>
      </c>
      <c r="E31" s="572" t="s">
        <v>973</v>
      </c>
      <c r="F31" s="572" t="s">
        <v>1006</v>
      </c>
      <c r="G31" s="572" t="s">
        <v>1008</v>
      </c>
      <c r="H31" s="592"/>
      <c r="I31" s="592"/>
      <c r="J31" s="572"/>
      <c r="K31" s="572"/>
      <c r="L31" s="592">
        <v>21</v>
      </c>
      <c r="M31" s="592">
        <v>6615</v>
      </c>
      <c r="N31" s="572">
        <v>1</v>
      </c>
      <c r="O31" s="572">
        <v>315</v>
      </c>
      <c r="P31" s="592">
        <v>20</v>
      </c>
      <c r="Q31" s="592">
        <v>5980</v>
      </c>
      <c r="R31" s="577">
        <v>0.90400604686318975</v>
      </c>
      <c r="S31" s="593">
        <v>299</v>
      </c>
    </row>
    <row r="32" spans="1:19" ht="14.4" customHeight="1" x14ac:dyDescent="0.3">
      <c r="A32" s="571" t="s">
        <v>1002</v>
      </c>
      <c r="B32" s="572" t="s">
        <v>1003</v>
      </c>
      <c r="C32" s="572" t="s">
        <v>457</v>
      </c>
      <c r="D32" s="572" t="s">
        <v>965</v>
      </c>
      <c r="E32" s="572" t="s">
        <v>973</v>
      </c>
      <c r="F32" s="572" t="s">
        <v>1009</v>
      </c>
      <c r="G32" s="572"/>
      <c r="H32" s="592">
        <v>331</v>
      </c>
      <c r="I32" s="592">
        <v>424673</v>
      </c>
      <c r="J32" s="572">
        <v>0.92314196900202161</v>
      </c>
      <c r="K32" s="572">
        <v>1283</v>
      </c>
      <c r="L32" s="592">
        <v>358</v>
      </c>
      <c r="M32" s="592">
        <v>460030</v>
      </c>
      <c r="N32" s="572">
        <v>1</v>
      </c>
      <c r="O32" s="572">
        <v>1285</v>
      </c>
      <c r="P32" s="592"/>
      <c r="Q32" s="592"/>
      <c r="R32" s="577"/>
      <c r="S32" s="593"/>
    </row>
    <row r="33" spans="1:19" ht="14.4" customHeight="1" x14ac:dyDescent="0.3">
      <c r="A33" s="571" t="s">
        <v>1002</v>
      </c>
      <c r="B33" s="572" t="s">
        <v>1003</v>
      </c>
      <c r="C33" s="572" t="s">
        <v>457</v>
      </c>
      <c r="D33" s="572" t="s">
        <v>965</v>
      </c>
      <c r="E33" s="572" t="s">
        <v>973</v>
      </c>
      <c r="F33" s="572" t="s">
        <v>1009</v>
      </c>
      <c r="G33" s="572" t="s">
        <v>1010</v>
      </c>
      <c r="H33" s="592">
        <v>583</v>
      </c>
      <c r="I33" s="592">
        <v>747989</v>
      </c>
      <c r="J33" s="572">
        <v>0.92689905573868003</v>
      </c>
      <c r="K33" s="572">
        <v>1283</v>
      </c>
      <c r="L33" s="592">
        <v>628</v>
      </c>
      <c r="M33" s="592">
        <v>806980</v>
      </c>
      <c r="N33" s="572">
        <v>1</v>
      </c>
      <c r="O33" s="572">
        <v>1285</v>
      </c>
      <c r="P33" s="592"/>
      <c r="Q33" s="592"/>
      <c r="R33" s="577"/>
      <c r="S33" s="593"/>
    </row>
    <row r="34" spans="1:19" ht="14.4" customHeight="1" x14ac:dyDescent="0.3">
      <c r="A34" s="571" t="s">
        <v>1002</v>
      </c>
      <c r="B34" s="572" t="s">
        <v>1003</v>
      </c>
      <c r="C34" s="572" t="s">
        <v>457</v>
      </c>
      <c r="D34" s="572" t="s">
        <v>965</v>
      </c>
      <c r="E34" s="572" t="s">
        <v>973</v>
      </c>
      <c r="F34" s="572" t="s">
        <v>1011</v>
      </c>
      <c r="G34" s="572" t="s">
        <v>1012</v>
      </c>
      <c r="H34" s="592">
        <v>51</v>
      </c>
      <c r="I34" s="592">
        <v>497403</v>
      </c>
      <c r="J34" s="572">
        <v>1.887147442463976</v>
      </c>
      <c r="K34" s="572">
        <v>9753</v>
      </c>
      <c r="L34" s="592">
        <v>27</v>
      </c>
      <c r="M34" s="592">
        <v>263574</v>
      </c>
      <c r="N34" s="572">
        <v>1</v>
      </c>
      <c r="O34" s="572">
        <v>9762</v>
      </c>
      <c r="P34" s="592">
        <v>42</v>
      </c>
      <c r="Q34" s="592">
        <v>439614</v>
      </c>
      <c r="R34" s="577">
        <v>1.6678959229666053</v>
      </c>
      <c r="S34" s="593">
        <v>10467</v>
      </c>
    </row>
    <row r="35" spans="1:19" ht="14.4" customHeight="1" x14ac:dyDescent="0.3">
      <c r="A35" s="571" t="s">
        <v>1002</v>
      </c>
      <c r="B35" s="572" t="s">
        <v>1003</v>
      </c>
      <c r="C35" s="572" t="s">
        <v>457</v>
      </c>
      <c r="D35" s="572" t="s">
        <v>965</v>
      </c>
      <c r="E35" s="572" t="s">
        <v>973</v>
      </c>
      <c r="F35" s="572" t="s">
        <v>1011</v>
      </c>
      <c r="G35" s="572" t="s">
        <v>1013</v>
      </c>
      <c r="H35" s="592">
        <v>2</v>
      </c>
      <c r="I35" s="592">
        <v>19506</v>
      </c>
      <c r="J35" s="572">
        <v>0.33302601925834868</v>
      </c>
      <c r="K35" s="572">
        <v>9753</v>
      </c>
      <c r="L35" s="592">
        <v>6</v>
      </c>
      <c r="M35" s="592">
        <v>58572</v>
      </c>
      <c r="N35" s="572">
        <v>1</v>
      </c>
      <c r="O35" s="572">
        <v>9762</v>
      </c>
      <c r="P35" s="592">
        <v>3</v>
      </c>
      <c r="Q35" s="592">
        <v>31401</v>
      </c>
      <c r="R35" s="577">
        <v>0.5361094038106945</v>
      </c>
      <c r="S35" s="593">
        <v>10467</v>
      </c>
    </row>
    <row r="36" spans="1:19" ht="14.4" customHeight="1" x14ac:dyDescent="0.3">
      <c r="A36" s="571" t="s">
        <v>1002</v>
      </c>
      <c r="B36" s="572" t="s">
        <v>1003</v>
      </c>
      <c r="C36" s="572" t="s">
        <v>457</v>
      </c>
      <c r="D36" s="572" t="s">
        <v>965</v>
      </c>
      <c r="E36" s="572" t="s">
        <v>973</v>
      </c>
      <c r="F36" s="572" t="s">
        <v>1014</v>
      </c>
      <c r="G36" s="572" t="s">
        <v>1015</v>
      </c>
      <c r="H36" s="592">
        <v>2782</v>
      </c>
      <c r="I36" s="592">
        <v>1210170</v>
      </c>
      <c r="J36" s="572"/>
      <c r="K36" s="572">
        <v>435</v>
      </c>
      <c r="L36" s="592"/>
      <c r="M36" s="592"/>
      <c r="N36" s="572"/>
      <c r="O36" s="572"/>
      <c r="P36" s="592"/>
      <c r="Q36" s="592"/>
      <c r="R36" s="577"/>
      <c r="S36" s="593"/>
    </row>
    <row r="37" spans="1:19" ht="14.4" customHeight="1" x14ac:dyDescent="0.3">
      <c r="A37" s="571" t="s">
        <v>1002</v>
      </c>
      <c r="B37" s="572" t="s">
        <v>1003</v>
      </c>
      <c r="C37" s="572" t="s">
        <v>457</v>
      </c>
      <c r="D37" s="572" t="s">
        <v>965</v>
      </c>
      <c r="E37" s="572" t="s">
        <v>973</v>
      </c>
      <c r="F37" s="572" t="s">
        <v>1016</v>
      </c>
      <c r="G37" s="572"/>
      <c r="H37" s="592">
        <v>96</v>
      </c>
      <c r="I37" s="592">
        <v>97056</v>
      </c>
      <c r="J37" s="572">
        <v>0.54491555874955089</v>
      </c>
      <c r="K37" s="572">
        <v>1011</v>
      </c>
      <c r="L37" s="592">
        <v>176</v>
      </c>
      <c r="M37" s="592">
        <v>178112</v>
      </c>
      <c r="N37" s="572">
        <v>1</v>
      </c>
      <c r="O37" s="572">
        <v>1012</v>
      </c>
      <c r="P37" s="592"/>
      <c r="Q37" s="592"/>
      <c r="R37" s="577"/>
      <c r="S37" s="593"/>
    </row>
    <row r="38" spans="1:19" ht="14.4" customHeight="1" x14ac:dyDescent="0.3">
      <c r="A38" s="571" t="s">
        <v>1002</v>
      </c>
      <c r="B38" s="572" t="s">
        <v>1003</v>
      </c>
      <c r="C38" s="572" t="s">
        <v>457</v>
      </c>
      <c r="D38" s="572" t="s">
        <v>965</v>
      </c>
      <c r="E38" s="572" t="s">
        <v>973</v>
      </c>
      <c r="F38" s="572" t="s">
        <v>1016</v>
      </c>
      <c r="G38" s="572" t="s">
        <v>1017</v>
      </c>
      <c r="H38" s="592">
        <v>145</v>
      </c>
      <c r="I38" s="592">
        <v>146595</v>
      </c>
      <c r="J38" s="572">
        <v>4.5267724802371543</v>
      </c>
      <c r="K38" s="572">
        <v>1011</v>
      </c>
      <c r="L38" s="592">
        <v>32</v>
      </c>
      <c r="M38" s="592">
        <v>32384</v>
      </c>
      <c r="N38" s="572">
        <v>1</v>
      </c>
      <c r="O38" s="572">
        <v>1012</v>
      </c>
      <c r="P38" s="592"/>
      <c r="Q38" s="592"/>
      <c r="R38" s="577"/>
      <c r="S38" s="593"/>
    </row>
    <row r="39" spans="1:19" ht="14.4" customHeight="1" x14ac:dyDescent="0.3">
      <c r="A39" s="571" t="s">
        <v>1002</v>
      </c>
      <c r="B39" s="572" t="s">
        <v>1003</v>
      </c>
      <c r="C39" s="572" t="s">
        <v>457</v>
      </c>
      <c r="D39" s="572" t="s">
        <v>965</v>
      </c>
      <c r="E39" s="572" t="s">
        <v>973</v>
      </c>
      <c r="F39" s="572" t="s">
        <v>1018</v>
      </c>
      <c r="G39" s="572"/>
      <c r="H39" s="592">
        <v>6952</v>
      </c>
      <c r="I39" s="592">
        <v>15947888</v>
      </c>
      <c r="J39" s="572">
        <v>3.0693723832300388</v>
      </c>
      <c r="K39" s="572">
        <v>2294</v>
      </c>
      <c r="L39" s="592">
        <v>2262</v>
      </c>
      <c r="M39" s="592">
        <v>5195814</v>
      </c>
      <c r="N39" s="572">
        <v>1</v>
      </c>
      <c r="O39" s="572">
        <v>2297</v>
      </c>
      <c r="P39" s="592"/>
      <c r="Q39" s="592"/>
      <c r="R39" s="577"/>
      <c r="S39" s="593"/>
    </row>
    <row r="40" spans="1:19" ht="14.4" customHeight="1" x14ac:dyDescent="0.3">
      <c r="A40" s="571" t="s">
        <v>1002</v>
      </c>
      <c r="B40" s="572" t="s">
        <v>1003</v>
      </c>
      <c r="C40" s="572" t="s">
        <v>457</v>
      </c>
      <c r="D40" s="572" t="s">
        <v>965</v>
      </c>
      <c r="E40" s="572" t="s">
        <v>973</v>
      </c>
      <c r="F40" s="572" t="s">
        <v>1018</v>
      </c>
      <c r="G40" s="572" t="s">
        <v>1019</v>
      </c>
      <c r="H40" s="592">
        <v>14310</v>
      </c>
      <c r="I40" s="592">
        <v>32827140</v>
      </c>
      <c r="J40" s="572">
        <v>1.5523908760456142</v>
      </c>
      <c r="K40" s="572">
        <v>2294</v>
      </c>
      <c r="L40" s="592">
        <v>9206</v>
      </c>
      <c r="M40" s="592">
        <v>21146182</v>
      </c>
      <c r="N40" s="572">
        <v>1</v>
      </c>
      <c r="O40" s="572">
        <v>2297</v>
      </c>
      <c r="P40" s="592"/>
      <c r="Q40" s="592"/>
      <c r="R40" s="577"/>
      <c r="S40" s="593"/>
    </row>
    <row r="41" spans="1:19" ht="14.4" customHeight="1" x14ac:dyDescent="0.3">
      <c r="A41" s="571" t="s">
        <v>1002</v>
      </c>
      <c r="B41" s="572" t="s">
        <v>1003</v>
      </c>
      <c r="C41" s="572" t="s">
        <v>457</v>
      </c>
      <c r="D41" s="572" t="s">
        <v>965</v>
      </c>
      <c r="E41" s="572" t="s">
        <v>973</v>
      </c>
      <c r="F41" s="572" t="s">
        <v>1020</v>
      </c>
      <c r="G41" s="572" t="s">
        <v>1021</v>
      </c>
      <c r="H41" s="592"/>
      <c r="I41" s="592"/>
      <c r="J41" s="572"/>
      <c r="K41" s="572"/>
      <c r="L41" s="592">
        <v>1</v>
      </c>
      <c r="M41" s="592">
        <v>374</v>
      </c>
      <c r="N41" s="572">
        <v>1</v>
      </c>
      <c r="O41" s="572">
        <v>374</v>
      </c>
      <c r="P41" s="592"/>
      <c r="Q41" s="592"/>
      <c r="R41" s="577"/>
      <c r="S41" s="593"/>
    </row>
    <row r="42" spans="1:19" ht="14.4" customHeight="1" x14ac:dyDescent="0.3">
      <c r="A42" s="571" t="s">
        <v>1002</v>
      </c>
      <c r="B42" s="572" t="s">
        <v>1003</v>
      </c>
      <c r="C42" s="572" t="s">
        <v>457</v>
      </c>
      <c r="D42" s="572" t="s">
        <v>965</v>
      </c>
      <c r="E42" s="572" t="s">
        <v>973</v>
      </c>
      <c r="F42" s="572" t="s">
        <v>1022</v>
      </c>
      <c r="G42" s="572" t="s">
        <v>1023</v>
      </c>
      <c r="H42" s="592">
        <v>45</v>
      </c>
      <c r="I42" s="592">
        <v>23760</v>
      </c>
      <c r="J42" s="572">
        <v>1</v>
      </c>
      <c r="K42" s="572">
        <v>528</v>
      </c>
      <c r="L42" s="592">
        <v>45</v>
      </c>
      <c r="M42" s="592">
        <v>23760</v>
      </c>
      <c r="N42" s="572">
        <v>1</v>
      </c>
      <c r="O42" s="572">
        <v>528</v>
      </c>
      <c r="P42" s="592">
        <v>54</v>
      </c>
      <c r="Q42" s="592">
        <v>35640</v>
      </c>
      <c r="R42" s="577">
        <v>1.5</v>
      </c>
      <c r="S42" s="593">
        <v>660</v>
      </c>
    </row>
    <row r="43" spans="1:19" ht="14.4" customHeight="1" x14ac:dyDescent="0.3">
      <c r="A43" s="571" t="s">
        <v>1002</v>
      </c>
      <c r="B43" s="572" t="s">
        <v>1003</v>
      </c>
      <c r="C43" s="572" t="s">
        <v>457</v>
      </c>
      <c r="D43" s="572" t="s">
        <v>965</v>
      </c>
      <c r="E43" s="572" t="s">
        <v>973</v>
      </c>
      <c r="F43" s="572" t="s">
        <v>1024</v>
      </c>
      <c r="G43" s="572" t="s">
        <v>1025</v>
      </c>
      <c r="H43" s="592">
        <v>80</v>
      </c>
      <c r="I43" s="592">
        <v>74880</v>
      </c>
      <c r="J43" s="572">
        <v>0.9745685503813416</v>
      </c>
      <c r="K43" s="572">
        <v>936</v>
      </c>
      <c r="L43" s="592">
        <v>82</v>
      </c>
      <c r="M43" s="592">
        <v>76834</v>
      </c>
      <c r="N43" s="572">
        <v>1</v>
      </c>
      <c r="O43" s="572">
        <v>937</v>
      </c>
      <c r="P43" s="592">
        <v>94</v>
      </c>
      <c r="Q43" s="592">
        <v>90428</v>
      </c>
      <c r="R43" s="577">
        <v>1.1769268813285785</v>
      </c>
      <c r="S43" s="593">
        <v>962</v>
      </c>
    </row>
    <row r="44" spans="1:19" ht="14.4" customHeight="1" x14ac:dyDescent="0.3">
      <c r="A44" s="571" t="s">
        <v>1002</v>
      </c>
      <c r="B44" s="572" t="s">
        <v>1003</v>
      </c>
      <c r="C44" s="572" t="s">
        <v>457</v>
      </c>
      <c r="D44" s="572" t="s">
        <v>965</v>
      </c>
      <c r="E44" s="572" t="s">
        <v>973</v>
      </c>
      <c r="F44" s="572" t="s">
        <v>1024</v>
      </c>
      <c r="G44" s="572" t="s">
        <v>1026</v>
      </c>
      <c r="H44" s="592">
        <v>1</v>
      </c>
      <c r="I44" s="592">
        <v>936</v>
      </c>
      <c r="J44" s="572">
        <v>0.16648879402347919</v>
      </c>
      <c r="K44" s="572">
        <v>936</v>
      </c>
      <c r="L44" s="592">
        <v>6</v>
      </c>
      <c r="M44" s="592">
        <v>5622</v>
      </c>
      <c r="N44" s="572">
        <v>1</v>
      </c>
      <c r="O44" s="572">
        <v>937</v>
      </c>
      <c r="P44" s="592">
        <v>4</v>
      </c>
      <c r="Q44" s="592">
        <v>3848</v>
      </c>
      <c r="R44" s="577">
        <v>0.6844539309854144</v>
      </c>
      <c r="S44" s="593">
        <v>962</v>
      </c>
    </row>
    <row r="45" spans="1:19" ht="14.4" customHeight="1" x14ac:dyDescent="0.3">
      <c r="A45" s="571" t="s">
        <v>1002</v>
      </c>
      <c r="B45" s="572" t="s">
        <v>1003</v>
      </c>
      <c r="C45" s="572" t="s">
        <v>457</v>
      </c>
      <c r="D45" s="572" t="s">
        <v>965</v>
      </c>
      <c r="E45" s="572" t="s">
        <v>973</v>
      </c>
      <c r="F45" s="572" t="s">
        <v>1027</v>
      </c>
      <c r="G45" s="572" t="s">
        <v>1028</v>
      </c>
      <c r="H45" s="592"/>
      <c r="I45" s="592"/>
      <c r="J45" s="572"/>
      <c r="K45" s="572"/>
      <c r="L45" s="592">
        <v>6</v>
      </c>
      <c r="M45" s="592">
        <v>41616</v>
      </c>
      <c r="N45" s="572">
        <v>1</v>
      </c>
      <c r="O45" s="572">
        <v>6936</v>
      </c>
      <c r="P45" s="592">
        <v>3</v>
      </c>
      <c r="Q45" s="592">
        <v>22647</v>
      </c>
      <c r="R45" s="577">
        <v>0.54418973471741638</v>
      </c>
      <c r="S45" s="593">
        <v>7549</v>
      </c>
    </row>
    <row r="46" spans="1:19" ht="14.4" customHeight="1" x14ac:dyDescent="0.3">
      <c r="A46" s="571" t="s">
        <v>1002</v>
      </c>
      <c r="B46" s="572" t="s">
        <v>1003</v>
      </c>
      <c r="C46" s="572" t="s">
        <v>457</v>
      </c>
      <c r="D46" s="572" t="s">
        <v>965</v>
      </c>
      <c r="E46" s="572" t="s">
        <v>973</v>
      </c>
      <c r="F46" s="572" t="s">
        <v>1027</v>
      </c>
      <c r="G46" s="572" t="s">
        <v>1029</v>
      </c>
      <c r="H46" s="592">
        <v>286</v>
      </c>
      <c r="I46" s="592">
        <v>1981980</v>
      </c>
      <c r="J46" s="572">
        <v>1.0823961937716262</v>
      </c>
      <c r="K46" s="572">
        <v>6930</v>
      </c>
      <c r="L46" s="592">
        <v>264</v>
      </c>
      <c r="M46" s="592">
        <v>1831104</v>
      </c>
      <c r="N46" s="572">
        <v>1</v>
      </c>
      <c r="O46" s="572">
        <v>6936</v>
      </c>
      <c r="P46" s="592">
        <v>280</v>
      </c>
      <c r="Q46" s="592">
        <v>2113720</v>
      </c>
      <c r="R46" s="577">
        <v>1.1543418615217924</v>
      </c>
      <c r="S46" s="593">
        <v>7549</v>
      </c>
    </row>
    <row r="47" spans="1:19" ht="14.4" customHeight="1" x14ac:dyDescent="0.3">
      <c r="A47" s="571" t="s">
        <v>1002</v>
      </c>
      <c r="B47" s="572" t="s">
        <v>1003</v>
      </c>
      <c r="C47" s="572" t="s">
        <v>457</v>
      </c>
      <c r="D47" s="572" t="s">
        <v>965</v>
      </c>
      <c r="E47" s="572" t="s">
        <v>973</v>
      </c>
      <c r="F47" s="572" t="s">
        <v>1030</v>
      </c>
      <c r="G47" s="572" t="s">
        <v>1031</v>
      </c>
      <c r="H47" s="592">
        <v>9</v>
      </c>
      <c r="I47" s="592">
        <v>32031</v>
      </c>
      <c r="J47" s="572">
        <v>1.1240524985962943</v>
      </c>
      <c r="K47" s="572">
        <v>3559</v>
      </c>
      <c r="L47" s="592">
        <v>8</v>
      </c>
      <c r="M47" s="592">
        <v>28496</v>
      </c>
      <c r="N47" s="572">
        <v>1</v>
      </c>
      <c r="O47" s="572">
        <v>3562</v>
      </c>
      <c r="P47" s="592">
        <v>31</v>
      </c>
      <c r="Q47" s="592">
        <v>163432</v>
      </c>
      <c r="R47" s="577">
        <v>5.7352610892756877</v>
      </c>
      <c r="S47" s="593">
        <v>5272</v>
      </c>
    </row>
    <row r="48" spans="1:19" ht="14.4" customHeight="1" x14ac:dyDescent="0.3">
      <c r="A48" s="571" t="s">
        <v>1002</v>
      </c>
      <c r="B48" s="572" t="s">
        <v>1003</v>
      </c>
      <c r="C48" s="572" t="s">
        <v>457</v>
      </c>
      <c r="D48" s="572" t="s">
        <v>965</v>
      </c>
      <c r="E48" s="572" t="s">
        <v>973</v>
      </c>
      <c r="F48" s="572" t="s">
        <v>1030</v>
      </c>
      <c r="G48" s="572" t="s">
        <v>1032</v>
      </c>
      <c r="H48" s="592">
        <v>2</v>
      </c>
      <c r="I48" s="592">
        <v>7118</v>
      </c>
      <c r="J48" s="572"/>
      <c r="K48" s="572">
        <v>3559</v>
      </c>
      <c r="L48" s="592"/>
      <c r="M48" s="592"/>
      <c r="N48" s="572"/>
      <c r="O48" s="572"/>
      <c r="P48" s="592">
        <v>4</v>
      </c>
      <c r="Q48" s="592">
        <v>21088</v>
      </c>
      <c r="R48" s="577"/>
      <c r="S48" s="593">
        <v>5272</v>
      </c>
    </row>
    <row r="49" spans="1:19" ht="14.4" customHeight="1" x14ac:dyDescent="0.3">
      <c r="A49" s="571" t="s">
        <v>1002</v>
      </c>
      <c r="B49" s="572" t="s">
        <v>1003</v>
      </c>
      <c r="C49" s="572" t="s">
        <v>457</v>
      </c>
      <c r="D49" s="572" t="s">
        <v>965</v>
      </c>
      <c r="E49" s="572" t="s">
        <v>973</v>
      </c>
      <c r="F49" s="572" t="s">
        <v>1033</v>
      </c>
      <c r="G49" s="572" t="s">
        <v>1034</v>
      </c>
      <c r="H49" s="592">
        <v>35</v>
      </c>
      <c r="I49" s="592">
        <v>312795</v>
      </c>
      <c r="J49" s="572">
        <v>0.85299042279331561</v>
      </c>
      <c r="K49" s="572">
        <v>8937</v>
      </c>
      <c r="L49" s="592">
        <v>41</v>
      </c>
      <c r="M49" s="592">
        <v>366704</v>
      </c>
      <c r="N49" s="572">
        <v>1</v>
      </c>
      <c r="O49" s="572">
        <v>8944</v>
      </c>
      <c r="P49" s="592">
        <v>43</v>
      </c>
      <c r="Q49" s="592">
        <v>452532</v>
      </c>
      <c r="R49" s="577">
        <v>1.2340525328330207</v>
      </c>
      <c r="S49" s="593">
        <v>10524</v>
      </c>
    </row>
    <row r="50" spans="1:19" ht="14.4" customHeight="1" x14ac:dyDescent="0.3">
      <c r="A50" s="571" t="s">
        <v>1002</v>
      </c>
      <c r="B50" s="572" t="s">
        <v>1003</v>
      </c>
      <c r="C50" s="572" t="s">
        <v>457</v>
      </c>
      <c r="D50" s="572" t="s">
        <v>965</v>
      </c>
      <c r="E50" s="572" t="s">
        <v>973</v>
      </c>
      <c r="F50" s="572" t="s">
        <v>1033</v>
      </c>
      <c r="G50" s="572" t="s">
        <v>1035</v>
      </c>
      <c r="H50" s="592"/>
      <c r="I50" s="592"/>
      <c r="J50" s="572"/>
      <c r="K50" s="572"/>
      <c r="L50" s="592">
        <v>2</v>
      </c>
      <c r="M50" s="592">
        <v>17888</v>
      </c>
      <c r="N50" s="572">
        <v>1</v>
      </c>
      <c r="O50" s="572">
        <v>8944</v>
      </c>
      <c r="P50" s="592">
        <v>4</v>
      </c>
      <c r="Q50" s="592">
        <v>42096</v>
      </c>
      <c r="R50" s="577">
        <v>2.3533094812164581</v>
      </c>
      <c r="S50" s="593">
        <v>10524</v>
      </c>
    </row>
    <row r="51" spans="1:19" ht="14.4" customHeight="1" x14ac:dyDescent="0.3">
      <c r="A51" s="571" t="s">
        <v>1002</v>
      </c>
      <c r="B51" s="572" t="s">
        <v>1003</v>
      </c>
      <c r="C51" s="572" t="s">
        <v>457</v>
      </c>
      <c r="D51" s="572" t="s">
        <v>965</v>
      </c>
      <c r="E51" s="572" t="s">
        <v>973</v>
      </c>
      <c r="F51" s="572" t="s">
        <v>1036</v>
      </c>
      <c r="G51" s="572" t="s">
        <v>1037</v>
      </c>
      <c r="H51" s="592">
        <v>3</v>
      </c>
      <c r="I51" s="592">
        <v>32787</v>
      </c>
      <c r="J51" s="572">
        <v>0.99926853799030813</v>
      </c>
      <c r="K51" s="572">
        <v>10929</v>
      </c>
      <c r="L51" s="592">
        <v>3</v>
      </c>
      <c r="M51" s="592">
        <v>32811</v>
      </c>
      <c r="N51" s="572">
        <v>1</v>
      </c>
      <c r="O51" s="572">
        <v>10937</v>
      </c>
      <c r="P51" s="592">
        <v>3</v>
      </c>
      <c r="Q51" s="592">
        <v>37326</v>
      </c>
      <c r="R51" s="577">
        <v>1.1376062905732833</v>
      </c>
      <c r="S51" s="593">
        <v>12442</v>
      </c>
    </row>
    <row r="52" spans="1:19" ht="14.4" customHeight="1" x14ac:dyDescent="0.3">
      <c r="A52" s="571" t="s">
        <v>1002</v>
      </c>
      <c r="B52" s="572" t="s">
        <v>1003</v>
      </c>
      <c r="C52" s="572" t="s">
        <v>457</v>
      </c>
      <c r="D52" s="572" t="s">
        <v>965</v>
      </c>
      <c r="E52" s="572" t="s">
        <v>973</v>
      </c>
      <c r="F52" s="572" t="s">
        <v>1038</v>
      </c>
      <c r="G52" s="572" t="s">
        <v>1039</v>
      </c>
      <c r="H52" s="592">
        <v>11</v>
      </c>
      <c r="I52" s="592">
        <v>12133</v>
      </c>
      <c r="J52" s="572">
        <v>5.4950181159420293</v>
      </c>
      <c r="K52" s="572">
        <v>1103</v>
      </c>
      <c r="L52" s="592">
        <v>2</v>
      </c>
      <c r="M52" s="592">
        <v>2208</v>
      </c>
      <c r="N52" s="572">
        <v>1</v>
      </c>
      <c r="O52" s="572">
        <v>1104</v>
      </c>
      <c r="P52" s="592">
        <v>0</v>
      </c>
      <c r="Q52" s="592">
        <v>0</v>
      </c>
      <c r="R52" s="577">
        <v>0</v>
      </c>
      <c r="S52" s="593"/>
    </row>
    <row r="53" spans="1:19" ht="14.4" customHeight="1" x14ac:dyDescent="0.3">
      <c r="A53" s="571" t="s">
        <v>1002</v>
      </c>
      <c r="B53" s="572" t="s">
        <v>1003</v>
      </c>
      <c r="C53" s="572" t="s">
        <v>457</v>
      </c>
      <c r="D53" s="572" t="s">
        <v>965</v>
      </c>
      <c r="E53" s="572" t="s">
        <v>973</v>
      </c>
      <c r="F53" s="572" t="s">
        <v>1038</v>
      </c>
      <c r="G53" s="572" t="s">
        <v>1040</v>
      </c>
      <c r="H53" s="592"/>
      <c r="I53" s="592"/>
      <c r="J53" s="572"/>
      <c r="K53" s="572"/>
      <c r="L53" s="592"/>
      <c r="M53" s="592"/>
      <c r="N53" s="572"/>
      <c r="O53" s="572"/>
      <c r="P53" s="592">
        <v>1</v>
      </c>
      <c r="Q53" s="592">
        <v>1114</v>
      </c>
      <c r="R53" s="577"/>
      <c r="S53" s="593">
        <v>1114</v>
      </c>
    </row>
    <row r="54" spans="1:19" ht="14.4" customHeight="1" x14ac:dyDescent="0.3">
      <c r="A54" s="571" t="s">
        <v>1002</v>
      </c>
      <c r="B54" s="572" t="s">
        <v>1003</v>
      </c>
      <c r="C54" s="572" t="s">
        <v>457</v>
      </c>
      <c r="D54" s="572" t="s">
        <v>965</v>
      </c>
      <c r="E54" s="572" t="s">
        <v>973</v>
      </c>
      <c r="F54" s="572" t="s">
        <v>1041</v>
      </c>
      <c r="G54" s="572" t="s">
        <v>1042</v>
      </c>
      <c r="H54" s="592">
        <v>6</v>
      </c>
      <c r="I54" s="592">
        <v>3618</v>
      </c>
      <c r="J54" s="572">
        <v>6</v>
      </c>
      <c r="K54" s="572">
        <v>603</v>
      </c>
      <c r="L54" s="592">
        <v>1</v>
      </c>
      <c r="M54" s="592">
        <v>603</v>
      </c>
      <c r="N54" s="572">
        <v>1</v>
      </c>
      <c r="O54" s="572">
        <v>603</v>
      </c>
      <c r="P54" s="592">
        <v>2</v>
      </c>
      <c r="Q54" s="592">
        <v>1248</v>
      </c>
      <c r="R54" s="577">
        <v>2.0696517412935322</v>
      </c>
      <c r="S54" s="593">
        <v>624</v>
      </c>
    </row>
    <row r="55" spans="1:19" ht="14.4" customHeight="1" x14ac:dyDescent="0.3">
      <c r="A55" s="571" t="s">
        <v>1002</v>
      </c>
      <c r="B55" s="572" t="s">
        <v>1003</v>
      </c>
      <c r="C55" s="572" t="s">
        <v>457</v>
      </c>
      <c r="D55" s="572" t="s">
        <v>965</v>
      </c>
      <c r="E55" s="572" t="s">
        <v>973</v>
      </c>
      <c r="F55" s="572" t="s">
        <v>1041</v>
      </c>
      <c r="G55" s="572" t="s">
        <v>1043</v>
      </c>
      <c r="H55" s="592"/>
      <c r="I55" s="592"/>
      <c r="J55" s="572"/>
      <c r="K55" s="572"/>
      <c r="L55" s="592">
        <v>3</v>
      </c>
      <c r="M55" s="592">
        <v>1809</v>
      </c>
      <c r="N55" s="572">
        <v>1</v>
      </c>
      <c r="O55" s="572">
        <v>603</v>
      </c>
      <c r="P55" s="592">
        <v>2</v>
      </c>
      <c r="Q55" s="592">
        <v>1248</v>
      </c>
      <c r="R55" s="577">
        <v>0.68988391376451075</v>
      </c>
      <c r="S55" s="593">
        <v>624</v>
      </c>
    </row>
    <row r="56" spans="1:19" ht="14.4" customHeight="1" x14ac:dyDescent="0.3">
      <c r="A56" s="571" t="s">
        <v>1002</v>
      </c>
      <c r="B56" s="572" t="s">
        <v>1003</v>
      </c>
      <c r="C56" s="572" t="s">
        <v>457</v>
      </c>
      <c r="D56" s="572" t="s">
        <v>965</v>
      </c>
      <c r="E56" s="572" t="s">
        <v>973</v>
      </c>
      <c r="F56" s="572" t="s">
        <v>1044</v>
      </c>
      <c r="G56" s="572"/>
      <c r="H56" s="592"/>
      <c r="I56" s="592"/>
      <c r="J56" s="572"/>
      <c r="K56" s="572"/>
      <c r="L56" s="592">
        <v>64</v>
      </c>
      <c r="M56" s="592">
        <v>0</v>
      </c>
      <c r="N56" s="572"/>
      <c r="O56" s="572">
        <v>0</v>
      </c>
      <c r="P56" s="592"/>
      <c r="Q56" s="592"/>
      <c r="R56" s="577"/>
      <c r="S56" s="593"/>
    </row>
    <row r="57" spans="1:19" ht="14.4" customHeight="1" x14ac:dyDescent="0.3">
      <c r="A57" s="571" t="s">
        <v>1002</v>
      </c>
      <c r="B57" s="572" t="s">
        <v>1003</v>
      </c>
      <c r="C57" s="572" t="s">
        <v>457</v>
      </c>
      <c r="D57" s="572" t="s">
        <v>965</v>
      </c>
      <c r="E57" s="572" t="s">
        <v>973</v>
      </c>
      <c r="F57" s="572" t="s">
        <v>1045</v>
      </c>
      <c r="G57" s="572"/>
      <c r="H57" s="592"/>
      <c r="I57" s="592"/>
      <c r="J57" s="572"/>
      <c r="K57" s="572"/>
      <c r="L57" s="592">
        <v>54</v>
      </c>
      <c r="M57" s="592">
        <v>3247128</v>
      </c>
      <c r="N57" s="572">
        <v>1</v>
      </c>
      <c r="O57" s="572">
        <v>60132</v>
      </c>
      <c r="P57" s="592"/>
      <c r="Q57" s="592"/>
      <c r="R57" s="577"/>
      <c r="S57" s="593"/>
    </row>
    <row r="58" spans="1:19" ht="14.4" customHeight="1" x14ac:dyDescent="0.3">
      <c r="A58" s="571" t="s">
        <v>1002</v>
      </c>
      <c r="B58" s="572" t="s">
        <v>1003</v>
      </c>
      <c r="C58" s="572" t="s">
        <v>457</v>
      </c>
      <c r="D58" s="572" t="s">
        <v>965</v>
      </c>
      <c r="E58" s="572" t="s">
        <v>973</v>
      </c>
      <c r="F58" s="572" t="s">
        <v>1046</v>
      </c>
      <c r="G58" s="572"/>
      <c r="H58" s="592"/>
      <c r="I58" s="592"/>
      <c r="J58" s="572"/>
      <c r="K58" s="572"/>
      <c r="L58" s="592">
        <v>6</v>
      </c>
      <c r="M58" s="592">
        <v>0</v>
      </c>
      <c r="N58" s="572"/>
      <c r="O58" s="572">
        <v>0</v>
      </c>
      <c r="P58" s="592"/>
      <c r="Q58" s="592"/>
      <c r="R58" s="577"/>
      <c r="S58" s="593"/>
    </row>
    <row r="59" spans="1:19" ht="14.4" customHeight="1" x14ac:dyDescent="0.3">
      <c r="A59" s="571" t="s">
        <v>1002</v>
      </c>
      <c r="B59" s="572" t="s">
        <v>1003</v>
      </c>
      <c r="C59" s="572" t="s">
        <v>457</v>
      </c>
      <c r="D59" s="572" t="s">
        <v>965</v>
      </c>
      <c r="E59" s="572" t="s">
        <v>973</v>
      </c>
      <c r="F59" s="572" t="s">
        <v>1047</v>
      </c>
      <c r="G59" s="572"/>
      <c r="H59" s="592"/>
      <c r="I59" s="592"/>
      <c r="J59" s="572"/>
      <c r="K59" s="572"/>
      <c r="L59" s="592">
        <v>17</v>
      </c>
      <c r="M59" s="592">
        <v>329460</v>
      </c>
      <c r="N59" s="572">
        <v>1</v>
      </c>
      <c r="O59" s="572">
        <v>19380</v>
      </c>
      <c r="P59" s="592"/>
      <c r="Q59" s="592"/>
      <c r="R59" s="577"/>
      <c r="S59" s="593"/>
    </row>
    <row r="60" spans="1:19" ht="14.4" customHeight="1" x14ac:dyDescent="0.3">
      <c r="A60" s="571" t="s">
        <v>1002</v>
      </c>
      <c r="B60" s="572" t="s">
        <v>1003</v>
      </c>
      <c r="C60" s="572" t="s">
        <v>457</v>
      </c>
      <c r="D60" s="572" t="s">
        <v>965</v>
      </c>
      <c r="E60" s="572" t="s">
        <v>973</v>
      </c>
      <c r="F60" s="572" t="s">
        <v>1048</v>
      </c>
      <c r="G60" s="572" t="s">
        <v>1049</v>
      </c>
      <c r="H60" s="592"/>
      <c r="I60" s="592"/>
      <c r="J60" s="572"/>
      <c r="K60" s="572"/>
      <c r="L60" s="592"/>
      <c r="M60" s="592"/>
      <c r="N60" s="572"/>
      <c r="O60" s="572"/>
      <c r="P60" s="592">
        <v>104</v>
      </c>
      <c r="Q60" s="592">
        <v>63336</v>
      </c>
      <c r="R60" s="577"/>
      <c r="S60" s="593">
        <v>609</v>
      </c>
    </row>
    <row r="61" spans="1:19" ht="14.4" customHeight="1" x14ac:dyDescent="0.3">
      <c r="A61" s="571" t="s">
        <v>1002</v>
      </c>
      <c r="B61" s="572" t="s">
        <v>1003</v>
      </c>
      <c r="C61" s="572" t="s">
        <v>457</v>
      </c>
      <c r="D61" s="572" t="s">
        <v>965</v>
      </c>
      <c r="E61" s="572" t="s">
        <v>973</v>
      </c>
      <c r="F61" s="572" t="s">
        <v>1050</v>
      </c>
      <c r="G61" s="572" t="s">
        <v>1051</v>
      </c>
      <c r="H61" s="592"/>
      <c r="I61" s="592"/>
      <c r="J61" s="572"/>
      <c r="K61" s="572"/>
      <c r="L61" s="592"/>
      <c r="M61" s="592"/>
      <c r="N61" s="572"/>
      <c r="O61" s="572"/>
      <c r="P61" s="592">
        <v>87</v>
      </c>
      <c r="Q61" s="592">
        <v>389760</v>
      </c>
      <c r="R61" s="577"/>
      <c r="S61" s="593">
        <v>4480</v>
      </c>
    </row>
    <row r="62" spans="1:19" ht="14.4" customHeight="1" x14ac:dyDescent="0.3">
      <c r="A62" s="571" t="s">
        <v>1002</v>
      </c>
      <c r="B62" s="572" t="s">
        <v>1003</v>
      </c>
      <c r="C62" s="572" t="s">
        <v>457</v>
      </c>
      <c r="D62" s="572" t="s">
        <v>965</v>
      </c>
      <c r="E62" s="572" t="s">
        <v>973</v>
      </c>
      <c r="F62" s="572" t="s">
        <v>1052</v>
      </c>
      <c r="G62" s="572" t="s">
        <v>1053</v>
      </c>
      <c r="H62" s="592"/>
      <c r="I62" s="592"/>
      <c r="J62" s="572"/>
      <c r="K62" s="572"/>
      <c r="L62" s="592"/>
      <c r="M62" s="592"/>
      <c r="N62" s="572"/>
      <c r="O62" s="572"/>
      <c r="P62" s="592">
        <v>548</v>
      </c>
      <c r="Q62" s="592">
        <v>606636</v>
      </c>
      <c r="R62" s="577"/>
      <c r="S62" s="593">
        <v>1107</v>
      </c>
    </row>
    <row r="63" spans="1:19" ht="14.4" customHeight="1" x14ac:dyDescent="0.3">
      <c r="A63" s="571" t="s">
        <v>1002</v>
      </c>
      <c r="B63" s="572" t="s">
        <v>1003</v>
      </c>
      <c r="C63" s="572" t="s">
        <v>457</v>
      </c>
      <c r="D63" s="572" t="s">
        <v>965</v>
      </c>
      <c r="E63" s="572" t="s">
        <v>973</v>
      </c>
      <c r="F63" s="572" t="s">
        <v>1054</v>
      </c>
      <c r="G63" s="572" t="s">
        <v>1055</v>
      </c>
      <c r="H63" s="592"/>
      <c r="I63" s="592"/>
      <c r="J63" s="572"/>
      <c r="K63" s="572"/>
      <c r="L63" s="592"/>
      <c r="M63" s="592"/>
      <c r="N63" s="572"/>
      <c r="O63" s="572"/>
      <c r="P63" s="592">
        <v>317</v>
      </c>
      <c r="Q63" s="592">
        <v>2355310</v>
      </c>
      <c r="R63" s="577"/>
      <c r="S63" s="593">
        <v>7430</v>
      </c>
    </row>
    <row r="64" spans="1:19" ht="14.4" customHeight="1" x14ac:dyDescent="0.3">
      <c r="A64" s="571" t="s">
        <v>1002</v>
      </c>
      <c r="B64" s="572" t="s">
        <v>1003</v>
      </c>
      <c r="C64" s="572" t="s">
        <v>457</v>
      </c>
      <c r="D64" s="572" t="s">
        <v>965</v>
      </c>
      <c r="E64" s="572" t="s">
        <v>973</v>
      </c>
      <c r="F64" s="572" t="s">
        <v>1054</v>
      </c>
      <c r="G64" s="572" t="s">
        <v>1056</v>
      </c>
      <c r="H64" s="592"/>
      <c r="I64" s="592"/>
      <c r="J64" s="572"/>
      <c r="K64" s="572"/>
      <c r="L64" s="592"/>
      <c r="M64" s="592"/>
      <c r="N64" s="572"/>
      <c r="O64" s="572"/>
      <c r="P64" s="592">
        <v>5</v>
      </c>
      <c r="Q64" s="592">
        <v>37150</v>
      </c>
      <c r="R64" s="577"/>
      <c r="S64" s="593">
        <v>7430</v>
      </c>
    </row>
    <row r="65" spans="1:19" ht="14.4" customHeight="1" x14ac:dyDescent="0.3">
      <c r="A65" s="571" t="s">
        <v>1002</v>
      </c>
      <c r="B65" s="572" t="s">
        <v>1003</v>
      </c>
      <c r="C65" s="572" t="s">
        <v>457</v>
      </c>
      <c r="D65" s="572" t="s">
        <v>965</v>
      </c>
      <c r="E65" s="572" t="s">
        <v>973</v>
      </c>
      <c r="F65" s="572" t="s">
        <v>1057</v>
      </c>
      <c r="G65" s="572" t="s">
        <v>1058</v>
      </c>
      <c r="H65" s="592"/>
      <c r="I65" s="592"/>
      <c r="J65" s="572"/>
      <c r="K65" s="572"/>
      <c r="L65" s="592"/>
      <c r="M65" s="592"/>
      <c r="N65" s="572"/>
      <c r="O65" s="572"/>
      <c r="P65" s="592">
        <v>16</v>
      </c>
      <c r="Q65" s="592">
        <v>61360</v>
      </c>
      <c r="R65" s="577"/>
      <c r="S65" s="593">
        <v>3835</v>
      </c>
    </row>
    <row r="66" spans="1:19" ht="14.4" customHeight="1" x14ac:dyDescent="0.3">
      <c r="A66" s="571" t="s">
        <v>1002</v>
      </c>
      <c r="B66" s="572" t="s">
        <v>1003</v>
      </c>
      <c r="C66" s="572" t="s">
        <v>457</v>
      </c>
      <c r="D66" s="572" t="s">
        <v>965</v>
      </c>
      <c r="E66" s="572" t="s">
        <v>973</v>
      </c>
      <c r="F66" s="572" t="s">
        <v>1057</v>
      </c>
      <c r="G66" s="572" t="s">
        <v>1059</v>
      </c>
      <c r="H66" s="592"/>
      <c r="I66" s="592"/>
      <c r="J66" s="572"/>
      <c r="K66" s="572"/>
      <c r="L66" s="592"/>
      <c r="M66" s="592"/>
      <c r="N66" s="572"/>
      <c r="O66" s="572"/>
      <c r="P66" s="592">
        <v>555</v>
      </c>
      <c r="Q66" s="592">
        <v>2128425</v>
      </c>
      <c r="R66" s="577"/>
      <c r="S66" s="593">
        <v>3835</v>
      </c>
    </row>
    <row r="67" spans="1:19" ht="14.4" customHeight="1" x14ac:dyDescent="0.3">
      <c r="A67" s="571" t="s">
        <v>1002</v>
      </c>
      <c r="B67" s="572" t="s">
        <v>1003</v>
      </c>
      <c r="C67" s="572" t="s">
        <v>457</v>
      </c>
      <c r="D67" s="572" t="s">
        <v>965</v>
      </c>
      <c r="E67" s="572" t="s">
        <v>973</v>
      </c>
      <c r="F67" s="572" t="s">
        <v>1060</v>
      </c>
      <c r="G67" s="572" t="s">
        <v>1061</v>
      </c>
      <c r="H67" s="592"/>
      <c r="I67" s="592"/>
      <c r="J67" s="572"/>
      <c r="K67" s="572"/>
      <c r="L67" s="592"/>
      <c r="M67" s="592"/>
      <c r="N67" s="572"/>
      <c r="O67" s="572"/>
      <c r="P67" s="592">
        <v>45</v>
      </c>
      <c r="Q67" s="592">
        <v>107775</v>
      </c>
      <c r="R67" s="577"/>
      <c r="S67" s="593">
        <v>2395</v>
      </c>
    </row>
    <row r="68" spans="1:19" ht="14.4" customHeight="1" x14ac:dyDescent="0.3">
      <c r="A68" s="571" t="s">
        <v>1002</v>
      </c>
      <c r="B68" s="572" t="s">
        <v>1003</v>
      </c>
      <c r="C68" s="572" t="s">
        <v>457</v>
      </c>
      <c r="D68" s="572" t="s">
        <v>965</v>
      </c>
      <c r="E68" s="572" t="s">
        <v>973</v>
      </c>
      <c r="F68" s="572" t="s">
        <v>1060</v>
      </c>
      <c r="G68" s="572" t="s">
        <v>1062</v>
      </c>
      <c r="H68" s="592"/>
      <c r="I68" s="592"/>
      <c r="J68" s="572"/>
      <c r="K68" s="572"/>
      <c r="L68" s="592"/>
      <c r="M68" s="592"/>
      <c r="N68" s="572"/>
      <c r="O68" s="572"/>
      <c r="P68" s="592">
        <v>4</v>
      </c>
      <c r="Q68" s="592">
        <v>9580</v>
      </c>
      <c r="R68" s="577"/>
      <c r="S68" s="593">
        <v>2395</v>
      </c>
    </row>
    <row r="69" spans="1:19" ht="14.4" customHeight="1" x14ac:dyDescent="0.3">
      <c r="A69" s="571" t="s">
        <v>1002</v>
      </c>
      <c r="B69" s="572" t="s">
        <v>1003</v>
      </c>
      <c r="C69" s="572" t="s">
        <v>457</v>
      </c>
      <c r="D69" s="572" t="s">
        <v>965</v>
      </c>
      <c r="E69" s="572" t="s">
        <v>973</v>
      </c>
      <c r="F69" s="572" t="s">
        <v>1063</v>
      </c>
      <c r="G69" s="572" t="s">
        <v>1064</v>
      </c>
      <c r="H69" s="592"/>
      <c r="I69" s="592"/>
      <c r="J69" s="572"/>
      <c r="K69" s="572"/>
      <c r="L69" s="592"/>
      <c r="M69" s="592"/>
      <c r="N69" s="572"/>
      <c r="O69" s="572"/>
      <c r="P69" s="592">
        <v>23</v>
      </c>
      <c r="Q69" s="592">
        <v>816477</v>
      </c>
      <c r="R69" s="577"/>
      <c r="S69" s="593">
        <v>35499</v>
      </c>
    </row>
    <row r="70" spans="1:19" ht="14.4" customHeight="1" x14ac:dyDescent="0.3">
      <c r="A70" s="571" t="s">
        <v>1002</v>
      </c>
      <c r="B70" s="572" t="s">
        <v>1003</v>
      </c>
      <c r="C70" s="572" t="s">
        <v>457</v>
      </c>
      <c r="D70" s="572" t="s">
        <v>965</v>
      </c>
      <c r="E70" s="572" t="s">
        <v>973</v>
      </c>
      <c r="F70" s="572" t="s">
        <v>1065</v>
      </c>
      <c r="G70" s="572" t="s">
        <v>1066</v>
      </c>
      <c r="H70" s="592"/>
      <c r="I70" s="592"/>
      <c r="J70" s="572"/>
      <c r="K70" s="572"/>
      <c r="L70" s="592"/>
      <c r="M70" s="592"/>
      <c r="N70" s="572"/>
      <c r="O70" s="572"/>
      <c r="P70" s="592">
        <v>8</v>
      </c>
      <c r="Q70" s="592">
        <v>70448</v>
      </c>
      <c r="R70" s="577"/>
      <c r="S70" s="593">
        <v>8806</v>
      </c>
    </row>
    <row r="71" spans="1:19" ht="14.4" customHeight="1" x14ac:dyDescent="0.3">
      <c r="A71" s="571" t="s">
        <v>1002</v>
      </c>
      <c r="B71" s="572" t="s">
        <v>1003</v>
      </c>
      <c r="C71" s="572" t="s">
        <v>457</v>
      </c>
      <c r="D71" s="572" t="s">
        <v>965</v>
      </c>
      <c r="E71" s="572" t="s">
        <v>973</v>
      </c>
      <c r="F71" s="572" t="s">
        <v>1067</v>
      </c>
      <c r="G71" s="572" t="s">
        <v>1068</v>
      </c>
      <c r="H71" s="592"/>
      <c r="I71" s="592"/>
      <c r="J71" s="572"/>
      <c r="K71" s="572"/>
      <c r="L71" s="592"/>
      <c r="M71" s="592"/>
      <c r="N71" s="572"/>
      <c r="O71" s="572"/>
      <c r="P71" s="592">
        <v>8</v>
      </c>
      <c r="Q71" s="592">
        <v>80000</v>
      </c>
      <c r="R71" s="577"/>
      <c r="S71" s="593">
        <v>10000</v>
      </c>
    </row>
    <row r="72" spans="1:19" ht="14.4" customHeight="1" x14ac:dyDescent="0.3">
      <c r="A72" s="571" t="s">
        <v>1002</v>
      </c>
      <c r="B72" s="572" t="s">
        <v>1003</v>
      </c>
      <c r="C72" s="572" t="s">
        <v>457</v>
      </c>
      <c r="D72" s="572" t="s">
        <v>965</v>
      </c>
      <c r="E72" s="572" t="s">
        <v>973</v>
      </c>
      <c r="F72" s="572" t="s">
        <v>1069</v>
      </c>
      <c r="G72" s="572" t="s">
        <v>1070</v>
      </c>
      <c r="H72" s="592"/>
      <c r="I72" s="592"/>
      <c r="J72" s="572"/>
      <c r="K72" s="572"/>
      <c r="L72" s="592"/>
      <c r="M72" s="592"/>
      <c r="N72" s="572"/>
      <c r="O72" s="572"/>
      <c r="P72" s="592">
        <v>133</v>
      </c>
      <c r="Q72" s="592">
        <v>1431966.6800000002</v>
      </c>
      <c r="R72" s="577"/>
      <c r="S72" s="593">
        <v>10766.666766917295</v>
      </c>
    </row>
    <row r="73" spans="1:19" ht="14.4" customHeight="1" x14ac:dyDescent="0.3">
      <c r="A73" s="571" t="s">
        <v>1002</v>
      </c>
      <c r="B73" s="572" t="s">
        <v>1003</v>
      </c>
      <c r="C73" s="572" t="s">
        <v>457</v>
      </c>
      <c r="D73" s="572" t="s">
        <v>965</v>
      </c>
      <c r="E73" s="572" t="s">
        <v>973</v>
      </c>
      <c r="F73" s="572" t="s">
        <v>1069</v>
      </c>
      <c r="G73" s="572" t="s">
        <v>1071</v>
      </c>
      <c r="H73" s="592"/>
      <c r="I73" s="592"/>
      <c r="J73" s="572"/>
      <c r="K73" s="572"/>
      <c r="L73" s="592"/>
      <c r="M73" s="592"/>
      <c r="N73" s="572"/>
      <c r="O73" s="572"/>
      <c r="P73" s="592">
        <v>5</v>
      </c>
      <c r="Q73" s="592">
        <v>53833.34</v>
      </c>
      <c r="R73" s="577"/>
      <c r="S73" s="593">
        <v>10766.668</v>
      </c>
    </row>
    <row r="74" spans="1:19" ht="14.4" customHeight="1" x14ac:dyDescent="0.3">
      <c r="A74" s="571" t="s">
        <v>1002</v>
      </c>
      <c r="B74" s="572" t="s">
        <v>1003</v>
      </c>
      <c r="C74" s="572" t="s">
        <v>457</v>
      </c>
      <c r="D74" s="572" t="s">
        <v>965</v>
      </c>
      <c r="E74" s="572" t="s">
        <v>973</v>
      </c>
      <c r="F74" s="572" t="s">
        <v>1072</v>
      </c>
      <c r="G74" s="572" t="s">
        <v>1073</v>
      </c>
      <c r="H74" s="592"/>
      <c r="I74" s="592"/>
      <c r="J74" s="572"/>
      <c r="K74" s="572"/>
      <c r="L74" s="592"/>
      <c r="M74" s="592"/>
      <c r="N74" s="572"/>
      <c r="O74" s="572"/>
      <c r="P74" s="592">
        <v>48</v>
      </c>
      <c r="Q74" s="592">
        <v>400000</v>
      </c>
      <c r="R74" s="577"/>
      <c r="S74" s="593">
        <v>8333.3333333333339</v>
      </c>
    </row>
    <row r="75" spans="1:19" ht="14.4" customHeight="1" x14ac:dyDescent="0.3">
      <c r="A75" s="571" t="s">
        <v>1002</v>
      </c>
      <c r="B75" s="572" t="s">
        <v>1003</v>
      </c>
      <c r="C75" s="572" t="s">
        <v>457</v>
      </c>
      <c r="D75" s="572" t="s">
        <v>965</v>
      </c>
      <c r="E75" s="572" t="s">
        <v>973</v>
      </c>
      <c r="F75" s="572" t="s">
        <v>1074</v>
      </c>
      <c r="G75" s="572" t="s">
        <v>1075</v>
      </c>
      <c r="H75" s="592"/>
      <c r="I75" s="592"/>
      <c r="J75" s="572"/>
      <c r="K75" s="572"/>
      <c r="L75" s="592"/>
      <c r="M75" s="592"/>
      <c r="N75" s="572"/>
      <c r="O75" s="572"/>
      <c r="P75" s="592">
        <v>102</v>
      </c>
      <c r="Q75" s="592">
        <v>0</v>
      </c>
      <c r="R75" s="577"/>
      <c r="S75" s="593">
        <v>0</v>
      </c>
    </row>
    <row r="76" spans="1:19" ht="14.4" customHeight="1" x14ac:dyDescent="0.3">
      <c r="A76" s="571" t="s">
        <v>1002</v>
      </c>
      <c r="B76" s="572" t="s">
        <v>1003</v>
      </c>
      <c r="C76" s="572" t="s">
        <v>457</v>
      </c>
      <c r="D76" s="572" t="s">
        <v>965</v>
      </c>
      <c r="E76" s="572" t="s">
        <v>973</v>
      </c>
      <c r="F76" s="572" t="s">
        <v>1074</v>
      </c>
      <c r="G76" s="572" t="s">
        <v>1076</v>
      </c>
      <c r="H76" s="592"/>
      <c r="I76" s="592"/>
      <c r="J76" s="572"/>
      <c r="K76" s="572"/>
      <c r="L76" s="592"/>
      <c r="M76" s="592"/>
      <c r="N76" s="572"/>
      <c r="O76" s="572"/>
      <c r="P76" s="592">
        <v>5</v>
      </c>
      <c r="Q76" s="592">
        <v>0</v>
      </c>
      <c r="R76" s="577"/>
      <c r="S76" s="593">
        <v>0</v>
      </c>
    </row>
    <row r="77" spans="1:19" ht="14.4" customHeight="1" x14ac:dyDescent="0.3">
      <c r="A77" s="571" t="s">
        <v>1002</v>
      </c>
      <c r="B77" s="572" t="s">
        <v>1003</v>
      </c>
      <c r="C77" s="572" t="s">
        <v>457</v>
      </c>
      <c r="D77" s="572" t="s">
        <v>965</v>
      </c>
      <c r="E77" s="572" t="s">
        <v>973</v>
      </c>
      <c r="F77" s="572" t="s">
        <v>1077</v>
      </c>
      <c r="G77" s="572" t="s">
        <v>1078</v>
      </c>
      <c r="H77" s="592"/>
      <c r="I77" s="592"/>
      <c r="J77" s="572"/>
      <c r="K77" s="572"/>
      <c r="L77" s="592"/>
      <c r="M77" s="592"/>
      <c r="N77" s="572"/>
      <c r="O77" s="572"/>
      <c r="P77" s="592">
        <v>9</v>
      </c>
      <c r="Q77" s="592">
        <v>74250</v>
      </c>
      <c r="R77" s="577"/>
      <c r="S77" s="593">
        <v>8250</v>
      </c>
    </row>
    <row r="78" spans="1:19" ht="14.4" customHeight="1" x14ac:dyDescent="0.3">
      <c r="A78" s="571" t="s">
        <v>1002</v>
      </c>
      <c r="B78" s="572" t="s">
        <v>1003</v>
      </c>
      <c r="C78" s="572" t="s">
        <v>457</v>
      </c>
      <c r="D78" s="572" t="s">
        <v>965</v>
      </c>
      <c r="E78" s="572" t="s">
        <v>973</v>
      </c>
      <c r="F78" s="572" t="s">
        <v>1079</v>
      </c>
      <c r="G78" s="572" t="s">
        <v>1080</v>
      </c>
      <c r="H78" s="592"/>
      <c r="I78" s="592"/>
      <c r="J78" s="572"/>
      <c r="K78" s="572"/>
      <c r="L78" s="592"/>
      <c r="M78" s="592"/>
      <c r="N78" s="572"/>
      <c r="O78" s="572"/>
      <c r="P78" s="592">
        <v>8</v>
      </c>
      <c r="Q78" s="592">
        <v>0</v>
      </c>
      <c r="R78" s="577"/>
      <c r="S78" s="593">
        <v>0</v>
      </c>
    </row>
    <row r="79" spans="1:19" ht="14.4" customHeight="1" x14ac:dyDescent="0.3">
      <c r="A79" s="571" t="s">
        <v>1002</v>
      </c>
      <c r="B79" s="572" t="s">
        <v>1003</v>
      </c>
      <c r="C79" s="572" t="s">
        <v>457</v>
      </c>
      <c r="D79" s="572" t="s">
        <v>965</v>
      </c>
      <c r="E79" s="572" t="s">
        <v>973</v>
      </c>
      <c r="F79" s="572" t="s">
        <v>1079</v>
      </c>
      <c r="G79" s="572" t="s">
        <v>1081</v>
      </c>
      <c r="H79" s="592"/>
      <c r="I79" s="592"/>
      <c r="J79" s="572"/>
      <c r="K79" s="572"/>
      <c r="L79" s="592"/>
      <c r="M79" s="592"/>
      <c r="N79" s="572"/>
      <c r="O79" s="572"/>
      <c r="P79" s="592">
        <v>2</v>
      </c>
      <c r="Q79" s="592">
        <v>0</v>
      </c>
      <c r="R79" s="577"/>
      <c r="S79" s="593">
        <v>0</v>
      </c>
    </row>
    <row r="80" spans="1:19" ht="14.4" customHeight="1" x14ac:dyDescent="0.3">
      <c r="A80" s="571" t="s">
        <v>1002</v>
      </c>
      <c r="B80" s="572" t="s">
        <v>1003</v>
      </c>
      <c r="C80" s="572" t="s">
        <v>457</v>
      </c>
      <c r="D80" s="572" t="s">
        <v>965</v>
      </c>
      <c r="E80" s="572" t="s">
        <v>973</v>
      </c>
      <c r="F80" s="572" t="s">
        <v>1082</v>
      </c>
      <c r="G80" s="572" t="s">
        <v>1083</v>
      </c>
      <c r="H80" s="592"/>
      <c r="I80" s="592"/>
      <c r="J80" s="572"/>
      <c r="K80" s="572"/>
      <c r="L80" s="592"/>
      <c r="M80" s="592"/>
      <c r="N80" s="572"/>
      <c r="O80" s="572"/>
      <c r="P80" s="592">
        <v>0</v>
      </c>
      <c r="Q80" s="592">
        <v>0</v>
      </c>
      <c r="R80" s="577"/>
      <c r="S80" s="593"/>
    </row>
    <row r="81" spans="1:19" ht="14.4" customHeight="1" x14ac:dyDescent="0.3">
      <c r="A81" s="571" t="s">
        <v>1002</v>
      </c>
      <c r="B81" s="572" t="s">
        <v>1003</v>
      </c>
      <c r="C81" s="572" t="s">
        <v>457</v>
      </c>
      <c r="D81" s="572" t="s">
        <v>965</v>
      </c>
      <c r="E81" s="572" t="s">
        <v>973</v>
      </c>
      <c r="F81" s="572" t="s">
        <v>1084</v>
      </c>
      <c r="G81" s="572" t="s">
        <v>1085</v>
      </c>
      <c r="H81" s="592"/>
      <c r="I81" s="592"/>
      <c r="J81" s="572"/>
      <c r="K81" s="572"/>
      <c r="L81" s="592"/>
      <c r="M81" s="592"/>
      <c r="N81" s="572"/>
      <c r="O81" s="572"/>
      <c r="P81" s="592">
        <v>14</v>
      </c>
      <c r="Q81" s="592">
        <v>427777.82</v>
      </c>
      <c r="R81" s="577"/>
      <c r="S81" s="593">
        <v>30555.558571428573</v>
      </c>
    </row>
    <row r="82" spans="1:19" ht="14.4" customHeight="1" x14ac:dyDescent="0.3">
      <c r="A82" s="571" t="s">
        <v>1002</v>
      </c>
      <c r="B82" s="572" t="s">
        <v>1003</v>
      </c>
      <c r="C82" s="572" t="s">
        <v>457</v>
      </c>
      <c r="D82" s="572" t="s">
        <v>965</v>
      </c>
      <c r="E82" s="572" t="s">
        <v>973</v>
      </c>
      <c r="F82" s="572" t="s">
        <v>1086</v>
      </c>
      <c r="G82" s="572" t="s">
        <v>1087</v>
      </c>
      <c r="H82" s="592"/>
      <c r="I82" s="592"/>
      <c r="J82" s="572"/>
      <c r="K82" s="572"/>
      <c r="L82" s="592"/>
      <c r="M82" s="592"/>
      <c r="N82" s="572"/>
      <c r="O82" s="572"/>
      <c r="P82" s="592">
        <v>17</v>
      </c>
      <c r="Q82" s="592">
        <v>72420</v>
      </c>
      <c r="R82" s="577"/>
      <c r="S82" s="593">
        <v>4260</v>
      </c>
    </row>
    <row r="83" spans="1:19" ht="14.4" customHeight="1" x14ac:dyDescent="0.3">
      <c r="A83" s="571" t="s">
        <v>1002</v>
      </c>
      <c r="B83" s="572" t="s">
        <v>1003</v>
      </c>
      <c r="C83" s="572" t="s">
        <v>457</v>
      </c>
      <c r="D83" s="572" t="s">
        <v>965</v>
      </c>
      <c r="E83" s="572" t="s">
        <v>973</v>
      </c>
      <c r="F83" s="572" t="s">
        <v>1088</v>
      </c>
      <c r="G83" s="572" t="s">
        <v>1089</v>
      </c>
      <c r="H83" s="592"/>
      <c r="I83" s="592"/>
      <c r="J83" s="572"/>
      <c r="K83" s="572"/>
      <c r="L83" s="592"/>
      <c r="M83" s="592"/>
      <c r="N83" s="572"/>
      <c r="O83" s="572"/>
      <c r="P83" s="592">
        <v>9</v>
      </c>
      <c r="Q83" s="592">
        <v>47900</v>
      </c>
      <c r="R83" s="577"/>
      <c r="S83" s="593">
        <v>5322.2222222222226</v>
      </c>
    </row>
    <row r="84" spans="1:19" ht="14.4" customHeight="1" x14ac:dyDescent="0.3">
      <c r="A84" s="571" t="s">
        <v>1002</v>
      </c>
      <c r="B84" s="572" t="s">
        <v>1003</v>
      </c>
      <c r="C84" s="572" t="s">
        <v>457</v>
      </c>
      <c r="D84" s="572" t="s">
        <v>965</v>
      </c>
      <c r="E84" s="572" t="s">
        <v>973</v>
      </c>
      <c r="F84" s="572" t="s">
        <v>1090</v>
      </c>
      <c r="G84" s="572" t="s">
        <v>1091</v>
      </c>
      <c r="H84" s="592"/>
      <c r="I84" s="592"/>
      <c r="J84" s="572"/>
      <c r="K84" s="572"/>
      <c r="L84" s="592"/>
      <c r="M84" s="592"/>
      <c r="N84" s="572"/>
      <c r="O84" s="572"/>
      <c r="P84" s="592">
        <v>30</v>
      </c>
      <c r="Q84" s="592">
        <v>1320000</v>
      </c>
      <c r="R84" s="577"/>
      <c r="S84" s="593">
        <v>44000</v>
      </c>
    </row>
    <row r="85" spans="1:19" ht="14.4" customHeight="1" thickBot="1" x14ac:dyDescent="0.35">
      <c r="A85" s="579" t="s">
        <v>1002</v>
      </c>
      <c r="B85" s="580" t="s">
        <v>1003</v>
      </c>
      <c r="C85" s="580" t="s">
        <v>457</v>
      </c>
      <c r="D85" s="580" t="s">
        <v>965</v>
      </c>
      <c r="E85" s="580" t="s">
        <v>973</v>
      </c>
      <c r="F85" s="580" t="s">
        <v>1090</v>
      </c>
      <c r="G85" s="580" t="s">
        <v>1092</v>
      </c>
      <c r="H85" s="594"/>
      <c r="I85" s="594"/>
      <c r="J85" s="580"/>
      <c r="K85" s="580"/>
      <c r="L85" s="594"/>
      <c r="M85" s="594"/>
      <c r="N85" s="580"/>
      <c r="O85" s="580"/>
      <c r="P85" s="594">
        <v>14</v>
      </c>
      <c r="Q85" s="594">
        <v>616000</v>
      </c>
      <c r="R85" s="585"/>
      <c r="S85" s="595">
        <v>44000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1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29" bestFit="1" customWidth="1" collapsed="1"/>
    <col min="2" max="2" width="7.77734375" style="106" hidden="1" customWidth="1" outlineLevel="1"/>
    <col min="3" max="3" width="0.109375" style="129" hidden="1" customWidth="1"/>
    <col min="4" max="4" width="7.77734375" style="106" customWidth="1"/>
    <col min="5" max="5" width="5.44140625" style="129" hidden="1" customWidth="1"/>
    <col min="6" max="6" width="7.77734375" style="106" customWidth="1"/>
    <col min="7" max="7" width="7.77734375" style="210" customWidth="1" collapsed="1"/>
    <col min="8" max="8" width="7.77734375" style="106" hidden="1" customWidth="1" outlineLevel="1"/>
    <col min="9" max="9" width="5.44140625" style="129" hidden="1" customWidth="1"/>
    <col min="10" max="10" width="7.77734375" style="106" customWidth="1"/>
    <col min="11" max="11" width="5.44140625" style="129" hidden="1" customWidth="1"/>
    <col min="12" max="12" width="7.77734375" style="106" customWidth="1"/>
    <col min="13" max="13" width="7.77734375" style="210" customWidth="1" collapsed="1"/>
    <col min="14" max="14" width="7.77734375" style="106" hidden="1" customWidth="1" outlineLevel="1"/>
    <col min="15" max="15" width="5" style="129" hidden="1" customWidth="1"/>
    <col min="16" max="16" width="7.77734375" style="106" customWidth="1"/>
    <col min="17" max="17" width="5" style="129" hidden="1" customWidth="1"/>
    <col min="18" max="18" width="7.77734375" style="106" customWidth="1"/>
    <col min="19" max="19" width="7.77734375" style="210" customWidth="1"/>
    <col min="20" max="16384" width="8.88671875" style="129"/>
  </cols>
  <sheetData>
    <row r="1" spans="1:19" ht="18.600000000000001" customHeight="1" thickBot="1" x14ac:dyDescent="0.4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" customHeight="1" thickBot="1" x14ac:dyDescent="0.35">
      <c r="A2" s="232" t="s">
        <v>265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127</v>
      </c>
      <c r="B3" s="221">
        <f>SUBTOTAL(9,B6:B1048576)</f>
        <v>814379.33000000007</v>
      </c>
      <c r="C3" s="222">
        <f t="shared" ref="C3:R3" si="0">SUBTOTAL(9,C6:C1048576)</f>
        <v>10.960391238626475</v>
      </c>
      <c r="D3" s="222">
        <f t="shared" si="0"/>
        <v>389141</v>
      </c>
      <c r="E3" s="222">
        <f t="shared" si="0"/>
        <v>7</v>
      </c>
      <c r="F3" s="222">
        <f t="shared" si="0"/>
        <v>245057.33000000002</v>
      </c>
      <c r="G3" s="225">
        <f>IF(D3&lt;&gt;0,F3/D3,"")</f>
        <v>0.62973916909295091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" customHeight="1" x14ac:dyDescent="0.3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" customHeight="1" thickBot="1" x14ac:dyDescent="0.35">
      <c r="A5" s="615"/>
      <c r="B5" s="616">
        <v>2015</v>
      </c>
      <c r="C5" s="617"/>
      <c r="D5" s="617">
        <v>2017</v>
      </c>
      <c r="E5" s="617"/>
      <c r="F5" s="617">
        <v>2018</v>
      </c>
      <c r="G5" s="653" t="s">
        <v>2</v>
      </c>
      <c r="H5" s="616">
        <v>2015</v>
      </c>
      <c r="I5" s="617"/>
      <c r="J5" s="617">
        <v>2017</v>
      </c>
      <c r="K5" s="617"/>
      <c r="L5" s="617">
        <v>2018</v>
      </c>
      <c r="M5" s="653" t="s">
        <v>2</v>
      </c>
      <c r="N5" s="616">
        <v>2015</v>
      </c>
      <c r="O5" s="617"/>
      <c r="P5" s="617">
        <v>2017</v>
      </c>
      <c r="Q5" s="617"/>
      <c r="R5" s="617">
        <v>2018</v>
      </c>
      <c r="S5" s="653" t="s">
        <v>2</v>
      </c>
    </row>
    <row r="6" spans="1:19" ht="14.4" customHeight="1" x14ac:dyDescent="0.3">
      <c r="A6" s="603" t="s">
        <v>1095</v>
      </c>
      <c r="B6" s="637">
        <v>1519</v>
      </c>
      <c r="C6" s="565">
        <v>2.4125279926305927E-2</v>
      </c>
      <c r="D6" s="637">
        <v>62963</v>
      </c>
      <c r="E6" s="565">
        <v>1</v>
      </c>
      <c r="F6" s="637"/>
      <c r="G6" s="570"/>
      <c r="H6" s="637"/>
      <c r="I6" s="565"/>
      <c r="J6" s="637"/>
      <c r="K6" s="565"/>
      <c r="L6" s="637"/>
      <c r="M6" s="570"/>
      <c r="N6" s="637"/>
      <c r="O6" s="565"/>
      <c r="P6" s="637"/>
      <c r="Q6" s="565"/>
      <c r="R6" s="637"/>
      <c r="S6" s="122"/>
    </row>
    <row r="7" spans="1:19" ht="14.4" customHeight="1" x14ac:dyDescent="0.3">
      <c r="A7" s="604" t="s">
        <v>1096</v>
      </c>
      <c r="B7" s="654">
        <v>33.33</v>
      </c>
      <c r="C7" s="572"/>
      <c r="D7" s="654"/>
      <c r="E7" s="572"/>
      <c r="F7" s="654"/>
      <c r="G7" s="577"/>
      <c r="H7" s="654"/>
      <c r="I7" s="572"/>
      <c r="J7" s="654"/>
      <c r="K7" s="572"/>
      <c r="L7" s="654"/>
      <c r="M7" s="577"/>
      <c r="N7" s="654"/>
      <c r="O7" s="572"/>
      <c r="P7" s="654"/>
      <c r="Q7" s="572"/>
      <c r="R7" s="654"/>
      <c r="S7" s="578"/>
    </row>
    <row r="8" spans="1:19" ht="14.4" customHeight="1" x14ac:dyDescent="0.3">
      <c r="A8" s="604" t="s">
        <v>1097</v>
      </c>
      <c r="B8" s="654"/>
      <c r="C8" s="572"/>
      <c r="D8" s="654"/>
      <c r="E8" s="572"/>
      <c r="F8" s="654">
        <v>2483</v>
      </c>
      <c r="G8" s="577"/>
      <c r="H8" s="654"/>
      <c r="I8" s="572"/>
      <c r="J8" s="654"/>
      <c r="K8" s="572"/>
      <c r="L8" s="654"/>
      <c r="M8" s="577"/>
      <c r="N8" s="654"/>
      <c r="O8" s="572"/>
      <c r="P8" s="654"/>
      <c r="Q8" s="572"/>
      <c r="R8" s="654"/>
      <c r="S8" s="578"/>
    </row>
    <row r="9" spans="1:19" ht="14.4" customHeight="1" x14ac:dyDescent="0.3">
      <c r="A9" s="604" t="s">
        <v>1098</v>
      </c>
      <c r="B9" s="654">
        <v>449924</v>
      </c>
      <c r="C9" s="572">
        <v>5.2553233737866911</v>
      </c>
      <c r="D9" s="654">
        <v>85613</v>
      </c>
      <c r="E9" s="572">
        <v>1</v>
      </c>
      <c r="F9" s="654">
        <v>4566</v>
      </c>
      <c r="G9" s="577">
        <v>5.3333021854157663E-2</v>
      </c>
      <c r="H9" s="654"/>
      <c r="I9" s="572"/>
      <c r="J9" s="654"/>
      <c r="K9" s="572"/>
      <c r="L9" s="654"/>
      <c r="M9" s="577"/>
      <c r="N9" s="654"/>
      <c r="O9" s="572"/>
      <c r="P9" s="654"/>
      <c r="Q9" s="572"/>
      <c r="R9" s="654"/>
      <c r="S9" s="578"/>
    </row>
    <row r="10" spans="1:19" ht="14.4" customHeight="1" x14ac:dyDescent="0.3">
      <c r="A10" s="604" t="s">
        <v>1099</v>
      </c>
      <c r="B10" s="654">
        <v>273851</v>
      </c>
      <c r="C10" s="572">
        <v>3.9125483976969124</v>
      </c>
      <c r="D10" s="654">
        <v>69993</v>
      </c>
      <c r="E10" s="572">
        <v>1</v>
      </c>
      <c r="F10" s="654">
        <v>140117.33000000002</v>
      </c>
      <c r="G10" s="577">
        <v>2.0018763304901923</v>
      </c>
      <c r="H10" s="654"/>
      <c r="I10" s="572"/>
      <c r="J10" s="654"/>
      <c r="K10" s="572"/>
      <c r="L10" s="654"/>
      <c r="M10" s="577"/>
      <c r="N10" s="654"/>
      <c r="O10" s="572"/>
      <c r="P10" s="654"/>
      <c r="Q10" s="572"/>
      <c r="R10" s="654"/>
      <c r="S10" s="578"/>
    </row>
    <row r="11" spans="1:19" ht="14.4" customHeight="1" x14ac:dyDescent="0.3">
      <c r="A11" s="604" t="s">
        <v>1100</v>
      </c>
      <c r="B11" s="654">
        <v>31915</v>
      </c>
      <c r="C11" s="572">
        <v>0.29292716058447754</v>
      </c>
      <c r="D11" s="654">
        <v>108952</v>
      </c>
      <c r="E11" s="572">
        <v>1</v>
      </c>
      <c r="F11" s="654">
        <v>32700</v>
      </c>
      <c r="G11" s="577">
        <v>0.30013216829429473</v>
      </c>
      <c r="H11" s="654"/>
      <c r="I11" s="572"/>
      <c r="J11" s="654"/>
      <c r="K11" s="572"/>
      <c r="L11" s="654"/>
      <c r="M11" s="577"/>
      <c r="N11" s="654"/>
      <c r="O11" s="572"/>
      <c r="P11" s="654"/>
      <c r="Q11" s="572"/>
      <c r="R11" s="654"/>
      <c r="S11" s="578"/>
    </row>
    <row r="12" spans="1:19" ht="14.4" customHeight="1" x14ac:dyDescent="0.3">
      <c r="A12" s="604" t="s">
        <v>1101</v>
      </c>
      <c r="B12" s="654">
        <v>50338</v>
      </c>
      <c r="C12" s="572">
        <v>0.90251904975347375</v>
      </c>
      <c r="D12" s="654">
        <v>55775</v>
      </c>
      <c r="E12" s="572">
        <v>1</v>
      </c>
      <c r="F12" s="654">
        <v>55928</v>
      </c>
      <c r="G12" s="577">
        <v>1.002743164500224</v>
      </c>
      <c r="H12" s="654"/>
      <c r="I12" s="572"/>
      <c r="J12" s="654"/>
      <c r="K12" s="572"/>
      <c r="L12" s="654"/>
      <c r="M12" s="577"/>
      <c r="N12" s="654"/>
      <c r="O12" s="572"/>
      <c r="P12" s="654"/>
      <c r="Q12" s="572"/>
      <c r="R12" s="654"/>
      <c r="S12" s="578"/>
    </row>
    <row r="13" spans="1:19" ht="14.4" customHeight="1" x14ac:dyDescent="0.3">
      <c r="A13" s="604" t="s">
        <v>1102</v>
      </c>
      <c r="B13" s="654"/>
      <c r="C13" s="572"/>
      <c r="D13" s="654">
        <v>1520</v>
      </c>
      <c r="E13" s="572">
        <v>1</v>
      </c>
      <c r="F13" s="654"/>
      <c r="G13" s="577"/>
      <c r="H13" s="654"/>
      <c r="I13" s="572"/>
      <c r="J13" s="654"/>
      <c r="K13" s="572"/>
      <c r="L13" s="654"/>
      <c r="M13" s="577"/>
      <c r="N13" s="654"/>
      <c r="O13" s="572"/>
      <c r="P13" s="654"/>
      <c r="Q13" s="572"/>
      <c r="R13" s="654"/>
      <c r="S13" s="578"/>
    </row>
    <row r="14" spans="1:19" ht="14.4" customHeight="1" x14ac:dyDescent="0.3">
      <c r="A14" s="604" t="s">
        <v>1103</v>
      </c>
      <c r="B14" s="654">
        <v>1519</v>
      </c>
      <c r="C14" s="572"/>
      <c r="D14" s="654"/>
      <c r="E14" s="572"/>
      <c r="F14" s="654"/>
      <c r="G14" s="577"/>
      <c r="H14" s="654"/>
      <c r="I14" s="572"/>
      <c r="J14" s="654"/>
      <c r="K14" s="572"/>
      <c r="L14" s="654"/>
      <c r="M14" s="577"/>
      <c r="N14" s="654"/>
      <c r="O14" s="572"/>
      <c r="P14" s="654"/>
      <c r="Q14" s="572"/>
      <c r="R14" s="654"/>
      <c r="S14" s="578"/>
    </row>
    <row r="15" spans="1:19" ht="14.4" customHeight="1" x14ac:dyDescent="0.3">
      <c r="A15" s="604" t="s">
        <v>1104</v>
      </c>
      <c r="B15" s="654">
        <v>2478</v>
      </c>
      <c r="C15" s="572">
        <v>0.57294797687861276</v>
      </c>
      <c r="D15" s="654">
        <v>4325</v>
      </c>
      <c r="E15" s="572">
        <v>1</v>
      </c>
      <c r="F15" s="654">
        <v>6634</v>
      </c>
      <c r="G15" s="577">
        <v>1.5338728323699422</v>
      </c>
      <c r="H15" s="654"/>
      <c r="I15" s="572"/>
      <c r="J15" s="654"/>
      <c r="K15" s="572"/>
      <c r="L15" s="654"/>
      <c r="M15" s="577"/>
      <c r="N15" s="654"/>
      <c r="O15" s="572"/>
      <c r="P15" s="654"/>
      <c r="Q15" s="572"/>
      <c r="R15" s="654"/>
      <c r="S15" s="578"/>
    </row>
    <row r="16" spans="1:19" ht="14.4" customHeight="1" thickBot="1" x14ac:dyDescent="0.35">
      <c r="A16" s="641" t="s">
        <v>1105</v>
      </c>
      <c r="B16" s="639">
        <v>2802</v>
      </c>
      <c r="C16" s="580"/>
      <c r="D16" s="639"/>
      <c r="E16" s="580"/>
      <c r="F16" s="639">
        <v>2629</v>
      </c>
      <c r="G16" s="585"/>
      <c r="H16" s="639"/>
      <c r="I16" s="580"/>
      <c r="J16" s="639"/>
      <c r="K16" s="580"/>
      <c r="L16" s="639"/>
      <c r="M16" s="585"/>
      <c r="N16" s="639"/>
      <c r="O16" s="580"/>
      <c r="P16" s="639"/>
      <c r="Q16" s="580"/>
      <c r="R16" s="639"/>
      <c r="S16" s="58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7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29" bestFit="1" customWidth="1"/>
    <col min="2" max="2" width="8.6640625" style="129" bestFit="1" customWidth="1"/>
    <col min="3" max="3" width="2.109375" style="129" bestFit="1" customWidth="1"/>
    <col min="4" max="4" width="8" style="129" bestFit="1" customWidth="1"/>
    <col min="5" max="5" width="52.88671875" style="129" bestFit="1" customWidth="1" collapsed="1"/>
    <col min="6" max="7" width="11.109375" style="207" hidden="1" customWidth="1" outlineLevel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29"/>
  </cols>
  <sheetData>
    <row r="1" spans="1:17" ht="18.600000000000001" customHeight="1" thickBot="1" x14ac:dyDescent="0.4">
      <c r="A1" s="329" t="s">
        <v>1117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" customHeight="1" thickBot="1" x14ac:dyDescent="0.35">
      <c r="A2" s="232" t="s">
        <v>265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127</v>
      </c>
      <c r="F3" s="102">
        <f t="shared" ref="F3:O3" si="0">SUBTOTAL(9,F6:F1048576)</f>
        <v>393</v>
      </c>
      <c r="G3" s="103">
        <f t="shared" si="0"/>
        <v>814379.33000000007</v>
      </c>
      <c r="H3" s="103"/>
      <c r="I3" s="103"/>
      <c r="J3" s="103">
        <f t="shared" si="0"/>
        <v>188</v>
      </c>
      <c r="K3" s="103">
        <f t="shared" si="0"/>
        <v>389141</v>
      </c>
      <c r="L3" s="103"/>
      <c r="M3" s="103"/>
      <c r="N3" s="103">
        <f t="shared" si="0"/>
        <v>117</v>
      </c>
      <c r="O3" s="103">
        <f t="shared" si="0"/>
        <v>245057.33</v>
      </c>
      <c r="P3" s="75">
        <f>IF(K3=0,0,O3/K3)</f>
        <v>0.6297391690929508</v>
      </c>
      <c r="Q3" s="104">
        <f>IF(N3=0,0,O3/N3)</f>
        <v>2094.507094017094</v>
      </c>
    </row>
    <row r="4" spans="1:17" ht="14.4" customHeight="1" x14ac:dyDescent="0.3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2015</v>
      </c>
      <c r="G4" s="456"/>
      <c r="H4" s="105"/>
      <c r="I4" s="105"/>
      <c r="J4" s="455">
        <v>2017</v>
      </c>
      <c r="K4" s="456"/>
      <c r="L4" s="105"/>
      <c r="M4" s="105"/>
      <c r="N4" s="455">
        <v>2018</v>
      </c>
      <c r="O4" s="456"/>
      <c r="P4" s="458" t="s">
        <v>2</v>
      </c>
      <c r="Q4" s="447" t="s">
        <v>97</v>
      </c>
    </row>
    <row r="5" spans="1:17" ht="14.4" customHeight="1" thickBot="1" x14ac:dyDescent="0.35">
      <c r="A5" s="644"/>
      <c r="B5" s="642"/>
      <c r="C5" s="644"/>
      <c r="D5" s="655"/>
      <c r="E5" s="646"/>
      <c r="F5" s="656" t="s">
        <v>71</v>
      </c>
      <c r="G5" s="657" t="s">
        <v>14</v>
      </c>
      <c r="H5" s="658"/>
      <c r="I5" s="658"/>
      <c r="J5" s="656" t="s">
        <v>71</v>
      </c>
      <c r="K5" s="657" t="s">
        <v>14</v>
      </c>
      <c r="L5" s="658"/>
      <c r="M5" s="658"/>
      <c r="N5" s="656" t="s">
        <v>71</v>
      </c>
      <c r="O5" s="657" t="s">
        <v>14</v>
      </c>
      <c r="P5" s="659"/>
      <c r="Q5" s="651"/>
    </row>
    <row r="6" spans="1:17" ht="14.4" customHeight="1" x14ac:dyDescent="0.3">
      <c r="A6" s="564" t="s">
        <v>1106</v>
      </c>
      <c r="B6" s="565" t="s">
        <v>979</v>
      </c>
      <c r="C6" s="565" t="s">
        <v>973</v>
      </c>
      <c r="D6" s="565" t="s">
        <v>983</v>
      </c>
      <c r="E6" s="565" t="s">
        <v>984</v>
      </c>
      <c r="F6" s="116"/>
      <c r="G6" s="116"/>
      <c r="H6" s="116"/>
      <c r="I6" s="116"/>
      <c r="J6" s="116">
        <v>1</v>
      </c>
      <c r="K6" s="116">
        <v>2480</v>
      </c>
      <c r="L6" s="116">
        <v>1</v>
      </c>
      <c r="M6" s="116">
        <v>2480</v>
      </c>
      <c r="N6" s="116"/>
      <c r="O6" s="116"/>
      <c r="P6" s="570"/>
      <c r="Q6" s="591"/>
    </row>
    <row r="7" spans="1:17" ht="14.4" customHeight="1" x14ac:dyDescent="0.3">
      <c r="A7" s="571" t="s">
        <v>1106</v>
      </c>
      <c r="B7" s="572" t="s">
        <v>979</v>
      </c>
      <c r="C7" s="572" t="s">
        <v>973</v>
      </c>
      <c r="D7" s="572" t="s">
        <v>987</v>
      </c>
      <c r="E7" s="572" t="s">
        <v>988</v>
      </c>
      <c r="F7" s="592"/>
      <c r="G7" s="592"/>
      <c r="H7" s="592"/>
      <c r="I7" s="592"/>
      <c r="J7" s="592">
        <v>1</v>
      </c>
      <c r="K7" s="592">
        <v>351</v>
      </c>
      <c r="L7" s="592">
        <v>1</v>
      </c>
      <c r="M7" s="592">
        <v>351</v>
      </c>
      <c r="N7" s="592"/>
      <c r="O7" s="592"/>
      <c r="P7" s="577"/>
      <c r="Q7" s="593"/>
    </row>
    <row r="8" spans="1:17" ht="14.4" customHeight="1" x14ac:dyDescent="0.3">
      <c r="A8" s="571" t="s">
        <v>1106</v>
      </c>
      <c r="B8" s="572" t="s">
        <v>979</v>
      </c>
      <c r="C8" s="572" t="s">
        <v>973</v>
      </c>
      <c r="D8" s="572" t="s">
        <v>993</v>
      </c>
      <c r="E8" s="572" t="s">
        <v>994</v>
      </c>
      <c r="F8" s="592">
        <v>1</v>
      </c>
      <c r="G8" s="592">
        <v>1519</v>
      </c>
      <c r="H8" s="592"/>
      <c r="I8" s="592">
        <v>1519</v>
      </c>
      <c r="J8" s="592"/>
      <c r="K8" s="592"/>
      <c r="L8" s="592"/>
      <c r="M8" s="592"/>
      <c r="N8" s="592"/>
      <c r="O8" s="592"/>
      <c r="P8" s="577"/>
      <c r="Q8" s="593"/>
    </row>
    <row r="9" spans="1:17" ht="14.4" customHeight="1" x14ac:dyDescent="0.3">
      <c r="A9" s="571" t="s">
        <v>1106</v>
      </c>
      <c r="B9" s="572" t="s">
        <v>1003</v>
      </c>
      <c r="C9" s="572" t="s">
        <v>973</v>
      </c>
      <c r="D9" s="572" t="s">
        <v>1044</v>
      </c>
      <c r="E9" s="572"/>
      <c r="F9" s="592"/>
      <c r="G9" s="592"/>
      <c r="H9" s="592"/>
      <c r="I9" s="592"/>
      <c r="J9" s="592">
        <v>1</v>
      </c>
      <c r="K9" s="592">
        <v>0</v>
      </c>
      <c r="L9" s="592"/>
      <c r="M9" s="592">
        <v>0</v>
      </c>
      <c r="N9" s="592"/>
      <c r="O9" s="592"/>
      <c r="P9" s="577"/>
      <c r="Q9" s="593"/>
    </row>
    <row r="10" spans="1:17" ht="14.4" customHeight="1" x14ac:dyDescent="0.3">
      <c r="A10" s="571" t="s">
        <v>1106</v>
      </c>
      <c r="B10" s="572" t="s">
        <v>1003</v>
      </c>
      <c r="C10" s="572" t="s">
        <v>973</v>
      </c>
      <c r="D10" s="572" t="s">
        <v>1045</v>
      </c>
      <c r="E10" s="572"/>
      <c r="F10" s="592"/>
      <c r="G10" s="592"/>
      <c r="H10" s="592"/>
      <c r="I10" s="592"/>
      <c r="J10" s="592">
        <v>1</v>
      </c>
      <c r="K10" s="592">
        <v>60132</v>
      </c>
      <c r="L10" s="592">
        <v>1</v>
      </c>
      <c r="M10" s="592">
        <v>60132</v>
      </c>
      <c r="N10" s="592"/>
      <c r="O10" s="592"/>
      <c r="P10" s="577"/>
      <c r="Q10" s="593"/>
    </row>
    <row r="11" spans="1:17" ht="14.4" customHeight="1" x14ac:dyDescent="0.3">
      <c r="A11" s="571" t="s">
        <v>1107</v>
      </c>
      <c r="B11" s="572" t="s">
        <v>979</v>
      </c>
      <c r="C11" s="572" t="s">
        <v>973</v>
      </c>
      <c r="D11" s="572" t="s">
        <v>990</v>
      </c>
      <c r="E11" s="572" t="s">
        <v>991</v>
      </c>
      <c r="F11" s="592">
        <v>1</v>
      </c>
      <c r="G11" s="592">
        <v>33.33</v>
      </c>
      <c r="H11" s="592"/>
      <c r="I11" s="592">
        <v>33.33</v>
      </c>
      <c r="J11" s="592"/>
      <c r="K11" s="592"/>
      <c r="L11" s="592"/>
      <c r="M11" s="592"/>
      <c r="N11" s="592"/>
      <c r="O11" s="592"/>
      <c r="P11" s="577"/>
      <c r="Q11" s="593"/>
    </row>
    <row r="12" spans="1:17" ht="14.4" customHeight="1" x14ac:dyDescent="0.3">
      <c r="A12" s="571" t="s">
        <v>971</v>
      </c>
      <c r="B12" s="572" t="s">
        <v>979</v>
      </c>
      <c r="C12" s="572" t="s">
        <v>973</v>
      </c>
      <c r="D12" s="572" t="s">
        <v>983</v>
      </c>
      <c r="E12" s="572" t="s">
        <v>984</v>
      </c>
      <c r="F12" s="592"/>
      <c r="G12" s="592"/>
      <c r="H12" s="592"/>
      <c r="I12" s="592"/>
      <c r="J12" s="592"/>
      <c r="K12" s="592"/>
      <c r="L12" s="592"/>
      <c r="M12" s="592"/>
      <c r="N12" s="592">
        <v>1</v>
      </c>
      <c r="O12" s="592">
        <v>2483</v>
      </c>
      <c r="P12" s="577"/>
      <c r="Q12" s="593">
        <v>2483</v>
      </c>
    </row>
    <row r="13" spans="1:17" ht="14.4" customHeight="1" x14ac:dyDescent="0.3">
      <c r="A13" s="571" t="s">
        <v>1108</v>
      </c>
      <c r="B13" s="572" t="s">
        <v>979</v>
      </c>
      <c r="C13" s="572" t="s">
        <v>973</v>
      </c>
      <c r="D13" s="572" t="s">
        <v>983</v>
      </c>
      <c r="E13" s="572" t="s">
        <v>984</v>
      </c>
      <c r="F13" s="592">
        <v>2</v>
      </c>
      <c r="G13" s="592">
        <v>4956</v>
      </c>
      <c r="H13" s="592"/>
      <c r="I13" s="592">
        <v>2478</v>
      </c>
      <c r="J13" s="592"/>
      <c r="K13" s="592"/>
      <c r="L13" s="592"/>
      <c r="M13" s="592"/>
      <c r="N13" s="592"/>
      <c r="O13" s="592"/>
      <c r="P13" s="577"/>
      <c r="Q13" s="593"/>
    </row>
    <row r="14" spans="1:17" ht="14.4" customHeight="1" x14ac:dyDescent="0.3">
      <c r="A14" s="571" t="s">
        <v>1108</v>
      </c>
      <c r="B14" s="572" t="s">
        <v>979</v>
      </c>
      <c r="C14" s="572" t="s">
        <v>973</v>
      </c>
      <c r="D14" s="572" t="s">
        <v>987</v>
      </c>
      <c r="E14" s="572" t="s">
        <v>989</v>
      </c>
      <c r="F14" s="592">
        <v>7</v>
      </c>
      <c r="G14" s="592">
        <v>2450</v>
      </c>
      <c r="H14" s="592">
        <v>6.9800569800569798</v>
      </c>
      <c r="I14" s="592">
        <v>350</v>
      </c>
      <c r="J14" s="592">
        <v>1</v>
      </c>
      <c r="K14" s="592">
        <v>351</v>
      </c>
      <c r="L14" s="592">
        <v>1</v>
      </c>
      <c r="M14" s="592">
        <v>351</v>
      </c>
      <c r="N14" s="592"/>
      <c r="O14" s="592"/>
      <c r="P14" s="577"/>
      <c r="Q14" s="593"/>
    </row>
    <row r="15" spans="1:17" ht="14.4" customHeight="1" x14ac:dyDescent="0.3">
      <c r="A15" s="571" t="s">
        <v>1108</v>
      </c>
      <c r="B15" s="572" t="s">
        <v>979</v>
      </c>
      <c r="C15" s="572" t="s">
        <v>973</v>
      </c>
      <c r="D15" s="572" t="s">
        <v>993</v>
      </c>
      <c r="E15" s="572" t="s">
        <v>994</v>
      </c>
      <c r="F15" s="592">
        <v>6</v>
      </c>
      <c r="G15" s="592">
        <v>9114</v>
      </c>
      <c r="H15" s="592"/>
      <c r="I15" s="592">
        <v>1519</v>
      </c>
      <c r="J15" s="592"/>
      <c r="K15" s="592"/>
      <c r="L15" s="592"/>
      <c r="M15" s="592"/>
      <c r="N15" s="592">
        <v>3</v>
      </c>
      <c r="O15" s="592">
        <v>4566</v>
      </c>
      <c r="P15" s="577"/>
      <c r="Q15" s="593">
        <v>1522</v>
      </c>
    </row>
    <row r="16" spans="1:17" ht="14.4" customHeight="1" x14ac:dyDescent="0.3">
      <c r="A16" s="571" t="s">
        <v>1108</v>
      </c>
      <c r="B16" s="572" t="s">
        <v>1003</v>
      </c>
      <c r="C16" s="572" t="s">
        <v>973</v>
      </c>
      <c r="D16" s="572" t="s">
        <v>1006</v>
      </c>
      <c r="E16" s="572" t="s">
        <v>1007</v>
      </c>
      <c r="F16" s="592">
        <v>2</v>
      </c>
      <c r="G16" s="592">
        <v>628</v>
      </c>
      <c r="H16" s="592"/>
      <c r="I16" s="592">
        <v>314</v>
      </c>
      <c r="J16" s="592"/>
      <c r="K16" s="592"/>
      <c r="L16" s="592"/>
      <c r="M16" s="592"/>
      <c r="N16" s="592"/>
      <c r="O16" s="592"/>
      <c r="P16" s="577"/>
      <c r="Q16" s="593"/>
    </row>
    <row r="17" spans="1:17" ht="14.4" customHeight="1" x14ac:dyDescent="0.3">
      <c r="A17" s="571" t="s">
        <v>1108</v>
      </c>
      <c r="B17" s="572" t="s">
        <v>1003</v>
      </c>
      <c r="C17" s="572" t="s">
        <v>973</v>
      </c>
      <c r="D17" s="572" t="s">
        <v>1009</v>
      </c>
      <c r="E17" s="572"/>
      <c r="F17" s="592">
        <v>2</v>
      </c>
      <c r="G17" s="592">
        <v>2566</v>
      </c>
      <c r="H17" s="592"/>
      <c r="I17" s="592">
        <v>1283</v>
      </c>
      <c r="J17" s="592">
        <v>0</v>
      </c>
      <c r="K17" s="592">
        <v>0</v>
      </c>
      <c r="L17" s="592"/>
      <c r="M17" s="592"/>
      <c r="N17" s="592"/>
      <c r="O17" s="592"/>
      <c r="P17" s="577"/>
      <c r="Q17" s="593"/>
    </row>
    <row r="18" spans="1:17" ht="14.4" customHeight="1" x14ac:dyDescent="0.3">
      <c r="A18" s="571" t="s">
        <v>1108</v>
      </c>
      <c r="B18" s="572" t="s">
        <v>1003</v>
      </c>
      <c r="C18" s="572" t="s">
        <v>973</v>
      </c>
      <c r="D18" s="572" t="s">
        <v>1009</v>
      </c>
      <c r="E18" s="572" t="s">
        <v>1010</v>
      </c>
      <c r="F18" s="592">
        <v>9</v>
      </c>
      <c r="G18" s="592">
        <v>11547</v>
      </c>
      <c r="H18" s="592">
        <v>4.4929961089494164</v>
      </c>
      <c r="I18" s="592">
        <v>1283</v>
      </c>
      <c r="J18" s="592">
        <v>2</v>
      </c>
      <c r="K18" s="592">
        <v>2570</v>
      </c>
      <c r="L18" s="592">
        <v>1</v>
      </c>
      <c r="M18" s="592">
        <v>1285</v>
      </c>
      <c r="N18" s="592"/>
      <c r="O18" s="592"/>
      <c r="P18" s="577"/>
      <c r="Q18" s="593"/>
    </row>
    <row r="19" spans="1:17" ht="14.4" customHeight="1" x14ac:dyDescent="0.3">
      <c r="A19" s="571" t="s">
        <v>1108</v>
      </c>
      <c r="B19" s="572" t="s">
        <v>1003</v>
      </c>
      <c r="C19" s="572" t="s">
        <v>973</v>
      </c>
      <c r="D19" s="572" t="s">
        <v>1018</v>
      </c>
      <c r="E19" s="572"/>
      <c r="F19" s="592">
        <v>58</v>
      </c>
      <c r="G19" s="592">
        <v>133052</v>
      </c>
      <c r="H19" s="592"/>
      <c r="I19" s="592">
        <v>2294</v>
      </c>
      <c r="J19" s="592">
        <v>0</v>
      </c>
      <c r="K19" s="592">
        <v>0</v>
      </c>
      <c r="L19" s="592"/>
      <c r="M19" s="592"/>
      <c r="N19" s="592"/>
      <c r="O19" s="592"/>
      <c r="P19" s="577"/>
      <c r="Q19" s="593"/>
    </row>
    <row r="20" spans="1:17" ht="14.4" customHeight="1" x14ac:dyDescent="0.3">
      <c r="A20" s="571" t="s">
        <v>1108</v>
      </c>
      <c r="B20" s="572" t="s">
        <v>1003</v>
      </c>
      <c r="C20" s="572" t="s">
        <v>973</v>
      </c>
      <c r="D20" s="572" t="s">
        <v>1018</v>
      </c>
      <c r="E20" s="572" t="s">
        <v>1019</v>
      </c>
      <c r="F20" s="592">
        <v>112</v>
      </c>
      <c r="G20" s="592">
        <v>256928</v>
      </c>
      <c r="H20" s="592">
        <v>3.1070478401780099</v>
      </c>
      <c r="I20" s="592">
        <v>2294</v>
      </c>
      <c r="J20" s="592">
        <v>36</v>
      </c>
      <c r="K20" s="592">
        <v>82692</v>
      </c>
      <c r="L20" s="592">
        <v>1</v>
      </c>
      <c r="M20" s="592">
        <v>2297</v>
      </c>
      <c r="N20" s="592"/>
      <c r="O20" s="592"/>
      <c r="P20" s="577"/>
      <c r="Q20" s="593"/>
    </row>
    <row r="21" spans="1:17" ht="14.4" customHeight="1" x14ac:dyDescent="0.3">
      <c r="A21" s="571" t="s">
        <v>1108</v>
      </c>
      <c r="B21" s="572" t="s">
        <v>1003</v>
      </c>
      <c r="C21" s="572" t="s">
        <v>973</v>
      </c>
      <c r="D21" s="572" t="s">
        <v>1024</v>
      </c>
      <c r="E21" s="572" t="s">
        <v>1025</v>
      </c>
      <c r="F21" s="592">
        <v>2</v>
      </c>
      <c r="G21" s="592">
        <v>1872</v>
      </c>
      <c r="H21" s="592"/>
      <c r="I21" s="592">
        <v>936</v>
      </c>
      <c r="J21" s="592"/>
      <c r="K21" s="592"/>
      <c r="L21" s="592"/>
      <c r="M21" s="592"/>
      <c r="N21" s="592"/>
      <c r="O21" s="592"/>
      <c r="P21" s="577"/>
      <c r="Q21" s="593"/>
    </row>
    <row r="22" spans="1:17" ht="14.4" customHeight="1" x14ac:dyDescent="0.3">
      <c r="A22" s="571" t="s">
        <v>1108</v>
      </c>
      <c r="B22" s="572" t="s">
        <v>1003</v>
      </c>
      <c r="C22" s="572" t="s">
        <v>973</v>
      </c>
      <c r="D22" s="572" t="s">
        <v>1033</v>
      </c>
      <c r="E22" s="572" t="s">
        <v>1034</v>
      </c>
      <c r="F22" s="592">
        <v>2</v>
      </c>
      <c r="G22" s="592">
        <v>17874</v>
      </c>
      <c r="H22" s="592"/>
      <c r="I22" s="592">
        <v>8937</v>
      </c>
      <c r="J22" s="592"/>
      <c r="K22" s="592"/>
      <c r="L22" s="592"/>
      <c r="M22" s="592"/>
      <c r="N22" s="592"/>
      <c r="O22" s="592"/>
      <c r="P22" s="577"/>
      <c r="Q22" s="593"/>
    </row>
    <row r="23" spans="1:17" ht="14.4" customHeight="1" x14ac:dyDescent="0.3">
      <c r="A23" s="571" t="s">
        <v>1108</v>
      </c>
      <c r="B23" s="572" t="s">
        <v>1003</v>
      </c>
      <c r="C23" s="572" t="s">
        <v>973</v>
      </c>
      <c r="D23" s="572" t="s">
        <v>1033</v>
      </c>
      <c r="E23" s="572" t="s">
        <v>1035</v>
      </c>
      <c r="F23" s="592">
        <v>1</v>
      </c>
      <c r="G23" s="592">
        <v>8937</v>
      </c>
      <c r="H23" s="592"/>
      <c r="I23" s="592">
        <v>8937</v>
      </c>
      <c r="J23" s="592"/>
      <c r="K23" s="592"/>
      <c r="L23" s="592"/>
      <c r="M23" s="592"/>
      <c r="N23" s="592"/>
      <c r="O23" s="592"/>
      <c r="P23" s="577"/>
      <c r="Q23" s="593"/>
    </row>
    <row r="24" spans="1:17" ht="14.4" customHeight="1" x14ac:dyDescent="0.3">
      <c r="A24" s="571" t="s">
        <v>1002</v>
      </c>
      <c r="B24" s="572" t="s">
        <v>979</v>
      </c>
      <c r="C24" s="572" t="s">
        <v>973</v>
      </c>
      <c r="D24" s="572" t="s">
        <v>983</v>
      </c>
      <c r="E24" s="572" t="s">
        <v>984</v>
      </c>
      <c r="F24" s="592">
        <v>4</v>
      </c>
      <c r="G24" s="592">
        <v>9912</v>
      </c>
      <c r="H24" s="592">
        <v>3.9967741935483869</v>
      </c>
      <c r="I24" s="592">
        <v>2478</v>
      </c>
      <c r="J24" s="592">
        <v>1</v>
      </c>
      <c r="K24" s="592">
        <v>2480</v>
      </c>
      <c r="L24" s="592">
        <v>1</v>
      </c>
      <c r="M24" s="592">
        <v>2480</v>
      </c>
      <c r="N24" s="592">
        <v>1</v>
      </c>
      <c r="O24" s="592">
        <v>2483</v>
      </c>
      <c r="P24" s="577">
        <v>1.0012096774193548</v>
      </c>
      <c r="Q24" s="593">
        <v>2483</v>
      </c>
    </row>
    <row r="25" spans="1:17" ht="14.4" customHeight="1" x14ac:dyDescent="0.3">
      <c r="A25" s="571" t="s">
        <v>1002</v>
      </c>
      <c r="B25" s="572" t="s">
        <v>979</v>
      </c>
      <c r="C25" s="572" t="s">
        <v>973</v>
      </c>
      <c r="D25" s="572" t="s">
        <v>987</v>
      </c>
      <c r="E25" s="572" t="s">
        <v>988</v>
      </c>
      <c r="F25" s="592"/>
      <c r="G25" s="592"/>
      <c r="H25" s="592"/>
      <c r="I25" s="592"/>
      <c r="J25" s="592"/>
      <c r="K25" s="592"/>
      <c r="L25" s="592"/>
      <c r="M25" s="592"/>
      <c r="N25" s="592">
        <v>2</v>
      </c>
      <c r="O25" s="592">
        <v>702</v>
      </c>
      <c r="P25" s="577"/>
      <c r="Q25" s="593">
        <v>351</v>
      </c>
    </row>
    <row r="26" spans="1:17" ht="14.4" customHeight="1" x14ac:dyDescent="0.3">
      <c r="A26" s="571" t="s">
        <v>1002</v>
      </c>
      <c r="B26" s="572" t="s">
        <v>979</v>
      </c>
      <c r="C26" s="572" t="s">
        <v>973</v>
      </c>
      <c r="D26" s="572" t="s">
        <v>987</v>
      </c>
      <c r="E26" s="572" t="s">
        <v>989</v>
      </c>
      <c r="F26" s="592">
        <v>11</v>
      </c>
      <c r="G26" s="592">
        <v>3850</v>
      </c>
      <c r="H26" s="592">
        <v>1.566951566951567</v>
      </c>
      <c r="I26" s="592">
        <v>350</v>
      </c>
      <c r="J26" s="592">
        <v>7</v>
      </c>
      <c r="K26" s="592">
        <v>2457</v>
      </c>
      <c r="L26" s="592">
        <v>1</v>
      </c>
      <c r="M26" s="592">
        <v>351</v>
      </c>
      <c r="N26" s="592">
        <v>5</v>
      </c>
      <c r="O26" s="592">
        <v>1755</v>
      </c>
      <c r="P26" s="577">
        <v>0.7142857142857143</v>
      </c>
      <c r="Q26" s="593">
        <v>351</v>
      </c>
    </row>
    <row r="27" spans="1:17" ht="14.4" customHeight="1" x14ac:dyDescent="0.3">
      <c r="A27" s="571" t="s">
        <v>1002</v>
      </c>
      <c r="B27" s="572" t="s">
        <v>979</v>
      </c>
      <c r="C27" s="572" t="s">
        <v>973</v>
      </c>
      <c r="D27" s="572" t="s">
        <v>993</v>
      </c>
      <c r="E27" s="572" t="s">
        <v>994</v>
      </c>
      <c r="F27" s="592">
        <v>16</v>
      </c>
      <c r="G27" s="592">
        <v>24304</v>
      </c>
      <c r="H27" s="592">
        <v>1.776608187134503</v>
      </c>
      <c r="I27" s="592">
        <v>1519</v>
      </c>
      <c r="J27" s="592">
        <v>9</v>
      </c>
      <c r="K27" s="592">
        <v>13680</v>
      </c>
      <c r="L27" s="592">
        <v>1</v>
      </c>
      <c r="M27" s="592">
        <v>1520</v>
      </c>
      <c r="N27" s="592">
        <v>13</v>
      </c>
      <c r="O27" s="592">
        <v>19786</v>
      </c>
      <c r="P27" s="577">
        <v>1.4463450292397662</v>
      </c>
      <c r="Q27" s="593">
        <v>1522</v>
      </c>
    </row>
    <row r="28" spans="1:17" ht="14.4" customHeight="1" x14ac:dyDescent="0.3">
      <c r="A28" s="571" t="s">
        <v>1002</v>
      </c>
      <c r="B28" s="572" t="s">
        <v>1003</v>
      </c>
      <c r="C28" s="572" t="s">
        <v>973</v>
      </c>
      <c r="D28" s="572" t="s">
        <v>1006</v>
      </c>
      <c r="E28" s="572" t="s">
        <v>1007</v>
      </c>
      <c r="F28" s="592">
        <v>4</v>
      </c>
      <c r="G28" s="592">
        <v>1256</v>
      </c>
      <c r="H28" s="592">
        <v>1.3291005291005291</v>
      </c>
      <c r="I28" s="592">
        <v>314</v>
      </c>
      <c r="J28" s="592">
        <v>3</v>
      </c>
      <c r="K28" s="592">
        <v>945</v>
      </c>
      <c r="L28" s="592">
        <v>1</v>
      </c>
      <c r="M28" s="592">
        <v>315</v>
      </c>
      <c r="N28" s="592">
        <v>8</v>
      </c>
      <c r="O28" s="592">
        <v>2392</v>
      </c>
      <c r="P28" s="577">
        <v>2.5312169312169313</v>
      </c>
      <c r="Q28" s="593">
        <v>299</v>
      </c>
    </row>
    <row r="29" spans="1:17" ht="14.4" customHeight="1" x14ac:dyDescent="0.3">
      <c r="A29" s="571" t="s">
        <v>1002</v>
      </c>
      <c r="B29" s="572" t="s">
        <v>1003</v>
      </c>
      <c r="C29" s="572" t="s">
        <v>973</v>
      </c>
      <c r="D29" s="572" t="s">
        <v>1006</v>
      </c>
      <c r="E29" s="572" t="s">
        <v>1008</v>
      </c>
      <c r="F29" s="592"/>
      <c r="G29" s="592"/>
      <c r="H29" s="592"/>
      <c r="I29" s="592"/>
      <c r="J29" s="592"/>
      <c r="K29" s="592"/>
      <c r="L29" s="592"/>
      <c r="M29" s="592"/>
      <c r="N29" s="592">
        <v>8</v>
      </c>
      <c r="O29" s="592">
        <v>2392</v>
      </c>
      <c r="P29" s="577"/>
      <c r="Q29" s="593">
        <v>299</v>
      </c>
    </row>
    <row r="30" spans="1:17" ht="14.4" customHeight="1" x14ac:dyDescent="0.3">
      <c r="A30" s="571" t="s">
        <v>1002</v>
      </c>
      <c r="B30" s="572" t="s">
        <v>1003</v>
      </c>
      <c r="C30" s="572" t="s">
        <v>973</v>
      </c>
      <c r="D30" s="572" t="s">
        <v>1009</v>
      </c>
      <c r="E30" s="572"/>
      <c r="F30" s="592">
        <v>6</v>
      </c>
      <c r="G30" s="592">
        <v>7698</v>
      </c>
      <c r="H30" s="592">
        <v>2.9953307392996109</v>
      </c>
      <c r="I30" s="592">
        <v>1283</v>
      </c>
      <c r="J30" s="592">
        <v>2</v>
      </c>
      <c r="K30" s="592">
        <v>2570</v>
      </c>
      <c r="L30" s="592">
        <v>1</v>
      </c>
      <c r="M30" s="592">
        <v>1285</v>
      </c>
      <c r="N30" s="592"/>
      <c r="O30" s="592"/>
      <c r="P30" s="577"/>
      <c r="Q30" s="593"/>
    </row>
    <row r="31" spans="1:17" ht="14.4" customHeight="1" x14ac:dyDescent="0.3">
      <c r="A31" s="571" t="s">
        <v>1002</v>
      </c>
      <c r="B31" s="572" t="s">
        <v>1003</v>
      </c>
      <c r="C31" s="572" t="s">
        <v>973</v>
      </c>
      <c r="D31" s="572" t="s">
        <v>1009</v>
      </c>
      <c r="E31" s="572" t="s">
        <v>1010</v>
      </c>
      <c r="F31" s="592">
        <v>5</v>
      </c>
      <c r="G31" s="592">
        <v>6415</v>
      </c>
      <c r="H31" s="592">
        <v>0.99844357976653697</v>
      </c>
      <c r="I31" s="592">
        <v>1283</v>
      </c>
      <c r="J31" s="592">
        <v>5</v>
      </c>
      <c r="K31" s="592">
        <v>6425</v>
      </c>
      <c r="L31" s="592">
        <v>1</v>
      </c>
      <c r="M31" s="592">
        <v>1285</v>
      </c>
      <c r="N31" s="592"/>
      <c r="O31" s="592"/>
      <c r="P31" s="577"/>
      <c r="Q31" s="593"/>
    </row>
    <row r="32" spans="1:17" ht="14.4" customHeight="1" x14ac:dyDescent="0.3">
      <c r="A32" s="571" t="s">
        <v>1002</v>
      </c>
      <c r="B32" s="572" t="s">
        <v>1003</v>
      </c>
      <c r="C32" s="572" t="s">
        <v>973</v>
      </c>
      <c r="D32" s="572" t="s">
        <v>1011</v>
      </c>
      <c r="E32" s="572" t="s">
        <v>1012</v>
      </c>
      <c r="F32" s="592"/>
      <c r="G32" s="592"/>
      <c r="H32" s="592"/>
      <c r="I32" s="592"/>
      <c r="J32" s="592"/>
      <c r="K32" s="592"/>
      <c r="L32" s="592"/>
      <c r="M32" s="592"/>
      <c r="N32" s="592">
        <v>1</v>
      </c>
      <c r="O32" s="592">
        <v>10467</v>
      </c>
      <c r="P32" s="577"/>
      <c r="Q32" s="593">
        <v>10467</v>
      </c>
    </row>
    <row r="33" spans="1:17" ht="14.4" customHeight="1" x14ac:dyDescent="0.3">
      <c r="A33" s="571" t="s">
        <v>1002</v>
      </c>
      <c r="B33" s="572" t="s">
        <v>1003</v>
      </c>
      <c r="C33" s="572" t="s">
        <v>973</v>
      </c>
      <c r="D33" s="572" t="s">
        <v>1011</v>
      </c>
      <c r="E33" s="572" t="s">
        <v>1013</v>
      </c>
      <c r="F33" s="592"/>
      <c r="G33" s="592"/>
      <c r="H33" s="592"/>
      <c r="I33" s="592"/>
      <c r="J33" s="592"/>
      <c r="K33" s="592"/>
      <c r="L33" s="592"/>
      <c r="M33" s="592"/>
      <c r="N33" s="592">
        <v>2</v>
      </c>
      <c r="O33" s="592">
        <v>20934</v>
      </c>
      <c r="P33" s="577"/>
      <c r="Q33" s="593">
        <v>10467</v>
      </c>
    </row>
    <row r="34" spans="1:17" ht="14.4" customHeight="1" x14ac:dyDescent="0.3">
      <c r="A34" s="571" t="s">
        <v>1002</v>
      </c>
      <c r="B34" s="572" t="s">
        <v>1003</v>
      </c>
      <c r="C34" s="572" t="s">
        <v>973</v>
      </c>
      <c r="D34" s="572" t="s">
        <v>1018</v>
      </c>
      <c r="E34" s="572"/>
      <c r="F34" s="592">
        <v>16</v>
      </c>
      <c r="G34" s="592">
        <v>36704</v>
      </c>
      <c r="H34" s="592">
        <v>-1.5979103178058336</v>
      </c>
      <c r="I34" s="592">
        <v>2294</v>
      </c>
      <c r="J34" s="592">
        <v>-10</v>
      </c>
      <c r="K34" s="592">
        <v>-22970</v>
      </c>
      <c r="L34" s="592">
        <v>1</v>
      </c>
      <c r="M34" s="592">
        <v>2297</v>
      </c>
      <c r="N34" s="592"/>
      <c r="O34" s="592"/>
      <c r="P34" s="577"/>
      <c r="Q34" s="593"/>
    </row>
    <row r="35" spans="1:17" ht="14.4" customHeight="1" x14ac:dyDescent="0.3">
      <c r="A35" s="571" t="s">
        <v>1002</v>
      </c>
      <c r="B35" s="572" t="s">
        <v>1003</v>
      </c>
      <c r="C35" s="572" t="s">
        <v>973</v>
      </c>
      <c r="D35" s="572" t="s">
        <v>1018</v>
      </c>
      <c r="E35" s="572" t="s">
        <v>1019</v>
      </c>
      <c r="F35" s="592">
        <v>68</v>
      </c>
      <c r="G35" s="592">
        <v>155992</v>
      </c>
      <c r="H35" s="592">
        <v>3.0868722048521788</v>
      </c>
      <c r="I35" s="592">
        <v>2294</v>
      </c>
      <c r="J35" s="592">
        <v>22</v>
      </c>
      <c r="K35" s="592">
        <v>50534</v>
      </c>
      <c r="L35" s="592">
        <v>1</v>
      </c>
      <c r="M35" s="592">
        <v>2297</v>
      </c>
      <c r="N35" s="592"/>
      <c r="O35" s="592"/>
      <c r="P35" s="577"/>
      <c r="Q35" s="593"/>
    </row>
    <row r="36" spans="1:17" ht="14.4" customHeight="1" x14ac:dyDescent="0.3">
      <c r="A36" s="571" t="s">
        <v>1002</v>
      </c>
      <c r="B36" s="572" t="s">
        <v>1003</v>
      </c>
      <c r="C36" s="572" t="s">
        <v>973</v>
      </c>
      <c r="D36" s="572" t="s">
        <v>1027</v>
      </c>
      <c r="E36" s="572" t="s">
        <v>1028</v>
      </c>
      <c r="F36" s="592"/>
      <c r="G36" s="592"/>
      <c r="H36" s="592"/>
      <c r="I36" s="592"/>
      <c r="J36" s="592"/>
      <c r="K36" s="592"/>
      <c r="L36" s="592"/>
      <c r="M36" s="592"/>
      <c r="N36" s="592">
        <v>2</v>
      </c>
      <c r="O36" s="592">
        <v>15098</v>
      </c>
      <c r="P36" s="577"/>
      <c r="Q36" s="593">
        <v>7549</v>
      </c>
    </row>
    <row r="37" spans="1:17" ht="14.4" customHeight="1" x14ac:dyDescent="0.3">
      <c r="A37" s="571" t="s">
        <v>1002</v>
      </c>
      <c r="B37" s="572" t="s">
        <v>1003</v>
      </c>
      <c r="C37" s="572" t="s">
        <v>973</v>
      </c>
      <c r="D37" s="572" t="s">
        <v>1027</v>
      </c>
      <c r="E37" s="572" t="s">
        <v>1029</v>
      </c>
      <c r="F37" s="592">
        <v>4</v>
      </c>
      <c r="G37" s="592">
        <v>27720</v>
      </c>
      <c r="H37" s="592">
        <v>1.9982698961937717</v>
      </c>
      <c r="I37" s="592">
        <v>6930</v>
      </c>
      <c r="J37" s="592">
        <v>2</v>
      </c>
      <c r="K37" s="592">
        <v>13872</v>
      </c>
      <c r="L37" s="592">
        <v>1</v>
      </c>
      <c r="M37" s="592">
        <v>6936</v>
      </c>
      <c r="N37" s="592">
        <v>2</v>
      </c>
      <c r="O37" s="592">
        <v>15098</v>
      </c>
      <c r="P37" s="577">
        <v>1.0883794694348328</v>
      </c>
      <c r="Q37" s="593">
        <v>7549</v>
      </c>
    </row>
    <row r="38" spans="1:17" ht="14.4" customHeight="1" x14ac:dyDescent="0.3">
      <c r="A38" s="571" t="s">
        <v>1002</v>
      </c>
      <c r="B38" s="572" t="s">
        <v>1003</v>
      </c>
      <c r="C38" s="572" t="s">
        <v>973</v>
      </c>
      <c r="D38" s="572" t="s">
        <v>1044</v>
      </c>
      <c r="E38" s="572"/>
      <c r="F38" s="592"/>
      <c r="G38" s="592"/>
      <c r="H38" s="592"/>
      <c r="I38" s="592"/>
      <c r="J38" s="592">
        <v>0</v>
      </c>
      <c r="K38" s="592">
        <v>0</v>
      </c>
      <c r="L38" s="592"/>
      <c r="M38" s="592"/>
      <c r="N38" s="592"/>
      <c r="O38" s="592"/>
      <c r="P38" s="577"/>
      <c r="Q38" s="593"/>
    </row>
    <row r="39" spans="1:17" ht="14.4" customHeight="1" x14ac:dyDescent="0.3">
      <c r="A39" s="571" t="s">
        <v>1002</v>
      </c>
      <c r="B39" s="572" t="s">
        <v>1003</v>
      </c>
      <c r="C39" s="572" t="s">
        <v>973</v>
      </c>
      <c r="D39" s="572" t="s">
        <v>1047</v>
      </c>
      <c r="E39" s="572"/>
      <c r="F39" s="592"/>
      <c r="G39" s="592"/>
      <c r="H39" s="592"/>
      <c r="I39" s="592"/>
      <c r="J39" s="592">
        <v>0</v>
      </c>
      <c r="K39" s="592">
        <v>0</v>
      </c>
      <c r="L39" s="592"/>
      <c r="M39" s="592"/>
      <c r="N39" s="592"/>
      <c r="O39" s="592"/>
      <c r="P39" s="577"/>
      <c r="Q39" s="593"/>
    </row>
    <row r="40" spans="1:17" ht="14.4" customHeight="1" x14ac:dyDescent="0.3">
      <c r="A40" s="571" t="s">
        <v>1002</v>
      </c>
      <c r="B40" s="572" t="s">
        <v>1003</v>
      </c>
      <c r="C40" s="572" t="s">
        <v>973</v>
      </c>
      <c r="D40" s="572" t="s">
        <v>1052</v>
      </c>
      <c r="E40" s="572" t="s">
        <v>1053</v>
      </c>
      <c r="F40" s="592"/>
      <c r="G40" s="592"/>
      <c r="H40" s="592"/>
      <c r="I40" s="592"/>
      <c r="J40" s="592"/>
      <c r="K40" s="592"/>
      <c r="L40" s="592"/>
      <c r="M40" s="592"/>
      <c r="N40" s="592">
        <v>6</v>
      </c>
      <c r="O40" s="592">
        <v>6642</v>
      </c>
      <c r="P40" s="577"/>
      <c r="Q40" s="593">
        <v>1107</v>
      </c>
    </row>
    <row r="41" spans="1:17" ht="14.4" customHeight="1" x14ac:dyDescent="0.3">
      <c r="A41" s="571" t="s">
        <v>1002</v>
      </c>
      <c r="B41" s="572" t="s">
        <v>1003</v>
      </c>
      <c r="C41" s="572" t="s">
        <v>973</v>
      </c>
      <c r="D41" s="572" t="s">
        <v>1054</v>
      </c>
      <c r="E41" s="572" t="s">
        <v>1055</v>
      </c>
      <c r="F41" s="592"/>
      <c r="G41" s="592"/>
      <c r="H41" s="592"/>
      <c r="I41" s="592"/>
      <c r="J41" s="592"/>
      <c r="K41" s="592"/>
      <c r="L41" s="592"/>
      <c r="M41" s="592"/>
      <c r="N41" s="592">
        <v>2</v>
      </c>
      <c r="O41" s="592">
        <v>14860</v>
      </c>
      <c r="P41" s="577"/>
      <c r="Q41" s="593">
        <v>7430</v>
      </c>
    </row>
    <row r="42" spans="1:17" ht="14.4" customHeight="1" x14ac:dyDescent="0.3">
      <c r="A42" s="571" t="s">
        <v>1002</v>
      </c>
      <c r="B42" s="572" t="s">
        <v>1003</v>
      </c>
      <c r="C42" s="572" t="s">
        <v>973</v>
      </c>
      <c r="D42" s="572" t="s">
        <v>1057</v>
      </c>
      <c r="E42" s="572" t="s">
        <v>1059</v>
      </c>
      <c r="F42" s="592"/>
      <c r="G42" s="592"/>
      <c r="H42" s="592"/>
      <c r="I42" s="592"/>
      <c r="J42" s="592"/>
      <c r="K42" s="592"/>
      <c r="L42" s="592"/>
      <c r="M42" s="592"/>
      <c r="N42" s="592">
        <v>5</v>
      </c>
      <c r="O42" s="592">
        <v>19175</v>
      </c>
      <c r="P42" s="577"/>
      <c r="Q42" s="593">
        <v>3835</v>
      </c>
    </row>
    <row r="43" spans="1:17" ht="14.4" customHeight="1" x14ac:dyDescent="0.3">
      <c r="A43" s="571" t="s">
        <v>1002</v>
      </c>
      <c r="B43" s="572" t="s">
        <v>1003</v>
      </c>
      <c r="C43" s="572" t="s">
        <v>973</v>
      </c>
      <c r="D43" s="572" t="s">
        <v>1072</v>
      </c>
      <c r="E43" s="572" t="s">
        <v>1073</v>
      </c>
      <c r="F43" s="592"/>
      <c r="G43" s="592"/>
      <c r="H43" s="592"/>
      <c r="I43" s="592"/>
      <c r="J43" s="592"/>
      <c r="K43" s="592"/>
      <c r="L43" s="592"/>
      <c r="M43" s="592"/>
      <c r="N43" s="592">
        <v>1</v>
      </c>
      <c r="O43" s="592">
        <v>8333.33</v>
      </c>
      <c r="P43" s="577"/>
      <c r="Q43" s="593">
        <v>8333.33</v>
      </c>
    </row>
    <row r="44" spans="1:17" ht="14.4" customHeight="1" x14ac:dyDescent="0.3">
      <c r="A44" s="571" t="s">
        <v>1109</v>
      </c>
      <c r="B44" s="572" t="s">
        <v>979</v>
      </c>
      <c r="C44" s="572" t="s">
        <v>973</v>
      </c>
      <c r="D44" s="572" t="s">
        <v>983</v>
      </c>
      <c r="E44" s="572" t="s">
        <v>984</v>
      </c>
      <c r="F44" s="592"/>
      <c r="G44" s="592"/>
      <c r="H44" s="592"/>
      <c r="I44" s="592"/>
      <c r="J44" s="592">
        <v>1</v>
      </c>
      <c r="K44" s="592">
        <v>2480</v>
      </c>
      <c r="L44" s="592">
        <v>1</v>
      </c>
      <c r="M44" s="592">
        <v>2480</v>
      </c>
      <c r="N44" s="592">
        <v>1</v>
      </c>
      <c r="O44" s="592">
        <v>2483</v>
      </c>
      <c r="P44" s="577">
        <v>1.0012096774193548</v>
      </c>
      <c r="Q44" s="593">
        <v>2483</v>
      </c>
    </row>
    <row r="45" spans="1:17" ht="14.4" customHeight="1" x14ac:dyDescent="0.3">
      <c r="A45" s="571" t="s">
        <v>1109</v>
      </c>
      <c r="B45" s="572" t="s">
        <v>979</v>
      </c>
      <c r="C45" s="572" t="s">
        <v>973</v>
      </c>
      <c r="D45" s="572" t="s">
        <v>987</v>
      </c>
      <c r="E45" s="572" t="s">
        <v>988</v>
      </c>
      <c r="F45" s="592"/>
      <c r="G45" s="592"/>
      <c r="H45" s="592"/>
      <c r="I45" s="592"/>
      <c r="J45" s="592">
        <v>1</v>
      </c>
      <c r="K45" s="592">
        <v>351</v>
      </c>
      <c r="L45" s="592">
        <v>1</v>
      </c>
      <c r="M45" s="592">
        <v>351</v>
      </c>
      <c r="N45" s="592"/>
      <c r="O45" s="592"/>
      <c r="P45" s="577"/>
      <c r="Q45" s="593"/>
    </row>
    <row r="46" spans="1:17" ht="14.4" customHeight="1" x14ac:dyDescent="0.3">
      <c r="A46" s="571" t="s">
        <v>1109</v>
      </c>
      <c r="B46" s="572" t="s">
        <v>979</v>
      </c>
      <c r="C46" s="572" t="s">
        <v>973</v>
      </c>
      <c r="D46" s="572" t="s">
        <v>987</v>
      </c>
      <c r="E46" s="572" t="s">
        <v>989</v>
      </c>
      <c r="F46" s="592">
        <v>2</v>
      </c>
      <c r="G46" s="592">
        <v>700</v>
      </c>
      <c r="H46" s="592">
        <v>0.28490028490028491</v>
      </c>
      <c r="I46" s="592">
        <v>350</v>
      </c>
      <c r="J46" s="592">
        <v>7</v>
      </c>
      <c r="K46" s="592">
        <v>2457</v>
      </c>
      <c r="L46" s="592">
        <v>1</v>
      </c>
      <c r="M46" s="592">
        <v>351</v>
      </c>
      <c r="N46" s="592">
        <v>1</v>
      </c>
      <c r="O46" s="592">
        <v>351</v>
      </c>
      <c r="P46" s="577">
        <v>0.14285714285714285</v>
      </c>
      <c r="Q46" s="593">
        <v>351</v>
      </c>
    </row>
    <row r="47" spans="1:17" ht="14.4" customHeight="1" x14ac:dyDescent="0.3">
      <c r="A47" s="571" t="s">
        <v>1109</v>
      </c>
      <c r="B47" s="572" t="s">
        <v>979</v>
      </c>
      <c r="C47" s="572" t="s">
        <v>973</v>
      </c>
      <c r="D47" s="572" t="s">
        <v>993</v>
      </c>
      <c r="E47" s="572" t="s">
        <v>994</v>
      </c>
      <c r="F47" s="592">
        <v>5</v>
      </c>
      <c r="G47" s="592">
        <v>7595</v>
      </c>
      <c r="H47" s="592">
        <v>0.29392414860681115</v>
      </c>
      <c r="I47" s="592">
        <v>1519</v>
      </c>
      <c r="J47" s="592">
        <v>17</v>
      </c>
      <c r="K47" s="592">
        <v>25840</v>
      </c>
      <c r="L47" s="592">
        <v>1</v>
      </c>
      <c r="M47" s="592">
        <v>1520</v>
      </c>
      <c r="N47" s="592">
        <v>7</v>
      </c>
      <c r="O47" s="592">
        <v>10654</v>
      </c>
      <c r="P47" s="577">
        <v>0.41230650154798759</v>
      </c>
      <c r="Q47" s="593">
        <v>1522</v>
      </c>
    </row>
    <row r="48" spans="1:17" ht="14.4" customHeight="1" x14ac:dyDescent="0.3">
      <c r="A48" s="571" t="s">
        <v>1109</v>
      </c>
      <c r="B48" s="572" t="s">
        <v>1003</v>
      </c>
      <c r="C48" s="572" t="s">
        <v>973</v>
      </c>
      <c r="D48" s="572" t="s">
        <v>1006</v>
      </c>
      <c r="E48" s="572" t="s">
        <v>1007</v>
      </c>
      <c r="F48" s="592">
        <v>1</v>
      </c>
      <c r="G48" s="592">
        <v>314</v>
      </c>
      <c r="H48" s="592">
        <v>0.49841269841269842</v>
      </c>
      <c r="I48" s="592">
        <v>314</v>
      </c>
      <c r="J48" s="592">
        <v>2</v>
      </c>
      <c r="K48" s="592">
        <v>630</v>
      </c>
      <c r="L48" s="592">
        <v>1</v>
      </c>
      <c r="M48" s="592">
        <v>315</v>
      </c>
      <c r="N48" s="592">
        <v>4</v>
      </c>
      <c r="O48" s="592">
        <v>1196</v>
      </c>
      <c r="P48" s="577">
        <v>1.8984126984126983</v>
      </c>
      <c r="Q48" s="593">
        <v>299</v>
      </c>
    </row>
    <row r="49" spans="1:17" ht="14.4" customHeight="1" x14ac:dyDescent="0.3">
      <c r="A49" s="571" t="s">
        <v>1109</v>
      </c>
      <c r="B49" s="572" t="s">
        <v>1003</v>
      </c>
      <c r="C49" s="572" t="s">
        <v>973</v>
      </c>
      <c r="D49" s="572" t="s">
        <v>1006</v>
      </c>
      <c r="E49" s="572" t="s">
        <v>1008</v>
      </c>
      <c r="F49" s="592"/>
      <c r="G49" s="592"/>
      <c r="H49" s="592"/>
      <c r="I49" s="592"/>
      <c r="J49" s="592">
        <v>3</v>
      </c>
      <c r="K49" s="592">
        <v>945</v>
      </c>
      <c r="L49" s="592">
        <v>1</v>
      </c>
      <c r="M49" s="592">
        <v>315</v>
      </c>
      <c r="N49" s="592"/>
      <c r="O49" s="592"/>
      <c r="P49" s="577"/>
      <c r="Q49" s="593"/>
    </row>
    <row r="50" spans="1:17" ht="14.4" customHeight="1" x14ac:dyDescent="0.3">
      <c r="A50" s="571" t="s">
        <v>1109</v>
      </c>
      <c r="B50" s="572" t="s">
        <v>1003</v>
      </c>
      <c r="C50" s="572" t="s">
        <v>973</v>
      </c>
      <c r="D50" s="572" t="s">
        <v>1110</v>
      </c>
      <c r="E50" s="572" t="s">
        <v>1111</v>
      </c>
      <c r="F50" s="592">
        <v>1</v>
      </c>
      <c r="G50" s="592">
        <v>6402</v>
      </c>
      <c r="H50" s="592"/>
      <c r="I50" s="592">
        <v>6402</v>
      </c>
      <c r="J50" s="592"/>
      <c r="K50" s="592"/>
      <c r="L50" s="592"/>
      <c r="M50" s="592"/>
      <c r="N50" s="592"/>
      <c r="O50" s="592"/>
      <c r="P50" s="577"/>
      <c r="Q50" s="593"/>
    </row>
    <row r="51" spans="1:17" ht="14.4" customHeight="1" x14ac:dyDescent="0.3">
      <c r="A51" s="571" t="s">
        <v>1109</v>
      </c>
      <c r="B51" s="572" t="s">
        <v>1003</v>
      </c>
      <c r="C51" s="572" t="s">
        <v>973</v>
      </c>
      <c r="D51" s="572" t="s">
        <v>1009</v>
      </c>
      <c r="E51" s="572"/>
      <c r="F51" s="592">
        <v>3</v>
      </c>
      <c r="G51" s="592">
        <v>3849</v>
      </c>
      <c r="H51" s="592">
        <v>0.99844357976653697</v>
      </c>
      <c r="I51" s="592">
        <v>1283</v>
      </c>
      <c r="J51" s="592">
        <v>3</v>
      </c>
      <c r="K51" s="592">
        <v>3855</v>
      </c>
      <c r="L51" s="592">
        <v>1</v>
      </c>
      <c r="M51" s="592">
        <v>1285</v>
      </c>
      <c r="N51" s="592"/>
      <c r="O51" s="592"/>
      <c r="P51" s="577"/>
      <c r="Q51" s="593"/>
    </row>
    <row r="52" spans="1:17" ht="14.4" customHeight="1" x14ac:dyDescent="0.3">
      <c r="A52" s="571" t="s">
        <v>1109</v>
      </c>
      <c r="B52" s="572" t="s">
        <v>1003</v>
      </c>
      <c r="C52" s="572" t="s">
        <v>973</v>
      </c>
      <c r="D52" s="572" t="s">
        <v>1009</v>
      </c>
      <c r="E52" s="572" t="s">
        <v>1010</v>
      </c>
      <c r="F52" s="592">
        <v>2</v>
      </c>
      <c r="G52" s="592">
        <v>2566</v>
      </c>
      <c r="H52" s="592">
        <v>0.33281452658884564</v>
      </c>
      <c r="I52" s="592">
        <v>1283</v>
      </c>
      <c r="J52" s="592">
        <v>6</v>
      </c>
      <c r="K52" s="592">
        <v>7710</v>
      </c>
      <c r="L52" s="592">
        <v>1</v>
      </c>
      <c r="M52" s="592">
        <v>1285</v>
      </c>
      <c r="N52" s="592"/>
      <c r="O52" s="592"/>
      <c r="P52" s="577"/>
      <c r="Q52" s="593"/>
    </row>
    <row r="53" spans="1:17" ht="14.4" customHeight="1" x14ac:dyDescent="0.3">
      <c r="A53" s="571" t="s">
        <v>1109</v>
      </c>
      <c r="B53" s="572" t="s">
        <v>1003</v>
      </c>
      <c r="C53" s="572" t="s">
        <v>973</v>
      </c>
      <c r="D53" s="572" t="s">
        <v>1011</v>
      </c>
      <c r="E53" s="572" t="s">
        <v>1012</v>
      </c>
      <c r="F53" s="592"/>
      <c r="G53" s="592"/>
      <c r="H53" s="592"/>
      <c r="I53" s="592"/>
      <c r="J53" s="592"/>
      <c r="K53" s="592"/>
      <c r="L53" s="592"/>
      <c r="M53" s="592"/>
      <c r="N53" s="592">
        <v>1</v>
      </c>
      <c r="O53" s="592">
        <v>10467</v>
      </c>
      <c r="P53" s="577"/>
      <c r="Q53" s="593">
        <v>10467</v>
      </c>
    </row>
    <row r="54" spans="1:17" ht="14.4" customHeight="1" x14ac:dyDescent="0.3">
      <c r="A54" s="571" t="s">
        <v>1109</v>
      </c>
      <c r="B54" s="572" t="s">
        <v>1003</v>
      </c>
      <c r="C54" s="572" t="s">
        <v>973</v>
      </c>
      <c r="D54" s="572" t="s">
        <v>1018</v>
      </c>
      <c r="E54" s="572" t="s">
        <v>1019</v>
      </c>
      <c r="F54" s="592"/>
      <c r="G54" s="592"/>
      <c r="H54" s="592"/>
      <c r="I54" s="592"/>
      <c r="J54" s="592">
        <v>16</v>
      </c>
      <c r="K54" s="592">
        <v>36752</v>
      </c>
      <c r="L54" s="592">
        <v>1</v>
      </c>
      <c r="M54" s="592">
        <v>2297</v>
      </c>
      <c r="N54" s="592"/>
      <c r="O54" s="592"/>
      <c r="P54" s="577"/>
      <c r="Q54" s="593"/>
    </row>
    <row r="55" spans="1:17" ht="14.4" customHeight="1" x14ac:dyDescent="0.3">
      <c r="A55" s="571" t="s">
        <v>1109</v>
      </c>
      <c r="B55" s="572" t="s">
        <v>1003</v>
      </c>
      <c r="C55" s="572" t="s">
        <v>973</v>
      </c>
      <c r="D55" s="572" t="s">
        <v>1027</v>
      </c>
      <c r="E55" s="572" t="s">
        <v>1028</v>
      </c>
      <c r="F55" s="592"/>
      <c r="G55" s="592"/>
      <c r="H55" s="592"/>
      <c r="I55" s="592"/>
      <c r="J55" s="592">
        <v>2</v>
      </c>
      <c r="K55" s="592">
        <v>13872</v>
      </c>
      <c r="L55" s="592">
        <v>1</v>
      </c>
      <c r="M55" s="592">
        <v>6936</v>
      </c>
      <c r="N55" s="592"/>
      <c r="O55" s="592"/>
      <c r="P55" s="577"/>
      <c r="Q55" s="593"/>
    </row>
    <row r="56" spans="1:17" ht="14.4" customHeight="1" x14ac:dyDescent="0.3">
      <c r="A56" s="571" t="s">
        <v>1109</v>
      </c>
      <c r="B56" s="572" t="s">
        <v>1003</v>
      </c>
      <c r="C56" s="572" t="s">
        <v>973</v>
      </c>
      <c r="D56" s="572" t="s">
        <v>1027</v>
      </c>
      <c r="E56" s="572" t="s">
        <v>1029</v>
      </c>
      <c r="F56" s="592">
        <v>1</v>
      </c>
      <c r="G56" s="592">
        <v>6930</v>
      </c>
      <c r="H56" s="592">
        <v>0.99913494809688586</v>
      </c>
      <c r="I56" s="592">
        <v>6930</v>
      </c>
      <c r="J56" s="592">
        <v>1</v>
      </c>
      <c r="K56" s="592">
        <v>6936</v>
      </c>
      <c r="L56" s="592">
        <v>1</v>
      </c>
      <c r="M56" s="592">
        <v>6936</v>
      </c>
      <c r="N56" s="592">
        <v>1</v>
      </c>
      <c r="O56" s="592">
        <v>7549</v>
      </c>
      <c r="P56" s="577">
        <v>1.0883794694348328</v>
      </c>
      <c r="Q56" s="593">
        <v>7549</v>
      </c>
    </row>
    <row r="57" spans="1:17" ht="14.4" customHeight="1" x14ac:dyDescent="0.3">
      <c r="A57" s="571" t="s">
        <v>1109</v>
      </c>
      <c r="B57" s="572" t="s">
        <v>1003</v>
      </c>
      <c r="C57" s="572" t="s">
        <v>973</v>
      </c>
      <c r="D57" s="572" t="s">
        <v>1030</v>
      </c>
      <c r="E57" s="572" t="s">
        <v>1031</v>
      </c>
      <c r="F57" s="592">
        <v>1</v>
      </c>
      <c r="G57" s="592">
        <v>3559</v>
      </c>
      <c r="H57" s="592">
        <v>0.49957888826501967</v>
      </c>
      <c r="I57" s="592">
        <v>3559</v>
      </c>
      <c r="J57" s="592">
        <v>2</v>
      </c>
      <c r="K57" s="592">
        <v>7124</v>
      </c>
      <c r="L57" s="592">
        <v>1</v>
      </c>
      <c r="M57" s="592">
        <v>3562</v>
      </c>
      <c r="N57" s="592"/>
      <c r="O57" s="592"/>
      <c r="P57" s="577"/>
      <c r="Q57" s="593"/>
    </row>
    <row r="58" spans="1:17" ht="14.4" customHeight="1" x14ac:dyDescent="0.3">
      <c r="A58" s="571" t="s">
        <v>1109</v>
      </c>
      <c r="B58" s="572" t="s">
        <v>1003</v>
      </c>
      <c r="C58" s="572" t="s">
        <v>973</v>
      </c>
      <c r="D58" s="572" t="s">
        <v>1052</v>
      </c>
      <c r="E58" s="572" t="s">
        <v>1053</v>
      </c>
      <c r="F58" s="592"/>
      <c r="G58" s="592"/>
      <c r="H58" s="592"/>
      <c r="I58" s="592"/>
      <c r="J58" s="592"/>
      <c r="K58" s="592"/>
      <c r="L58" s="592"/>
      <c r="M58" s="592"/>
      <c r="N58" s="592">
        <v>0</v>
      </c>
      <c r="O58" s="592">
        <v>0</v>
      </c>
      <c r="P58" s="577"/>
      <c r="Q58" s="593"/>
    </row>
    <row r="59" spans="1:17" ht="14.4" customHeight="1" x14ac:dyDescent="0.3">
      <c r="A59" s="571" t="s">
        <v>1112</v>
      </c>
      <c r="B59" s="572" t="s">
        <v>979</v>
      </c>
      <c r="C59" s="572" t="s">
        <v>973</v>
      </c>
      <c r="D59" s="572" t="s">
        <v>974</v>
      </c>
      <c r="E59" s="572" t="s">
        <v>976</v>
      </c>
      <c r="F59" s="592"/>
      <c r="G59" s="592"/>
      <c r="H59" s="592"/>
      <c r="I59" s="592"/>
      <c r="J59" s="592"/>
      <c r="K59" s="592"/>
      <c r="L59" s="592"/>
      <c r="M59" s="592"/>
      <c r="N59" s="592">
        <v>1</v>
      </c>
      <c r="O59" s="592">
        <v>37</v>
      </c>
      <c r="P59" s="577"/>
      <c r="Q59" s="593">
        <v>37</v>
      </c>
    </row>
    <row r="60" spans="1:17" ht="14.4" customHeight="1" x14ac:dyDescent="0.3">
      <c r="A60" s="571" t="s">
        <v>1112</v>
      </c>
      <c r="B60" s="572" t="s">
        <v>979</v>
      </c>
      <c r="C60" s="572" t="s">
        <v>973</v>
      </c>
      <c r="D60" s="572" t="s">
        <v>983</v>
      </c>
      <c r="E60" s="572" t="s">
        <v>984</v>
      </c>
      <c r="F60" s="592"/>
      <c r="G60" s="592"/>
      <c r="H60" s="592"/>
      <c r="I60" s="592"/>
      <c r="J60" s="592">
        <v>1</v>
      </c>
      <c r="K60" s="592">
        <v>2480</v>
      </c>
      <c r="L60" s="592">
        <v>1</v>
      </c>
      <c r="M60" s="592">
        <v>2480</v>
      </c>
      <c r="N60" s="592"/>
      <c r="O60" s="592"/>
      <c r="P60" s="577"/>
      <c r="Q60" s="593"/>
    </row>
    <row r="61" spans="1:17" ht="14.4" customHeight="1" x14ac:dyDescent="0.3">
      <c r="A61" s="571" t="s">
        <v>1112</v>
      </c>
      <c r="B61" s="572" t="s">
        <v>979</v>
      </c>
      <c r="C61" s="572" t="s">
        <v>973</v>
      </c>
      <c r="D61" s="572" t="s">
        <v>987</v>
      </c>
      <c r="E61" s="572" t="s">
        <v>988</v>
      </c>
      <c r="F61" s="592">
        <v>4</v>
      </c>
      <c r="G61" s="592">
        <v>1400</v>
      </c>
      <c r="H61" s="592"/>
      <c r="I61" s="592">
        <v>350</v>
      </c>
      <c r="J61" s="592"/>
      <c r="K61" s="592"/>
      <c r="L61" s="592"/>
      <c r="M61" s="592"/>
      <c r="N61" s="592">
        <v>1</v>
      </c>
      <c r="O61" s="592">
        <v>351</v>
      </c>
      <c r="P61" s="577"/>
      <c r="Q61" s="593">
        <v>351</v>
      </c>
    </row>
    <row r="62" spans="1:17" ht="14.4" customHeight="1" x14ac:dyDescent="0.3">
      <c r="A62" s="571" t="s">
        <v>1112</v>
      </c>
      <c r="B62" s="572" t="s">
        <v>979</v>
      </c>
      <c r="C62" s="572" t="s">
        <v>973</v>
      </c>
      <c r="D62" s="572" t="s">
        <v>993</v>
      </c>
      <c r="E62" s="572" t="s">
        <v>994</v>
      </c>
      <c r="F62" s="592">
        <v>10</v>
      </c>
      <c r="G62" s="592">
        <v>15190</v>
      </c>
      <c r="H62" s="592">
        <v>0.52596952908587258</v>
      </c>
      <c r="I62" s="592">
        <v>1519</v>
      </c>
      <c r="J62" s="592">
        <v>19</v>
      </c>
      <c r="K62" s="592">
        <v>28880</v>
      </c>
      <c r="L62" s="592">
        <v>1</v>
      </c>
      <c r="M62" s="592">
        <v>1520</v>
      </c>
      <c r="N62" s="592">
        <v>18</v>
      </c>
      <c r="O62" s="592">
        <v>27396</v>
      </c>
      <c r="P62" s="577">
        <v>0.94861495844875343</v>
      </c>
      <c r="Q62" s="593">
        <v>1522</v>
      </c>
    </row>
    <row r="63" spans="1:17" ht="14.4" customHeight="1" x14ac:dyDescent="0.3">
      <c r="A63" s="571" t="s">
        <v>1112</v>
      </c>
      <c r="B63" s="572" t="s">
        <v>1003</v>
      </c>
      <c r="C63" s="572" t="s">
        <v>973</v>
      </c>
      <c r="D63" s="572" t="s">
        <v>1009</v>
      </c>
      <c r="E63" s="572"/>
      <c r="F63" s="592">
        <v>5</v>
      </c>
      <c r="G63" s="592">
        <v>6415</v>
      </c>
      <c r="H63" s="592">
        <v>0.83203631647211418</v>
      </c>
      <c r="I63" s="592">
        <v>1283</v>
      </c>
      <c r="J63" s="592">
        <v>6</v>
      </c>
      <c r="K63" s="592">
        <v>7710</v>
      </c>
      <c r="L63" s="592">
        <v>1</v>
      </c>
      <c r="M63" s="592">
        <v>1285</v>
      </c>
      <c r="N63" s="592"/>
      <c r="O63" s="592"/>
      <c r="P63" s="577"/>
      <c r="Q63" s="593"/>
    </row>
    <row r="64" spans="1:17" ht="14.4" customHeight="1" x14ac:dyDescent="0.3">
      <c r="A64" s="571" t="s">
        <v>1112</v>
      </c>
      <c r="B64" s="572" t="s">
        <v>1003</v>
      </c>
      <c r="C64" s="572" t="s">
        <v>973</v>
      </c>
      <c r="D64" s="572" t="s">
        <v>1009</v>
      </c>
      <c r="E64" s="572" t="s">
        <v>1010</v>
      </c>
      <c r="F64" s="592">
        <v>7</v>
      </c>
      <c r="G64" s="592">
        <v>8981</v>
      </c>
      <c r="H64" s="592">
        <v>0.53762346602813527</v>
      </c>
      <c r="I64" s="592">
        <v>1283</v>
      </c>
      <c r="J64" s="592">
        <v>13</v>
      </c>
      <c r="K64" s="592">
        <v>16705</v>
      </c>
      <c r="L64" s="592">
        <v>1</v>
      </c>
      <c r="M64" s="592">
        <v>1285</v>
      </c>
      <c r="N64" s="592"/>
      <c r="O64" s="592"/>
      <c r="P64" s="577"/>
      <c r="Q64" s="593"/>
    </row>
    <row r="65" spans="1:17" ht="14.4" customHeight="1" x14ac:dyDescent="0.3">
      <c r="A65" s="571" t="s">
        <v>1112</v>
      </c>
      <c r="B65" s="572" t="s">
        <v>1003</v>
      </c>
      <c r="C65" s="572" t="s">
        <v>973</v>
      </c>
      <c r="D65" s="572" t="s">
        <v>1018</v>
      </c>
      <c r="E65" s="572"/>
      <c r="F65" s="592">
        <v>8</v>
      </c>
      <c r="G65" s="592">
        <v>18352</v>
      </c>
      <c r="H65" s="592"/>
      <c r="I65" s="592">
        <v>2294</v>
      </c>
      <c r="J65" s="592"/>
      <c r="K65" s="592"/>
      <c r="L65" s="592"/>
      <c r="M65" s="592"/>
      <c r="N65" s="592"/>
      <c r="O65" s="592"/>
      <c r="P65" s="577"/>
      <c r="Q65" s="593"/>
    </row>
    <row r="66" spans="1:17" ht="14.4" customHeight="1" x14ac:dyDescent="0.3">
      <c r="A66" s="571" t="s">
        <v>1112</v>
      </c>
      <c r="B66" s="572" t="s">
        <v>1003</v>
      </c>
      <c r="C66" s="572" t="s">
        <v>973</v>
      </c>
      <c r="D66" s="572" t="s">
        <v>1052</v>
      </c>
      <c r="E66" s="572" t="s">
        <v>1053</v>
      </c>
      <c r="F66" s="592"/>
      <c r="G66" s="592"/>
      <c r="H66" s="592"/>
      <c r="I66" s="592"/>
      <c r="J66" s="592"/>
      <c r="K66" s="592"/>
      <c r="L66" s="592"/>
      <c r="M66" s="592"/>
      <c r="N66" s="592">
        <v>12</v>
      </c>
      <c r="O66" s="592">
        <v>13284</v>
      </c>
      <c r="P66" s="577"/>
      <c r="Q66" s="593">
        <v>1107</v>
      </c>
    </row>
    <row r="67" spans="1:17" ht="14.4" customHeight="1" x14ac:dyDescent="0.3">
      <c r="A67" s="571" t="s">
        <v>1112</v>
      </c>
      <c r="B67" s="572" t="s">
        <v>1003</v>
      </c>
      <c r="C67" s="572" t="s">
        <v>973</v>
      </c>
      <c r="D67" s="572" t="s">
        <v>1054</v>
      </c>
      <c r="E67" s="572" t="s">
        <v>1056</v>
      </c>
      <c r="F67" s="592"/>
      <c r="G67" s="592"/>
      <c r="H67" s="592"/>
      <c r="I67" s="592"/>
      <c r="J67" s="592"/>
      <c r="K67" s="592"/>
      <c r="L67" s="592"/>
      <c r="M67" s="592"/>
      <c r="N67" s="592">
        <v>2</v>
      </c>
      <c r="O67" s="592">
        <v>14860</v>
      </c>
      <c r="P67" s="577"/>
      <c r="Q67" s="593">
        <v>7430</v>
      </c>
    </row>
    <row r="68" spans="1:17" ht="14.4" customHeight="1" x14ac:dyDescent="0.3">
      <c r="A68" s="571" t="s">
        <v>1113</v>
      </c>
      <c r="B68" s="572" t="s">
        <v>979</v>
      </c>
      <c r="C68" s="572" t="s">
        <v>973</v>
      </c>
      <c r="D68" s="572" t="s">
        <v>993</v>
      </c>
      <c r="E68" s="572" t="s">
        <v>994</v>
      </c>
      <c r="F68" s="592"/>
      <c r="G68" s="592"/>
      <c r="H68" s="592"/>
      <c r="I68" s="592"/>
      <c r="J68" s="592">
        <v>1</v>
      </c>
      <c r="K68" s="592">
        <v>1520</v>
      </c>
      <c r="L68" s="592">
        <v>1</v>
      </c>
      <c r="M68" s="592">
        <v>1520</v>
      </c>
      <c r="N68" s="592"/>
      <c r="O68" s="592"/>
      <c r="P68" s="577"/>
      <c r="Q68" s="593"/>
    </row>
    <row r="69" spans="1:17" ht="14.4" customHeight="1" x14ac:dyDescent="0.3">
      <c r="A69" s="571" t="s">
        <v>1114</v>
      </c>
      <c r="B69" s="572" t="s">
        <v>979</v>
      </c>
      <c r="C69" s="572" t="s">
        <v>973</v>
      </c>
      <c r="D69" s="572" t="s">
        <v>993</v>
      </c>
      <c r="E69" s="572" t="s">
        <v>994</v>
      </c>
      <c r="F69" s="592">
        <v>1</v>
      </c>
      <c r="G69" s="592">
        <v>1519</v>
      </c>
      <c r="H69" s="592"/>
      <c r="I69" s="592">
        <v>1519</v>
      </c>
      <c r="J69" s="592"/>
      <c r="K69" s="592"/>
      <c r="L69" s="592"/>
      <c r="M69" s="592"/>
      <c r="N69" s="592"/>
      <c r="O69" s="592"/>
      <c r="P69" s="577"/>
      <c r="Q69" s="593"/>
    </row>
    <row r="70" spans="1:17" ht="14.4" customHeight="1" x14ac:dyDescent="0.3">
      <c r="A70" s="571" t="s">
        <v>1115</v>
      </c>
      <c r="B70" s="572" t="s">
        <v>979</v>
      </c>
      <c r="C70" s="572" t="s">
        <v>973</v>
      </c>
      <c r="D70" s="572" t="s">
        <v>983</v>
      </c>
      <c r="E70" s="572" t="s">
        <v>984</v>
      </c>
      <c r="F70" s="592">
        <v>1</v>
      </c>
      <c r="G70" s="592">
        <v>2478</v>
      </c>
      <c r="H70" s="592"/>
      <c r="I70" s="592">
        <v>2478</v>
      </c>
      <c r="J70" s="592"/>
      <c r="K70" s="592"/>
      <c r="L70" s="592"/>
      <c r="M70" s="592"/>
      <c r="N70" s="592">
        <v>1</v>
      </c>
      <c r="O70" s="592">
        <v>2483</v>
      </c>
      <c r="P70" s="577"/>
      <c r="Q70" s="593">
        <v>2483</v>
      </c>
    </row>
    <row r="71" spans="1:17" ht="14.4" customHeight="1" x14ac:dyDescent="0.3">
      <c r="A71" s="571" t="s">
        <v>1115</v>
      </c>
      <c r="B71" s="572" t="s">
        <v>979</v>
      </c>
      <c r="C71" s="572" t="s">
        <v>973</v>
      </c>
      <c r="D71" s="572" t="s">
        <v>993</v>
      </c>
      <c r="E71" s="572" t="s">
        <v>994</v>
      </c>
      <c r="F71" s="592"/>
      <c r="G71" s="592"/>
      <c r="H71" s="592"/>
      <c r="I71" s="592"/>
      <c r="J71" s="592">
        <v>2</v>
      </c>
      <c r="K71" s="592">
        <v>3040</v>
      </c>
      <c r="L71" s="592">
        <v>1</v>
      </c>
      <c r="M71" s="592">
        <v>1520</v>
      </c>
      <c r="N71" s="592">
        <v>2</v>
      </c>
      <c r="O71" s="592">
        <v>3044</v>
      </c>
      <c r="P71" s="577">
        <v>1.0013157894736842</v>
      </c>
      <c r="Q71" s="593">
        <v>1522</v>
      </c>
    </row>
    <row r="72" spans="1:17" ht="14.4" customHeight="1" x14ac:dyDescent="0.3">
      <c r="A72" s="571" t="s">
        <v>1115</v>
      </c>
      <c r="B72" s="572" t="s">
        <v>1003</v>
      </c>
      <c r="C72" s="572" t="s">
        <v>973</v>
      </c>
      <c r="D72" s="572" t="s">
        <v>1009</v>
      </c>
      <c r="E72" s="572"/>
      <c r="F72" s="592"/>
      <c r="G72" s="592"/>
      <c r="H72" s="592"/>
      <c r="I72" s="592"/>
      <c r="J72" s="592">
        <v>1</v>
      </c>
      <c r="K72" s="592">
        <v>1285</v>
      </c>
      <c r="L72" s="592">
        <v>1</v>
      </c>
      <c r="M72" s="592">
        <v>1285</v>
      </c>
      <c r="N72" s="592"/>
      <c r="O72" s="592"/>
      <c r="P72" s="577"/>
      <c r="Q72" s="593"/>
    </row>
    <row r="73" spans="1:17" ht="14.4" customHeight="1" x14ac:dyDescent="0.3">
      <c r="A73" s="571" t="s">
        <v>1115</v>
      </c>
      <c r="B73" s="572" t="s">
        <v>1003</v>
      </c>
      <c r="C73" s="572" t="s">
        <v>973</v>
      </c>
      <c r="D73" s="572" t="s">
        <v>1052</v>
      </c>
      <c r="E73" s="572" t="s">
        <v>1053</v>
      </c>
      <c r="F73" s="592"/>
      <c r="G73" s="592"/>
      <c r="H73" s="592"/>
      <c r="I73" s="592"/>
      <c r="J73" s="592"/>
      <c r="K73" s="592"/>
      <c r="L73" s="592"/>
      <c r="M73" s="592"/>
      <c r="N73" s="592">
        <v>1</v>
      </c>
      <c r="O73" s="592">
        <v>1107</v>
      </c>
      <c r="P73" s="577"/>
      <c r="Q73" s="593">
        <v>1107</v>
      </c>
    </row>
    <row r="74" spans="1:17" ht="14.4" customHeight="1" x14ac:dyDescent="0.3">
      <c r="A74" s="571" t="s">
        <v>1116</v>
      </c>
      <c r="B74" s="572" t="s">
        <v>979</v>
      </c>
      <c r="C74" s="572" t="s">
        <v>973</v>
      </c>
      <c r="D74" s="572" t="s">
        <v>993</v>
      </c>
      <c r="E74" s="572" t="s">
        <v>994</v>
      </c>
      <c r="F74" s="592">
        <v>1</v>
      </c>
      <c r="G74" s="592">
        <v>1519</v>
      </c>
      <c r="H74" s="592"/>
      <c r="I74" s="592">
        <v>1519</v>
      </c>
      <c r="J74" s="592"/>
      <c r="K74" s="592"/>
      <c r="L74" s="592"/>
      <c r="M74" s="592"/>
      <c r="N74" s="592">
        <v>1</v>
      </c>
      <c r="O74" s="592">
        <v>1522</v>
      </c>
      <c r="P74" s="577"/>
      <c r="Q74" s="593">
        <v>1522</v>
      </c>
    </row>
    <row r="75" spans="1:17" ht="14.4" customHeight="1" x14ac:dyDescent="0.3">
      <c r="A75" s="571" t="s">
        <v>1116</v>
      </c>
      <c r="B75" s="572" t="s">
        <v>1003</v>
      </c>
      <c r="C75" s="572" t="s">
        <v>973</v>
      </c>
      <c r="D75" s="572" t="s">
        <v>1009</v>
      </c>
      <c r="E75" s="572" t="s">
        <v>1010</v>
      </c>
      <c r="F75" s="592">
        <v>1</v>
      </c>
      <c r="G75" s="592">
        <v>1283</v>
      </c>
      <c r="H75" s="592"/>
      <c r="I75" s="592">
        <v>1283</v>
      </c>
      <c r="J75" s="592"/>
      <c r="K75" s="592"/>
      <c r="L75" s="592"/>
      <c r="M75" s="592"/>
      <c r="N75" s="592"/>
      <c r="O75" s="592"/>
      <c r="P75" s="577"/>
      <c r="Q75" s="593"/>
    </row>
    <row r="76" spans="1:17" ht="14.4" customHeight="1" thickBot="1" x14ac:dyDescent="0.35">
      <c r="A76" s="579" t="s">
        <v>1116</v>
      </c>
      <c r="B76" s="580" t="s">
        <v>1003</v>
      </c>
      <c r="C76" s="580" t="s">
        <v>973</v>
      </c>
      <c r="D76" s="580" t="s">
        <v>1052</v>
      </c>
      <c r="E76" s="580" t="s">
        <v>1053</v>
      </c>
      <c r="F76" s="594"/>
      <c r="G76" s="594"/>
      <c r="H76" s="594"/>
      <c r="I76" s="594"/>
      <c r="J76" s="594"/>
      <c r="K76" s="594"/>
      <c r="L76" s="594"/>
      <c r="M76" s="594"/>
      <c r="N76" s="594">
        <v>1</v>
      </c>
      <c r="O76" s="594">
        <v>1107</v>
      </c>
      <c r="P76" s="585"/>
      <c r="Q76" s="595">
        <v>1107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29" bestFit="1" customWidth="1"/>
    <col min="2" max="2" width="9.5546875" style="129" hidden="1" customWidth="1" outlineLevel="1"/>
    <col min="3" max="3" width="9.5546875" style="129" customWidth="1" collapsed="1"/>
    <col min="4" max="4" width="2.21875" style="129" customWidth="1"/>
    <col min="5" max="8" width="9.5546875" style="129" customWidth="1"/>
    <col min="9" max="10" width="9.77734375" style="129" hidden="1" customWidth="1" outlineLevel="1"/>
    <col min="11" max="11" width="8.88671875" style="129" collapsed="1"/>
    <col min="12" max="16384" width="8.88671875" style="129"/>
  </cols>
  <sheetData>
    <row r="1" spans="1:10" ht="18.600000000000001" customHeight="1" thickBot="1" x14ac:dyDescent="0.4">
      <c r="A1" s="340" t="s">
        <v>135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" customHeight="1" thickBot="1" x14ac:dyDescent="0.35">
      <c r="A2" s="232" t="s">
        <v>265</v>
      </c>
      <c r="B2" s="111"/>
      <c r="C2" s="111"/>
      <c r="D2" s="111"/>
      <c r="E2" s="111"/>
      <c r="F2" s="111"/>
    </row>
    <row r="3" spans="1:10" ht="14.4" customHeight="1" x14ac:dyDescent="0.3">
      <c r="A3" s="331"/>
      <c r="B3" s="107">
        <v>2015</v>
      </c>
      <c r="C3" s="40">
        <v>2017</v>
      </c>
      <c r="D3" s="7"/>
      <c r="E3" s="335">
        <v>2018</v>
      </c>
      <c r="F3" s="336"/>
      <c r="G3" s="336"/>
      <c r="H3" s="337"/>
      <c r="I3" s="338">
        <v>2017</v>
      </c>
      <c r="J3" s="339"/>
    </row>
    <row r="4" spans="1:10" ht="14.4" customHeight="1" thickBot="1" x14ac:dyDescent="0.3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209</v>
      </c>
      <c r="J4" s="269" t="s">
        <v>210</v>
      </c>
    </row>
    <row r="5" spans="1:10" ht="14.4" customHeight="1" x14ac:dyDescent="0.3">
      <c r="A5" s="112" t="str">
        <f>HYPERLINK("#'Léky Žádanky'!A1","Léky (Kč)")</f>
        <v>Léky (Kč)</v>
      </c>
      <c r="B5" s="27">
        <v>13.757420000000003</v>
      </c>
      <c r="C5" s="29">
        <v>17.505309999999998</v>
      </c>
      <c r="D5" s="8"/>
      <c r="E5" s="117">
        <v>16.902720000000002</v>
      </c>
      <c r="F5" s="28">
        <v>20.000001220703126</v>
      </c>
      <c r="G5" s="116">
        <f>E5-F5</f>
        <v>-3.0972812207031239</v>
      </c>
      <c r="H5" s="122">
        <f>IF(F5&lt;0.00000001,"",E5/F5)</f>
        <v>0.84513594841699535</v>
      </c>
    </row>
    <row r="6" spans="1:10" ht="14.4" customHeight="1" x14ac:dyDescent="0.3">
      <c r="A6" s="112" t="str">
        <f>HYPERLINK("#'Materiál Žádanky'!A1","Materiál - SZM (Kč)")</f>
        <v>Materiál - SZM (Kč)</v>
      </c>
      <c r="B6" s="10">
        <v>1891.4795699999997</v>
      </c>
      <c r="C6" s="31">
        <v>2147.0012300000003</v>
      </c>
      <c r="D6" s="8"/>
      <c r="E6" s="118">
        <v>1667.8940499999999</v>
      </c>
      <c r="F6" s="30">
        <v>2393.4770127868651</v>
      </c>
      <c r="G6" s="119">
        <f>E6-F6</f>
        <v>-725.58296278686521</v>
      </c>
      <c r="H6" s="123">
        <f>IF(F6&lt;0.00000001,"",E6/F6)</f>
        <v>0.69684983022167124</v>
      </c>
    </row>
    <row r="7" spans="1:10" ht="14.4" customHeight="1" x14ac:dyDescent="0.3">
      <c r="A7" s="112" t="str">
        <f>HYPERLINK("#'Osobní náklady'!A1","Osobní náklady (Kč) *")</f>
        <v>Osobní náklady (Kč) *</v>
      </c>
      <c r="B7" s="10">
        <v>7947.3127400000003</v>
      </c>
      <c r="C7" s="31">
        <v>8700.7510000000002</v>
      </c>
      <c r="D7" s="8"/>
      <c r="E7" s="118">
        <v>9347.2908700000007</v>
      </c>
      <c r="F7" s="30">
        <v>9440.9979975585939</v>
      </c>
      <c r="G7" s="119">
        <f>E7-F7</f>
        <v>-93.707127558593129</v>
      </c>
      <c r="H7" s="123">
        <f>IF(F7&lt;0.00000001,"",E7/F7)</f>
        <v>0.99007444683466461</v>
      </c>
    </row>
    <row r="8" spans="1:10" ht="14.4" customHeight="1" thickBot="1" x14ac:dyDescent="0.35">
      <c r="A8" s="1" t="s">
        <v>75</v>
      </c>
      <c r="B8" s="11">
        <v>2226.2631700000011</v>
      </c>
      <c r="C8" s="33">
        <v>1390.5975799999978</v>
      </c>
      <c r="D8" s="8"/>
      <c r="E8" s="120">
        <v>1696.5935799999997</v>
      </c>
      <c r="F8" s="32">
        <v>1580.1353693161004</v>
      </c>
      <c r="G8" s="121">
        <f>E8-F8</f>
        <v>116.45821068389932</v>
      </c>
      <c r="H8" s="124">
        <f>IF(F8&lt;0.00000001,"",E8/F8)</f>
        <v>1.0737014137809622</v>
      </c>
    </row>
    <row r="9" spans="1:10" ht="14.4" customHeight="1" thickBot="1" x14ac:dyDescent="0.35">
      <c r="A9" s="2" t="s">
        <v>76</v>
      </c>
      <c r="B9" s="3">
        <v>12078.812900000001</v>
      </c>
      <c r="C9" s="35">
        <v>12255.855119999998</v>
      </c>
      <c r="D9" s="8"/>
      <c r="E9" s="3">
        <v>12728.681220000002</v>
      </c>
      <c r="F9" s="34">
        <v>13434.610380882263</v>
      </c>
      <c r="G9" s="34">
        <f>E9-F9</f>
        <v>-705.92916088226048</v>
      </c>
      <c r="H9" s="125">
        <f>IF(F9&lt;0.00000001,"",E9/F9)</f>
        <v>0.94745443739203539</v>
      </c>
    </row>
    <row r="10" spans="1:10" ht="14.4" customHeight="1" thickBot="1" x14ac:dyDescent="0.35">
      <c r="A10" s="12"/>
      <c r="B10" s="12"/>
      <c r="C10" s="108"/>
      <c r="D10" s="8"/>
      <c r="E10" s="12"/>
      <c r="F10" s="13"/>
    </row>
    <row r="11" spans="1:10" ht="14.4" customHeight="1" x14ac:dyDescent="0.3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58472.976750000002</v>
      </c>
      <c r="C11" s="29">
        <f>IF(ISERROR(VLOOKUP("Celkem:",'ZV Vykáz.-A'!A:H,5,0)),0,VLOOKUP("Celkem:",'ZV Vykáz.-A'!A:H,5,0)/1000)</f>
        <v>38577.270700000001</v>
      </c>
      <c r="D11" s="8"/>
      <c r="E11" s="117">
        <f>IF(ISERROR(VLOOKUP("Celkem:",'ZV Vykáz.-A'!A:H,8,0)),0,VLOOKUP("Celkem:",'ZV Vykáz.-A'!A:H,8,0)/1000)</f>
        <v>19614.592470000003</v>
      </c>
      <c r="F11" s="28">
        <f>C11</f>
        <v>38577.270700000001</v>
      </c>
      <c r="G11" s="116">
        <f>E11-F11</f>
        <v>-18962.678229999998</v>
      </c>
      <c r="H11" s="122">
        <f>IF(F11&lt;0.00000001,"",E11/F11)</f>
        <v>0.50844946037097438</v>
      </c>
      <c r="I11" s="116">
        <f>E11-B11</f>
        <v>-38858.384279999998</v>
      </c>
      <c r="J11" s="122">
        <f>IF(B11&lt;0.00000001,"",E11/B11)</f>
        <v>0.33544713404726745</v>
      </c>
    </row>
    <row r="12" spans="1:10" ht="14.4" customHeight="1" thickBot="1" x14ac:dyDescent="0.3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" customHeight="1" thickBot="1" x14ac:dyDescent="0.35">
      <c r="A13" s="4" t="s">
        <v>79</v>
      </c>
      <c r="B13" s="5">
        <f>SUM(B11:B12)</f>
        <v>58472.976750000002</v>
      </c>
      <c r="C13" s="37">
        <f>SUM(C11:C12)</f>
        <v>38577.270700000001</v>
      </c>
      <c r="D13" s="8"/>
      <c r="E13" s="5">
        <f>SUM(E11:E12)</f>
        <v>19614.592470000003</v>
      </c>
      <c r="F13" s="36">
        <f>SUM(F11:F12)</f>
        <v>38577.270700000001</v>
      </c>
      <c r="G13" s="36">
        <f>E13-F13</f>
        <v>-18962.678229999998</v>
      </c>
      <c r="H13" s="126">
        <f>IF(F13&lt;0.00000001,"",E13/F13)</f>
        <v>0.50844946037097438</v>
      </c>
      <c r="I13" s="36">
        <f>SUM(I11:I12)</f>
        <v>-38858.384279999998</v>
      </c>
      <c r="J13" s="126">
        <f>IF(B13&lt;0.00000001,"",E13/B13)</f>
        <v>0.33544713404726745</v>
      </c>
    </row>
    <row r="14" spans="1:10" ht="14.4" customHeight="1" thickBot="1" x14ac:dyDescent="0.35">
      <c r="A14" s="12"/>
      <c r="B14" s="12"/>
      <c r="C14" s="108"/>
      <c r="D14" s="8"/>
      <c r="E14" s="12"/>
      <c r="F14" s="13"/>
    </row>
    <row r="15" spans="1:10" ht="14.4" customHeight="1" thickBot="1" x14ac:dyDescent="0.35">
      <c r="A15" s="134" t="str">
        <f>HYPERLINK("#'HI Graf'!A1","Hospodářský index (Výnosy / Náklady) *")</f>
        <v>Hospodářský index (Výnosy / Náklady) *</v>
      </c>
      <c r="B15" s="6">
        <f>IF(B9=0,"",B13/B9)</f>
        <v>4.8409539276827438</v>
      </c>
      <c r="C15" s="39">
        <f>IF(C9=0,"",C13/C9)</f>
        <v>3.1476604710385976</v>
      </c>
      <c r="D15" s="8"/>
      <c r="E15" s="6">
        <f>IF(E9=0,"",E13/E9)</f>
        <v>1.5409760155812906</v>
      </c>
      <c r="F15" s="38">
        <f>IF(F9=0,"",F13/F9)</f>
        <v>2.8714841447799841</v>
      </c>
      <c r="G15" s="38">
        <f>IF(ISERROR(F15-E15),"",E15-F15)</f>
        <v>-1.3305081291986935</v>
      </c>
      <c r="H15" s="127">
        <f>IF(ISERROR(F15-E15),"",IF(F15&lt;0.00000001,"",E15/F15))</f>
        <v>0.53664792765183866</v>
      </c>
    </row>
    <row r="17" spans="1:8" ht="14.4" customHeight="1" x14ac:dyDescent="0.3">
      <c r="A17" s="113" t="s">
        <v>156</v>
      </c>
    </row>
    <row r="18" spans="1:8" ht="14.4" customHeight="1" x14ac:dyDescent="0.3">
      <c r="A18" s="235" t="s">
        <v>183</v>
      </c>
      <c r="B18" s="236"/>
      <c r="C18" s="236"/>
      <c r="D18" s="236"/>
      <c r="E18" s="236"/>
      <c r="F18" s="236"/>
      <c r="G18" s="236"/>
      <c r="H18" s="236"/>
    </row>
    <row r="19" spans="1:8" x14ac:dyDescent="0.3">
      <c r="A19" s="234" t="s">
        <v>182</v>
      </c>
      <c r="B19" s="236"/>
      <c r="C19" s="236"/>
      <c r="D19" s="236"/>
      <c r="E19" s="236"/>
      <c r="F19" s="236"/>
      <c r="G19" s="236"/>
      <c r="H19" s="236"/>
    </row>
    <row r="20" spans="1:8" ht="14.4" customHeight="1" x14ac:dyDescent="0.3">
      <c r="A20" s="114" t="s">
        <v>202</v>
      </c>
    </row>
    <row r="21" spans="1:8" ht="14.4" customHeight="1" x14ac:dyDescent="0.3">
      <c r="A21" s="114" t="s">
        <v>157</v>
      </c>
    </row>
    <row r="22" spans="1:8" ht="14.4" customHeight="1" x14ac:dyDescent="0.3">
      <c r="A22" s="115" t="s">
        <v>243</v>
      </c>
    </row>
    <row r="23" spans="1:8" ht="14.4" customHeight="1" x14ac:dyDescent="0.3">
      <c r="A23" s="115" t="s">
        <v>158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8" priority="8" operator="greaterThan">
      <formula>0</formula>
    </cfRule>
  </conditionalFormatting>
  <conditionalFormatting sqref="G11:G13 G15">
    <cfRule type="cellIs" dxfId="57" priority="7" operator="lessThan">
      <formula>0</formula>
    </cfRule>
  </conditionalFormatting>
  <conditionalFormatting sqref="H5:H9">
    <cfRule type="cellIs" dxfId="56" priority="6" operator="greaterThan">
      <formula>1</formula>
    </cfRule>
  </conditionalFormatting>
  <conditionalFormatting sqref="H11:H13 H15">
    <cfRule type="cellIs" dxfId="55" priority="5" operator="lessThan">
      <formula>1</formula>
    </cfRule>
  </conditionalFormatting>
  <conditionalFormatting sqref="I11:I13">
    <cfRule type="cellIs" dxfId="54" priority="4" operator="lessThan">
      <formula>0</formula>
    </cfRule>
  </conditionalFormatting>
  <conditionalFormatting sqref="J11:J13">
    <cfRule type="cellIs" dxfId="53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29"/>
    <col min="2" max="13" width="8.88671875" style="129" customWidth="1"/>
    <col min="14" max="16384" width="8.88671875" style="129"/>
  </cols>
  <sheetData>
    <row r="1" spans="1:13" ht="18.600000000000001" customHeight="1" thickBot="1" x14ac:dyDescent="0.4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" customHeight="1" x14ac:dyDescent="0.3">
      <c r="A2" s="232" t="s">
        <v>265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" customHeight="1" x14ac:dyDescent="0.3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" customHeight="1" x14ac:dyDescent="0.3">
      <c r="A4" s="198" t="s">
        <v>80</v>
      </c>
      <c r="B4" s="201">
        <f>(B10+B8)/B6</f>
        <v>1.5800557626850988</v>
      </c>
      <c r="C4" s="201">
        <f t="shared" ref="C4:M4" si="0">(C10+C8)/C6</f>
        <v>1.6615904717702896</v>
      </c>
      <c r="D4" s="201">
        <f t="shared" si="0"/>
        <v>1.707115738306153</v>
      </c>
      <c r="E4" s="201">
        <f t="shared" si="0"/>
        <v>1.6501111504134947</v>
      </c>
      <c r="F4" s="201">
        <f t="shared" si="0"/>
        <v>1.6206403796936819</v>
      </c>
      <c r="G4" s="201">
        <f t="shared" si="0"/>
        <v>1.5409759896555857</v>
      </c>
      <c r="H4" s="201">
        <f t="shared" si="0"/>
        <v>1.5409759896555857</v>
      </c>
      <c r="I4" s="201">
        <f t="shared" si="0"/>
        <v>1.5409759896555857</v>
      </c>
      <c r="J4" s="201">
        <f t="shared" si="0"/>
        <v>1.5409759896555857</v>
      </c>
      <c r="K4" s="201">
        <f t="shared" si="0"/>
        <v>1.5409759896555857</v>
      </c>
      <c r="L4" s="201">
        <f t="shared" si="0"/>
        <v>1.5409759896555857</v>
      </c>
      <c r="M4" s="201">
        <f t="shared" si="0"/>
        <v>1.5409759896555857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2056.4827500000001</v>
      </c>
      <c r="C5" s="201">
        <f>IF(ISERROR(VLOOKUP($A5,'Man Tab'!$A:$Q,COLUMN()+2,0)),0,VLOOKUP($A5,'Man Tab'!$A:$Q,COLUMN()+2,0))</f>
        <v>1925.07701</v>
      </c>
      <c r="D5" s="201">
        <f>IF(ISERROR(VLOOKUP($A5,'Man Tab'!$A:$Q,COLUMN()+2,0)),0,VLOOKUP($A5,'Man Tab'!$A:$Q,COLUMN()+2,0))</f>
        <v>2021.3262600000101</v>
      </c>
      <c r="E5" s="201">
        <f>IF(ISERROR(VLOOKUP($A5,'Man Tab'!$A:$Q,COLUMN()+2,0)),0,VLOOKUP($A5,'Man Tab'!$A:$Q,COLUMN()+2,0))</f>
        <v>2365.36445000001</v>
      </c>
      <c r="F5" s="201">
        <f>IF(ISERROR(VLOOKUP($A5,'Man Tab'!$A:$Q,COLUMN()+2,0)),0,VLOOKUP($A5,'Man Tab'!$A:$Q,COLUMN()+2,0))</f>
        <v>2049.1363799999999</v>
      </c>
      <c r="G5" s="201">
        <f>IF(ISERROR(VLOOKUP($A5,'Man Tab'!$A:$Q,COLUMN()+2,0)),0,VLOOKUP($A5,'Man Tab'!$A:$Q,COLUMN()+2,0))</f>
        <v>2311.2943700000001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76</v>
      </c>
      <c r="B6" s="203">
        <f>B5</f>
        <v>2056.4827500000001</v>
      </c>
      <c r="C6" s="203">
        <f t="shared" ref="C6:M6" si="1">C5+B6</f>
        <v>3981.5597600000001</v>
      </c>
      <c r="D6" s="203">
        <f t="shared" si="1"/>
        <v>6002.8860200000099</v>
      </c>
      <c r="E6" s="203">
        <f t="shared" si="1"/>
        <v>8368.2504700000209</v>
      </c>
      <c r="F6" s="203">
        <f t="shared" si="1"/>
        <v>10417.386850000021</v>
      </c>
      <c r="G6" s="203">
        <f t="shared" si="1"/>
        <v>12728.68122000002</v>
      </c>
      <c r="H6" s="203">
        <f t="shared" si="1"/>
        <v>12728.68122000002</v>
      </c>
      <c r="I6" s="203">
        <f t="shared" si="1"/>
        <v>12728.68122000002</v>
      </c>
      <c r="J6" s="203">
        <f t="shared" si="1"/>
        <v>12728.68122000002</v>
      </c>
      <c r="K6" s="203">
        <f t="shared" si="1"/>
        <v>12728.68122000002</v>
      </c>
      <c r="L6" s="203">
        <f t="shared" si="1"/>
        <v>12728.68122000002</v>
      </c>
      <c r="M6" s="203">
        <f t="shared" si="1"/>
        <v>12728.68122000002</v>
      </c>
    </row>
    <row r="7" spans="1:13" ht="14.4" customHeight="1" x14ac:dyDescent="0.3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102</v>
      </c>
      <c r="B9" s="202">
        <v>3249357.42</v>
      </c>
      <c r="C9" s="202">
        <v>3366364.3400000012</v>
      </c>
      <c r="D9" s="202">
        <v>3631899.4400000004</v>
      </c>
      <c r="E9" s="202">
        <v>3560922.2100000014</v>
      </c>
      <c r="F9" s="202">
        <v>3074294.3699999996</v>
      </c>
      <c r="G9" s="202">
        <v>2731754.36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78</v>
      </c>
      <c r="B10" s="203">
        <f>B9/1000</f>
        <v>3249.3574199999998</v>
      </c>
      <c r="C10" s="203">
        <f t="shared" ref="C10:M10" si="3">C9/1000+B10</f>
        <v>6615.7217600000013</v>
      </c>
      <c r="D10" s="203">
        <f t="shared" si="3"/>
        <v>10247.621200000001</v>
      </c>
      <c r="E10" s="203">
        <f t="shared" si="3"/>
        <v>13808.543410000002</v>
      </c>
      <c r="F10" s="203">
        <f t="shared" si="3"/>
        <v>16882.837780000002</v>
      </c>
      <c r="G10" s="203">
        <f t="shared" si="3"/>
        <v>19614.592140000001</v>
      </c>
      <c r="H10" s="203">
        <f t="shared" si="3"/>
        <v>19614.592140000001</v>
      </c>
      <c r="I10" s="203">
        <f t="shared" si="3"/>
        <v>19614.592140000001</v>
      </c>
      <c r="J10" s="203">
        <f t="shared" si="3"/>
        <v>19614.592140000001</v>
      </c>
      <c r="K10" s="203">
        <f t="shared" si="3"/>
        <v>19614.592140000001</v>
      </c>
      <c r="L10" s="203">
        <f t="shared" si="3"/>
        <v>19614.592140000001</v>
      </c>
      <c r="M10" s="203">
        <f t="shared" si="3"/>
        <v>19614.592140000001</v>
      </c>
    </row>
    <row r="11" spans="1:13" ht="14.4" customHeight="1" x14ac:dyDescent="0.3">
      <c r="A11" s="198"/>
      <c r="B11" s="198" t="s">
        <v>93</v>
      </c>
      <c r="C11" s="198">
        <f ca="1">IF(MONTH(TODAY())=1,12,MONTH(TODAY())-1)</f>
        <v>6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2.8714841447799841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2.8714841447799841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29" bestFit="1" customWidth="1"/>
    <col min="2" max="2" width="12.77734375" style="129" bestFit="1" customWidth="1"/>
    <col min="3" max="3" width="13.6640625" style="129" bestFit="1" customWidth="1"/>
    <col min="4" max="15" width="7.77734375" style="129" bestFit="1" customWidth="1"/>
    <col min="16" max="16" width="8.88671875" style="129" customWidth="1"/>
    <col min="17" max="17" width="6.6640625" style="129" bestFit="1" customWidth="1"/>
    <col min="18" max="16384" width="8.88671875" style="129"/>
  </cols>
  <sheetData>
    <row r="1" spans="1:17" s="204" customFormat="1" ht="18.600000000000001" customHeight="1" thickBot="1" x14ac:dyDescent="0.4">
      <c r="A1" s="341" t="s">
        <v>267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" customHeight="1" thickBot="1" x14ac:dyDescent="0.3">
      <c r="A2" s="232" t="s">
        <v>265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" customHeight="1" x14ac:dyDescent="0.3">
      <c r="A4" s="77"/>
      <c r="B4" s="20">
        <v>2018</v>
      </c>
      <c r="C4" s="138" t="s">
        <v>30</v>
      </c>
      <c r="D4" s="262" t="s">
        <v>244</v>
      </c>
      <c r="E4" s="262" t="s">
        <v>245</v>
      </c>
      <c r="F4" s="262" t="s">
        <v>246</v>
      </c>
      <c r="G4" s="262" t="s">
        <v>247</v>
      </c>
      <c r="H4" s="262" t="s">
        <v>248</v>
      </c>
      <c r="I4" s="262" t="s">
        <v>249</v>
      </c>
      <c r="J4" s="262" t="s">
        <v>250</v>
      </c>
      <c r="K4" s="262" t="s">
        <v>251</v>
      </c>
      <c r="L4" s="262" t="s">
        <v>252</v>
      </c>
      <c r="M4" s="262" t="s">
        <v>253</v>
      </c>
      <c r="N4" s="262" t="s">
        <v>254</v>
      </c>
      <c r="O4" s="262" t="s">
        <v>255</v>
      </c>
      <c r="P4" s="344" t="s">
        <v>3</v>
      </c>
      <c r="Q4" s="34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266</v>
      </c>
    </row>
    <row r="7" spans="1:17" ht="14.4" customHeight="1" x14ac:dyDescent="0.3">
      <c r="A7" s="15" t="s">
        <v>35</v>
      </c>
      <c r="B7" s="51">
        <v>40</v>
      </c>
      <c r="C7" s="52">
        <v>3.333333333333</v>
      </c>
      <c r="D7" s="52">
        <v>1.8433299999999999</v>
      </c>
      <c r="E7" s="52">
        <v>3.8738999999999999</v>
      </c>
      <c r="F7" s="52">
        <v>2.5991900000000001</v>
      </c>
      <c r="G7" s="52">
        <v>3.1308600000000002</v>
      </c>
      <c r="H7" s="52">
        <v>2.2355100000000001</v>
      </c>
      <c r="I7" s="52">
        <v>3.2199300000000002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16.902719999999999</v>
      </c>
      <c r="Q7" s="95">
        <v>0.845136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266</v>
      </c>
    </row>
    <row r="9" spans="1:17" ht="14.4" customHeight="1" x14ac:dyDescent="0.3">
      <c r="A9" s="15" t="s">
        <v>37</v>
      </c>
      <c r="B9" s="51">
        <v>4786.9540187726398</v>
      </c>
      <c r="C9" s="52">
        <v>398.91283489772002</v>
      </c>
      <c r="D9" s="52">
        <v>210.26895999999999</v>
      </c>
      <c r="E9" s="52">
        <v>270.64738</v>
      </c>
      <c r="F9" s="52">
        <v>281.12719000000101</v>
      </c>
      <c r="G9" s="52">
        <v>270.084370000001</v>
      </c>
      <c r="H9" s="52">
        <v>253.02690999999999</v>
      </c>
      <c r="I9" s="52">
        <v>382.73924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1667.8940500000001</v>
      </c>
      <c r="Q9" s="95">
        <v>0.69684983121099997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266</v>
      </c>
    </row>
    <row r="11" spans="1:17" ht="14.4" customHeight="1" x14ac:dyDescent="0.3">
      <c r="A11" s="15" t="s">
        <v>39</v>
      </c>
      <c r="B11" s="51">
        <v>115.62484221605899</v>
      </c>
      <c r="C11" s="52">
        <v>9.6354035180040007</v>
      </c>
      <c r="D11" s="52">
        <v>8.2803299999999993</v>
      </c>
      <c r="E11" s="52">
        <v>6.9396300000000002</v>
      </c>
      <c r="F11" s="52">
        <v>15.35558</v>
      </c>
      <c r="G11" s="52">
        <v>5.6919700000000004</v>
      </c>
      <c r="H11" s="52">
        <v>5.7536800000000001</v>
      </c>
      <c r="I11" s="52">
        <v>14.01845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56.039639999999999</v>
      </c>
      <c r="Q11" s="95">
        <v>0.96933563628599995</v>
      </c>
    </row>
    <row r="12" spans="1:17" ht="14.4" customHeight="1" x14ac:dyDescent="0.3">
      <c r="A12" s="15" t="s">
        <v>40</v>
      </c>
      <c r="B12" s="51">
        <v>9.8997786460100006</v>
      </c>
      <c r="C12" s="52">
        <v>0.82498155383399996</v>
      </c>
      <c r="D12" s="52">
        <v>4.385E-2</v>
      </c>
      <c r="E12" s="52">
        <v>0.14280000000000001</v>
      </c>
      <c r="F12" s="52">
        <v>0</v>
      </c>
      <c r="G12" s="52">
        <v>0.27600000000000002</v>
      </c>
      <c r="H12" s="52">
        <v>1.3925000000000001</v>
      </c>
      <c r="I12" s="52">
        <v>0.82499999999999996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2.6801499999999998</v>
      </c>
      <c r="Q12" s="95">
        <v>0.541456550865</v>
      </c>
    </row>
    <row r="13" spans="1:17" ht="14.4" customHeight="1" x14ac:dyDescent="0.3">
      <c r="A13" s="15" t="s">
        <v>41</v>
      </c>
      <c r="B13" s="51">
        <v>12.090649985422999</v>
      </c>
      <c r="C13" s="52">
        <v>1.0075541654510001</v>
      </c>
      <c r="D13" s="52">
        <v>1.1869799999999999</v>
      </c>
      <c r="E13" s="52">
        <v>0.88814000000000004</v>
      </c>
      <c r="F13" s="52">
        <v>0.52707999999999999</v>
      </c>
      <c r="G13" s="52">
        <v>0.24418999999999999</v>
      </c>
      <c r="H13" s="52">
        <v>1.32229</v>
      </c>
      <c r="I13" s="52">
        <v>1.31141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5.4800899999999997</v>
      </c>
      <c r="Q13" s="95">
        <v>0.90650047873399997</v>
      </c>
    </row>
    <row r="14" spans="1:17" ht="14.4" customHeight="1" x14ac:dyDescent="0.3">
      <c r="A14" s="15" t="s">
        <v>42</v>
      </c>
      <c r="B14" s="51">
        <v>163.58267765678099</v>
      </c>
      <c r="C14" s="52">
        <v>13.631889804730999</v>
      </c>
      <c r="D14" s="52">
        <v>18.457000000000001</v>
      </c>
      <c r="E14" s="52">
        <v>17.524000000000001</v>
      </c>
      <c r="F14" s="52">
        <v>17.225999999999999</v>
      </c>
      <c r="G14" s="52">
        <v>11.394</v>
      </c>
      <c r="H14" s="52">
        <v>10.176</v>
      </c>
      <c r="I14" s="52">
        <v>9.5519999999999996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84.328999999999994</v>
      </c>
      <c r="Q14" s="95">
        <v>1.031026037817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266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266</v>
      </c>
    </row>
    <row r="17" spans="1:17" ht="14.4" customHeight="1" x14ac:dyDescent="0.3">
      <c r="A17" s="15" t="s">
        <v>45</v>
      </c>
      <c r="B17" s="51">
        <v>318.971382100109</v>
      </c>
      <c r="C17" s="52">
        <v>26.580948508342001</v>
      </c>
      <c r="D17" s="52">
        <v>2.04732</v>
      </c>
      <c r="E17" s="52">
        <v>5.0287600000000001</v>
      </c>
      <c r="F17" s="52">
        <v>6.1038399999999999</v>
      </c>
      <c r="G17" s="52">
        <v>296.00742000000099</v>
      </c>
      <c r="H17" s="52">
        <v>8.55016</v>
      </c>
      <c r="I17" s="52">
        <v>40.456510000000002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358.19401000000101</v>
      </c>
      <c r="Q17" s="95">
        <v>2.2459319556609998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2.2599999999999998</v>
      </c>
      <c r="E18" s="52">
        <v>9.2200000000000006</v>
      </c>
      <c r="F18" s="52">
        <v>4.0880000000000001</v>
      </c>
      <c r="G18" s="52">
        <v>9.0310000000000006</v>
      </c>
      <c r="H18" s="52">
        <v>6.38</v>
      </c>
      <c r="I18" s="52">
        <v>23.314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54.292999999999999</v>
      </c>
      <c r="Q18" s="95" t="s">
        <v>266</v>
      </c>
    </row>
    <row r="19" spans="1:17" ht="14.4" customHeight="1" x14ac:dyDescent="0.3">
      <c r="A19" s="15" t="s">
        <v>47</v>
      </c>
      <c r="B19" s="51">
        <v>1249.3509925639601</v>
      </c>
      <c r="C19" s="52">
        <v>104.112582713663</v>
      </c>
      <c r="D19" s="52">
        <v>62.013269999999999</v>
      </c>
      <c r="E19" s="52">
        <v>27.499140000000001</v>
      </c>
      <c r="F19" s="52">
        <v>37.074399999999997</v>
      </c>
      <c r="G19" s="52">
        <v>95.687700000000007</v>
      </c>
      <c r="H19" s="52">
        <v>52.322209999999998</v>
      </c>
      <c r="I19" s="52">
        <v>83.020420000000001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357.61714000000097</v>
      </c>
      <c r="Q19" s="95">
        <v>0.57248466144099996</v>
      </c>
    </row>
    <row r="20" spans="1:17" ht="14.4" customHeight="1" x14ac:dyDescent="0.3">
      <c r="A20" s="15" t="s">
        <v>48</v>
      </c>
      <c r="B20" s="51">
        <v>18881.9959987609</v>
      </c>
      <c r="C20" s="52">
        <v>1573.4996665634101</v>
      </c>
      <c r="D20" s="52">
        <v>1634.77269</v>
      </c>
      <c r="E20" s="52">
        <v>1454.76027</v>
      </c>
      <c r="F20" s="52">
        <v>1543.5261800000001</v>
      </c>
      <c r="G20" s="52">
        <v>1557.61842000001</v>
      </c>
      <c r="H20" s="52">
        <v>1583.4293500000001</v>
      </c>
      <c r="I20" s="52">
        <v>1573.1839600000001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9347.2908700000098</v>
      </c>
      <c r="Q20" s="95">
        <v>0.99007444664300004</v>
      </c>
    </row>
    <row r="21" spans="1:17" ht="14.4" customHeight="1" x14ac:dyDescent="0.3">
      <c r="A21" s="16" t="s">
        <v>49</v>
      </c>
      <c r="B21" s="51">
        <v>1274.76838900639</v>
      </c>
      <c r="C21" s="52">
        <v>106.230699083866</v>
      </c>
      <c r="D21" s="52">
        <v>109.79900000000001</v>
      </c>
      <c r="E21" s="52">
        <v>109.79900000000001</v>
      </c>
      <c r="F21" s="52">
        <v>109.79900000000001</v>
      </c>
      <c r="G21" s="52">
        <v>109.799000000001</v>
      </c>
      <c r="H21" s="52">
        <v>109.79900000000001</v>
      </c>
      <c r="I21" s="52">
        <v>109.79900000000001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658.79400000000101</v>
      </c>
      <c r="Q21" s="95">
        <v>1.0335901104559999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59.081829999999997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59.081829999999997</v>
      </c>
      <c r="Q22" s="95" t="s">
        <v>266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266</v>
      </c>
    </row>
    <row r="24" spans="1:17" ht="14.4" customHeight="1" x14ac:dyDescent="0.3">
      <c r="A24" s="16" t="s">
        <v>52</v>
      </c>
      <c r="B24" s="51">
        <v>16.552120762748999</v>
      </c>
      <c r="C24" s="52">
        <v>1.3793433968960001</v>
      </c>
      <c r="D24" s="52">
        <v>5.5100199999989998</v>
      </c>
      <c r="E24" s="52">
        <v>18.753989999999</v>
      </c>
      <c r="F24" s="52">
        <v>3.8997999999999999</v>
      </c>
      <c r="G24" s="52">
        <v>6.3995199999989998</v>
      </c>
      <c r="H24" s="52">
        <v>14.74877</v>
      </c>
      <c r="I24" s="52">
        <v>10.772619999999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60.084719999999002</v>
      </c>
      <c r="Q24" s="95"/>
    </row>
    <row r="25" spans="1:17" ht="14.4" customHeight="1" x14ac:dyDescent="0.3">
      <c r="A25" s="17" t="s">
        <v>53</v>
      </c>
      <c r="B25" s="54">
        <v>26869.790850470999</v>
      </c>
      <c r="C25" s="55">
        <v>2239.14923753925</v>
      </c>
      <c r="D25" s="55">
        <v>2056.4827500000001</v>
      </c>
      <c r="E25" s="55">
        <v>1925.07701</v>
      </c>
      <c r="F25" s="55">
        <v>2021.3262600000101</v>
      </c>
      <c r="G25" s="55">
        <v>2365.36445000001</v>
      </c>
      <c r="H25" s="55">
        <v>2049.1363799999999</v>
      </c>
      <c r="I25" s="55">
        <v>2311.2943700000001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12728.68122</v>
      </c>
      <c r="Q25" s="96">
        <v>0.94743433552</v>
      </c>
    </row>
    <row r="26" spans="1:17" ht="14.4" customHeight="1" x14ac:dyDescent="0.3">
      <c r="A26" s="15" t="s">
        <v>54</v>
      </c>
      <c r="B26" s="51">
        <v>3186.8240487186699</v>
      </c>
      <c r="C26" s="52">
        <v>265.56867072655598</v>
      </c>
      <c r="D26" s="52">
        <v>255.65189000000001</v>
      </c>
      <c r="E26" s="52">
        <v>240.13558</v>
      </c>
      <c r="F26" s="52">
        <v>239.88684000000001</v>
      </c>
      <c r="G26" s="52">
        <v>250.78326000000001</v>
      </c>
      <c r="H26" s="52">
        <v>236.24176</v>
      </c>
      <c r="I26" s="52">
        <v>352.27049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1574.96982</v>
      </c>
      <c r="Q26" s="95">
        <v>0.98842596636799995</v>
      </c>
    </row>
    <row r="27" spans="1:17" ht="14.4" customHeight="1" x14ac:dyDescent="0.3">
      <c r="A27" s="18" t="s">
        <v>55</v>
      </c>
      <c r="B27" s="54">
        <v>30056.614899189699</v>
      </c>
      <c r="C27" s="55">
        <v>2504.7179082658099</v>
      </c>
      <c r="D27" s="55">
        <v>2312.1346400000002</v>
      </c>
      <c r="E27" s="55">
        <v>2165.2125900000001</v>
      </c>
      <c r="F27" s="55">
        <v>2261.2131000000099</v>
      </c>
      <c r="G27" s="55">
        <v>2616.1477100000102</v>
      </c>
      <c r="H27" s="55">
        <v>2285.3781399999998</v>
      </c>
      <c r="I27" s="55">
        <v>2663.56486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14303.651040000001</v>
      </c>
      <c r="Q27" s="96">
        <v>0.95178057063099997</v>
      </c>
    </row>
    <row r="28" spans="1:17" ht="14.4" customHeight="1" x14ac:dyDescent="0.3">
      <c r="A28" s="16" t="s">
        <v>56</v>
      </c>
      <c r="B28" s="51">
        <v>25.991262776671999</v>
      </c>
      <c r="C28" s="52">
        <v>2.165938564722</v>
      </c>
      <c r="D28" s="52">
        <v>0</v>
      </c>
      <c r="E28" s="52">
        <v>5.6529999999999996</v>
      </c>
      <c r="F28" s="52">
        <v>0</v>
      </c>
      <c r="G28" s="52">
        <v>0</v>
      </c>
      <c r="H28" s="52">
        <v>0</v>
      </c>
      <c r="I28" s="52">
        <v>5.6529999999999996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11.305999999999999</v>
      </c>
      <c r="Q28" s="95">
        <v>0.86998466347199999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266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266</v>
      </c>
    </row>
    <row r="32" spans="1:17" ht="14.4" customHeight="1" x14ac:dyDescent="0.3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" customHeight="1" x14ac:dyDescent="0.3">
      <c r="A33" s="113" t="s">
        <v>156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" customHeight="1" x14ac:dyDescent="0.3">
      <c r="A34" s="135" t="s">
        <v>264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" customHeight="1" x14ac:dyDescent="0.3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29" customWidth="1"/>
    <col min="2" max="11" width="10" style="129" customWidth="1"/>
    <col min="12" max="16384" width="8.88671875" style="129"/>
  </cols>
  <sheetData>
    <row r="1" spans="1:11" s="60" customFormat="1" ht="18.600000000000001" customHeight="1" thickBot="1" x14ac:dyDescent="0.4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1" s="60" customFormat="1" ht="14.4" customHeight="1" thickBot="1" x14ac:dyDescent="0.35">
      <c r="A2" s="232" t="s">
        <v>265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1" ht="14.4" customHeight="1" x14ac:dyDescent="0.3">
      <c r="A4" s="77"/>
      <c r="B4" s="347"/>
      <c r="C4" s="348"/>
      <c r="D4" s="348"/>
      <c r="E4" s="348"/>
      <c r="F4" s="351" t="s">
        <v>260</v>
      </c>
      <c r="G4" s="353" t="s">
        <v>64</v>
      </c>
      <c r="H4" s="140" t="s">
        <v>140</v>
      </c>
      <c r="I4" s="351" t="s">
        <v>65</v>
      </c>
      <c r="J4" s="353" t="s">
        <v>262</v>
      </c>
      <c r="K4" s="354" t="s">
        <v>263</v>
      </c>
    </row>
    <row r="5" spans="1:11" ht="42" thickBot="1" x14ac:dyDescent="0.35">
      <c r="A5" s="78"/>
      <c r="B5" s="24" t="s">
        <v>256</v>
      </c>
      <c r="C5" s="25" t="s">
        <v>257</v>
      </c>
      <c r="D5" s="26" t="s">
        <v>258</v>
      </c>
      <c r="E5" s="26" t="s">
        <v>259</v>
      </c>
      <c r="F5" s="352"/>
      <c r="G5" s="352"/>
      <c r="H5" s="25" t="s">
        <v>261</v>
      </c>
      <c r="I5" s="352"/>
      <c r="J5" s="352"/>
      <c r="K5" s="355"/>
    </row>
    <row r="6" spans="1:11" ht="14.4" customHeight="1" thickBot="1" x14ac:dyDescent="0.35">
      <c r="A6" s="477" t="s">
        <v>268</v>
      </c>
      <c r="B6" s="459">
        <v>24968.0908375607</v>
      </c>
      <c r="C6" s="459">
        <v>27141.603810000001</v>
      </c>
      <c r="D6" s="460">
        <v>2173.51297243925</v>
      </c>
      <c r="E6" s="461">
        <v>1.087051628679</v>
      </c>
      <c r="F6" s="459">
        <v>26869.790850470999</v>
      </c>
      <c r="G6" s="460">
        <v>13434.8954252355</v>
      </c>
      <c r="H6" s="462">
        <v>2311.2943700000001</v>
      </c>
      <c r="I6" s="459">
        <v>12728.68122</v>
      </c>
      <c r="J6" s="460">
        <v>-706.21420523549205</v>
      </c>
      <c r="K6" s="463">
        <v>0.47371716776</v>
      </c>
    </row>
    <row r="7" spans="1:11" ht="14.4" customHeight="1" thickBot="1" x14ac:dyDescent="0.35">
      <c r="A7" s="478" t="s">
        <v>269</v>
      </c>
      <c r="B7" s="459">
        <v>5158.8409267707802</v>
      </c>
      <c r="C7" s="459">
        <v>4877.4066599999996</v>
      </c>
      <c r="D7" s="460">
        <v>-281.43426677078497</v>
      </c>
      <c r="E7" s="461">
        <v>0.94544622120199995</v>
      </c>
      <c r="F7" s="459">
        <v>5128.15196727691</v>
      </c>
      <c r="G7" s="460">
        <v>2564.07598363846</v>
      </c>
      <c r="H7" s="462">
        <v>411.66565000000003</v>
      </c>
      <c r="I7" s="459">
        <v>1833.3245300000001</v>
      </c>
      <c r="J7" s="460">
        <v>-730.75145363845502</v>
      </c>
      <c r="K7" s="463">
        <v>0.35750198935100003</v>
      </c>
    </row>
    <row r="8" spans="1:11" ht="14.4" customHeight="1" thickBot="1" x14ac:dyDescent="0.35">
      <c r="A8" s="479" t="s">
        <v>270</v>
      </c>
      <c r="B8" s="459">
        <v>4991.8085263662797</v>
      </c>
      <c r="C8" s="459">
        <v>4713.2686599999997</v>
      </c>
      <c r="D8" s="460">
        <v>-278.53986636627599</v>
      </c>
      <c r="E8" s="461">
        <v>0.94420061088100005</v>
      </c>
      <c r="F8" s="459">
        <v>4964.5692896201299</v>
      </c>
      <c r="G8" s="460">
        <v>2482.2846448100699</v>
      </c>
      <c r="H8" s="462">
        <v>402.11365000000001</v>
      </c>
      <c r="I8" s="459">
        <v>1748.9955299999999</v>
      </c>
      <c r="J8" s="460">
        <v>-733.28911481006503</v>
      </c>
      <c r="K8" s="463">
        <v>0.35229552212199999</v>
      </c>
    </row>
    <row r="9" spans="1:11" ht="14.4" customHeight="1" thickBot="1" x14ac:dyDescent="0.35">
      <c r="A9" s="480" t="s">
        <v>271</v>
      </c>
      <c r="B9" s="464">
        <v>0</v>
      </c>
      <c r="C9" s="464">
        <v>-1.01E-3</v>
      </c>
      <c r="D9" s="465">
        <v>-1.01E-3</v>
      </c>
      <c r="E9" s="466" t="s">
        <v>266</v>
      </c>
      <c r="F9" s="464">
        <v>0</v>
      </c>
      <c r="G9" s="465">
        <v>0</v>
      </c>
      <c r="H9" s="467">
        <v>-3.8000000000000002E-4</v>
      </c>
      <c r="I9" s="464">
        <v>-1.1199999999999999E-3</v>
      </c>
      <c r="J9" s="465">
        <v>-1.1199999999999999E-3</v>
      </c>
      <c r="K9" s="468" t="s">
        <v>266</v>
      </c>
    </row>
    <row r="10" spans="1:11" ht="14.4" customHeight="1" thickBot="1" x14ac:dyDescent="0.35">
      <c r="A10" s="481" t="s">
        <v>272</v>
      </c>
      <c r="B10" s="459">
        <v>0</v>
      </c>
      <c r="C10" s="459">
        <v>-1.01E-3</v>
      </c>
      <c r="D10" s="460">
        <v>-1.01E-3</v>
      </c>
      <c r="E10" s="469" t="s">
        <v>266</v>
      </c>
      <c r="F10" s="459">
        <v>0</v>
      </c>
      <c r="G10" s="460">
        <v>0</v>
      </c>
      <c r="H10" s="462">
        <v>-3.8000000000000002E-4</v>
      </c>
      <c r="I10" s="459">
        <v>-1.1199999999999999E-3</v>
      </c>
      <c r="J10" s="460">
        <v>-1.1199999999999999E-3</v>
      </c>
      <c r="K10" s="470" t="s">
        <v>266</v>
      </c>
    </row>
    <row r="11" spans="1:11" ht="14.4" customHeight="1" thickBot="1" x14ac:dyDescent="0.35">
      <c r="A11" s="480" t="s">
        <v>273</v>
      </c>
      <c r="B11" s="464">
        <v>50.202600188841998</v>
      </c>
      <c r="C11" s="464">
        <v>32.974739999999997</v>
      </c>
      <c r="D11" s="465">
        <v>-17.227860188842001</v>
      </c>
      <c r="E11" s="471">
        <v>0.65683330895100001</v>
      </c>
      <c r="F11" s="464">
        <v>40</v>
      </c>
      <c r="G11" s="465">
        <v>20</v>
      </c>
      <c r="H11" s="467">
        <v>3.2199300000000002</v>
      </c>
      <c r="I11" s="464">
        <v>16.902719999999999</v>
      </c>
      <c r="J11" s="465">
        <v>-3.0972799999989999</v>
      </c>
      <c r="K11" s="472">
        <v>0.422568</v>
      </c>
    </row>
    <row r="12" spans="1:11" ht="14.4" customHeight="1" thickBot="1" x14ac:dyDescent="0.35">
      <c r="A12" s="481" t="s">
        <v>274</v>
      </c>
      <c r="B12" s="459">
        <v>50</v>
      </c>
      <c r="C12" s="459">
        <v>32.974739999999997</v>
      </c>
      <c r="D12" s="460">
        <v>-17.025259999999999</v>
      </c>
      <c r="E12" s="461">
        <v>0.65949480000000005</v>
      </c>
      <c r="F12" s="459">
        <v>40</v>
      </c>
      <c r="G12" s="460">
        <v>20</v>
      </c>
      <c r="H12" s="462">
        <v>3.2199300000000002</v>
      </c>
      <c r="I12" s="459">
        <v>16.902719999999999</v>
      </c>
      <c r="J12" s="460">
        <v>-3.0972799999989999</v>
      </c>
      <c r="K12" s="463">
        <v>0.422568</v>
      </c>
    </row>
    <row r="13" spans="1:11" ht="14.4" customHeight="1" thickBot="1" x14ac:dyDescent="0.35">
      <c r="A13" s="481" t="s">
        <v>275</v>
      </c>
      <c r="B13" s="459">
        <v>0.20260018884200001</v>
      </c>
      <c r="C13" s="459">
        <v>0</v>
      </c>
      <c r="D13" s="460">
        <v>-0.20260018884200001</v>
      </c>
      <c r="E13" s="461">
        <v>0</v>
      </c>
      <c r="F13" s="459">
        <v>0</v>
      </c>
      <c r="G13" s="460">
        <v>0</v>
      </c>
      <c r="H13" s="462">
        <v>0</v>
      </c>
      <c r="I13" s="459">
        <v>0</v>
      </c>
      <c r="J13" s="460">
        <v>0</v>
      </c>
      <c r="K13" s="463">
        <v>0</v>
      </c>
    </row>
    <row r="14" spans="1:11" ht="14.4" customHeight="1" thickBot="1" x14ac:dyDescent="0.35">
      <c r="A14" s="480" t="s">
        <v>276</v>
      </c>
      <c r="B14" s="464">
        <v>4761.6506508389502</v>
      </c>
      <c r="C14" s="464">
        <v>4545.3414300000004</v>
      </c>
      <c r="D14" s="465">
        <v>-216.309220838952</v>
      </c>
      <c r="E14" s="471">
        <v>0.95457263946799997</v>
      </c>
      <c r="F14" s="464">
        <v>4786.9540187726398</v>
      </c>
      <c r="G14" s="465">
        <v>2393.4770093863199</v>
      </c>
      <c r="H14" s="467">
        <v>382.73924</v>
      </c>
      <c r="I14" s="464">
        <v>1667.8940500000001</v>
      </c>
      <c r="J14" s="465">
        <v>-725.58295938631898</v>
      </c>
      <c r="K14" s="472">
        <v>0.348424915605</v>
      </c>
    </row>
    <row r="15" spans="1:11" ht="14.4" customHeight="1" thickBot="1" x14ac:dyDescent="0.35">
      <c r="A15" s="481" t="s">
        <v>277</v>
      </c>
      <c r="B15" s="459">
        <v>4199.8662205187202</v>
      </c>
      <c r="C15" s="459">
        <v>4019.9522099999999</v>
      </c>
      <c r="D15" s="460">
        <v>-179.91401051872</v>
      </c>
      <c r="E15" s="461">
        <v>0.95716196633999995</v>
      </c>
      <c r="F15" s="459">
        <v>4200</v>
      </c>
      <c r="G15" s="460">
        <v>2100</v>
      </c>
      <c r="H15" s="462">
        <v>369.96364999999997</v>
      </c>
      <c r="I15" s="459">
        <v>1548.86285</v>
      </c>
      <c r="J15" s="460">
        <v>-551.13714999999797</v>
      </c>
      <c r="K15" s="463">
        <v>0.36877686904700002</v>
      </c>
    </row>
    <row r="16" spans="1:11" ht="14.4" customHeight="1" thickBot="1" x14ac:dyDescent="0.35">
      <c r="A16" s="481" t="s">
        <v>278</v>
      </c>
      <c r="B16" s="459">
        <v>349.623541009836</v>
      </c>
      <c r="C16" s="459">
        <v>296.54930000000002</v>
      </c>
      <c r="D16" s="460">
        <v>-53.074241009836001</v>
      </c>
      <c r="E16" s="461">
        <v>0.84819603148900002</v>
      </c>
      <c r="F16" s="459">
        <v>350</v>
      </c>
      <c r="G16" s="460">
        <v>175</v>
      </c>
      <c r="H16" s="462">
        <v>6.1022699999999999</v>
      </c>
      <c r="I16" s="459">
        <v>82.937290000000004</v>
      </c>
      <c r="J16" s="460">
        <v>-92.062709999999001</v>
      </c>
      <c r="K16" s="463">
        <v>0.23696368571400001</v>
      </c>
    </row>
    <row r="17" spans="1:11" ht="14.4" customHeight="1" thickBot="1" x14ac:dyDescent="0.35">
      <c r="A17" s="481" t="s">
        <v>279</v>
      </c>
      <c r="B17" s="459">
        <v>20</v>
      </c>
      <c r="C17" s="459">
        <v>12.898490000000001</v>
      </c>
      <c r="D17" s="460">
        <v>-7.1015100000000002</v>
      </c>
      <c r="E17" s="461">
        <v>0.64492450000000001</v>
      </c>
      <c r="F17" s="459">
        <v>20</v>
      </c>
      <c r="G17" s="460">
        <v>10</v>
      </c>
      <c r="H17" s="462">
        <v>0.48653000000000002</v>
      </c>
      <c r="I17" s="459">
        <v>2.9082400000000002</v>
      </c>
      <c r="J17" s="460">
        <v>-7.0917599999999998</v>
      </c>
      <c r="K17" s="463">
        <v>0.14541200000000001</v>
      </c>
    </row>
    <row r="18" spans="1:11" ht="14.4" customHeight="1" thickBot="1" x14ac:dyDescent="0.35">
      <c r="A18" s="481" t="s">
        <v>280</v>
      </c>
      <c r="B18" s="459">
        <v>170</v>
      </c>
      <c r="C18" s="459">
        <v>194.93993</v>
      </c>
      <c r="D18" s="460">
        <v>24.939929999998999</v>
      </c>
      <c r="E18" s="461">
        <v>1.146705470588</v>
      </c>
      <c r="F18" s="459">
        <v>191.13127082925601</v>
      </c>
      <c r="G18" s="460">
        <v>95.565635414628005</v>
      </c>
      <c r="H18" s="462">
        <v>5.4220699999999997</v>
      </c>
      <c r="I18" s="459">
        <v>22.516950000000001</v>
      </c>
      <c r="J18" s="460">
        <v>-73.048685414627997</v>
      </c>
      <c r="K18" s="463">
        <v>0.11780882271199999</v>
      </c>
    </row>
    <row r="19" spans="1:11" ht="14.4" customHeight="1" thickBot="1" x14ac:dyDescent="0.35">
      <c r="A19" s="481" t="s">
        <v>281</v>
      </c>
      <c r="B19" s="459">
        <v>0.16088931039500001</v>
      </c>
      <c r="C19" s="459">
        <v>0</v>
      </c>
      <c r="D19" s="460">
        <v>-0.16088931039500001</v>
      </c>
      <c r="E19" s="461">
        <v>0</v>
      </c>
      <c r="F19" s="459">
        <v>0</v>
      </c>
      <c r="G19" s="460">
        <v>0</v>
      </c>
      <c r="H19" s="462">
        <v>0</v>
      </c>
      <c r="I19" s="459">
        <v>0</v>
      </c>
      <c r="J19" s="460">
        <v>0</v>
      </c>
      <c r="K19" s="463">
        <v>0</v>
      </c>
    </row>
    <row r="20" spans="1:11" ht="14.4" customHeight="1" thickBot="1" x14ac:dyDescent="0.35">
      <c r="A20" s="481" t="s">
        <v>282</v>
      </c>
      <c r="B20" s="459">
        <v>6</v>
      </c>
      <c r="C20" s="459">
        <v>3.496</v>
      </c>
      <c r="D20" s="460">
        <v>-2.504</v>
      </c>
      <c r="E20" s="461">
        <v>0.58266666666599998</v>
      </c>
      <c r="F20" s="459">
        <v>6</v>
      </c>
      <c r="G20" s="460">
        <v>3</v>
      </c>
      <c r="H20" s="462">
        <v>0.24099999999999999</v>
      </c>
      <c r="I20" s="459">
        <v>1.4119999999999999</v>
      </c>
      <c r="J20" s="460">
        <v>-1.5880000000000001</v>
      </c>
      <c r="K20" s="463">
        <v>0.23533333333299999</v>
      </c>
    </row>
    <row r="21" spans="1:11" ht="14.4" customHeight="1" thickBot="1" x14ac:dyDescent="0.35">
      <c r="A21" s="481" t="s">
        <v>283</v>
      </c>
      <c r="B21" s="459">
        <v>16</v>
      </c>
      <c r="C21" s="459">
        <v>17.505500000000001</v>
      </c>
      <c r="D21" s="460">
        <v>1.505499999999</v>
      </c>
      <c r="E21" s="461">
        <v>1.0940937500000001</v>
      </c>
      <c r="F21" s="459">
        <v>19.822747943385</v>
      </c>
      <c r="G21" s="460">
        <v>9.9113739716920009</v>
      </c>
      <c r="H21" s="462">
        <v>0.52371999999999996</v>
      </c>
      <c r="I21" s="459">
        <v>9.2567199999999996</v>
      </c>
      <c r="J21" s="460">
        <v>-0.65465397169200001</v>
      </c>
      <c r="K21" s="463">
        <v>0.46697461050400002</v>
      </c>
    </row>
    <row r="22" spans="1:11" ht="14.4" customHeight="1" thickBot="1" x14ac:dyDescent="0.35">
      <c r="A22" s="480" t="s">
        <v>284</v>
      </c>
      <c r="B22" s="464">
        <v>118.50567054448</v>
      </c>
      <c r="C22" s="464">
        <v>114.35916</v>
      </c>
      <c r="D22" s="465">
        <v>-4.1465105444799999</v>
      </c>
      <c r="E22" s="471">
        <v>0.96501002420000004</v>
      </c>
      <c r="F22" s="464">
        <v>115.62484221605899</v>
      </c>
      <c r="G22" s="465">
        <v>57.812421108029</v>
      </c>
      <c r="H22" s="467">
        <v>14.01845</v>
      </c>
      <c r="I22" s="464">
        <v>56.039639999999999</v>
      </c>
      <c r="J22" s="465">
        <v>-1.7727811080289999</v>
      </c>
      <c r="K22" s="472">
        <v>0.48466781814299997</v>
      </c>
    </row>
    <row r="23" spans="1:11" ht="14.4" customHeight="1" thickBot="1" x14ac:dyDescent="0.35">
      <c r="A23" s="481" t="s">
        <v>285</v>
      </c>
      <c r="B23" s="459">
        <v>0</v>
      </c>
      <c r="C23" s="459">
        <v>4.3014999999999999</v>
      </c>
      <c r="D23" s="460">
        <v>4.3014999999999999</v>
      </c>
      <c r="E23" s="469" t="s">
        <v>266</v>
      </c>
      <c r="F23" s="459">
        <v>0</v>
      </c>
      <c r="G23" s="460">
        <v>0</v>
      </c>
      <c r="H23" s="462">
        <v>5.9999999998999999E-2</v>
      </c>
      <c r="I23" s="459">
        <v>5.9999999998999999E-2</v>
      </c>
      <c r="J23" s="460">
        <v>5.9999999998999999E-2</v>
      </c>
      <c r="K23" s="470" t="s">
        <v>266</v>
      </c>
    </row>
    <row r="24" spans="1:11" ht="14.4" customHeight="1" thickBot="1" x14ac:dyDescent="0.35">
      <c r="A24" s="481" t="s">
        <v>286</v>
      </c>
      <c r="B24" s="459">
        <v>5</v>
      </c>
      <c r="C24" s="459">
        <v>4.9196099999999996</v>
      </c>
      <c r="D24" s="460">
        <v>-8.0389999998999997E-2</v>
      </c>
      <c r="E24" s="461">
        <v>0.98392199999999996</v>
      </c>
      <c r="F24" s="459">
        <v>6.919713588714</v>
      </c>
      <c r="G24" s="460">
        <v>3.459856794357</v>
      </c>
      <c r="H24" s="462">
        <v>0.50787000000000004</v>
      </c>
      <c r="I24" s="459">
        <v>2.0070299999999999</v>
      </c>
      <c r="J24" s="460">
        <v>-1.4528267943569999</v>
      </c>
      <c r="K24" s="463">
        <v>0.29004524165099999</v>
      </c>
    </row>
    <row r="25" spans="1:11" ht="14.4" customHeight="1" thickBot="1" x14ac:dyDescent="0.35">
      <c r="A25" s="481" t="s">
        <v>287</v>
      </c>
      <c r="B25" s="459">
        <v>14.349554122374</v>
      </c>
      <c r="C25" s="459">
        <v>6.94848</v>
      </c>
      <c r="D25" s="460">
        <v>-7.4010741223740002</v>
      </c>
      <c r="E25" s="461">
        <v>0.484229679942</v>
      </c>
      <c r="F25" s="459">
        <v>8.6161114615120002</v>
      </c>
      <c r="G25" s="460">
        <v>4.3080557307560001</v>
      </c>
      <c r="H25" s="462">
        <v>3.44808</v>
      </c>
      <c r="I25" s="459">
        <v>7.8732499999999996</v>
      </c>
      <c r="J25" s="460">
        <v>3.5651942692429999</v>
      </c>
      <c r="K25" s="463">
        <v>0.91378228278100004</v>
      </c>
    </row>
    <row r="26" spans="1:11" ht="14.4" customHeight="1" thickBot="1" x14ac:dyDescent="0.35">
      <c r="A26" s="481" t="s">
        <v>288</v>
      </c>
      <c r="B26" s="459">
        <v>25</v>
      </c>
      <c r="C26" s="459">
        <v>31.0059</v>
      </c>
      <c r="D26" s="460">
        <v>6.0058999999999996</v>
      </c>
      <c r="E26" s="461">
        <v>1.2402359999999999</v>
      </c>
      <c r="F26" s="459">
        <v>33.137804132874003</v>
      </c>
      <c r="G26" s="460">
        <v>16.568902066437001</v>
      </c>
      <c r="H26" s="462">
        <v>3.5090699999999999</v>
      </c>
      <c r="I26" s="459">
        <v>15.99011</v>
      </c>
      <c r="J26" s="460">
        <v>-0.57879206643699999</v>
      </c>
      <c r="K26" s="463">
        <v>0.48253378334500002</v>
      </c>
    </row>
    <row r="27" spans="1:11" ht="14.4" customHeight="1" thickBot="1" x14ac:dyDescent="0.35">
      <c r="A27" s="481" t="s">
        <v>289</v>
      </c>
      <c r="B27" s="459">
        <v>3.9667456394260001</v>
      </c>
      <c r="C27" s="459">
        <v>3.9548800000000002</v>
      </c>
      <c r="D27" s="460">
        <v>-1.1865639426E-2</v>
      </c>
      <c r="E27" s="461">
        <v>0.99700872188300005</v>
      </c>
      <c r="F27" s="459">
        <v>3.5074837825829999</v>
      </c>
      <c r="G27" s="460">
        <v>1.7537418912910001</v>
      </c>
      <c r="H27" s="462">
        <v>0.24399999999999999</v>
      </c>
      <c r="I27" s="459">
        <v>0.24399999999999999</v>
      </c>
      <c r="J27" s="460">
        <v>-1.5097418912909999</v>
      </c>
      <c r="K27" s="463">
        <v>6.9565539036999996E-2</v>
      </c>
    </row>
    <row r="28" spans="1:11" ht="14.4" customHeight="1" thickBot="1" x14ac:dyDescent="0.35">
      <c r="A28" s="481" t="s">
        <v>290</v>
      </c>
      <c r="B28" s="459">
        <v>0</v>
      </c>
      <c r="C28" s="459">
        <v>0.65336000000000005</v>
      </c>
      <c r="D28" s="460">
        <v>0.65336000000000005</v>
      </c>
      <c r="E28" s="469" t="s">
        <v>291</v>
      </c>
      <c r="F28" s="459">
        <v>0</v>
      </c>
      <c r="G28" s="460">
        <v>0</v>
      </c>
      <c r="H28" s="462">
        <v>0</v>
      </c>
      <c r="I28" s="459">
        <v>0.28026000000000001</v>
      </c>
      <c r="J28" s="460">
        <v>0.28026000000000001</v>
      </c>
      <c r="K28" s="470" t="s">
        <v>266</v>
      </c>
    </row>
    <row r="29" spans="1:11" ht="14.4" customHeight="1" thickBot="1" x14ac:dyDescent="0.35">
      <c r="A29" s="481" t="s">
        <v>292</v>
      </c>
      <c r="B29" s="459">
        <v>4</v>
      </c>
      <c r="C29" s="459">
        <v>2.8981699999999999</v>
      </c>
      <c r="D29" s="460">
        <v>-1.1018300000000001</v>
      </c>
      <c r="E29" s="461">
        <v>0.72454249999999998</v>
      </c>
      <c r="F29" s="459">
        <v>5</v>
      </c>
      <c r="G29" s="460">
        <v>2.5</v>
      </c>
      <c r="H29" s="462">
        <v>0</v>
      </c>
      <c r="I29" s="459">
        <v>0.87200999999999995</v>
      </c>
      <c r="J29" s="460">
        <v>-1.62799</v>
      </c>
      <c r="K29" s="463">
        <v>0.174402</v>
      </c>
    </row>
    <row r="30" spans="1:11" ht="14.4" customHeight="1" thickBot="1" x14ac:dyDescent="0.35">
      <c r="A30" s="481" t="s">
        <v>293</v>
      </c>
      <c r="B30" s="459">
        <v>21.189370782678999</v>
      </c>
      <c r="C30" s="459">
        <v>24.299939999999999</v>
      </c>
      <c r="D30" s="460">
        <v>3.1105692173200001</v>
      </c>
      <c r="E30" s="461">
        <v>1.146798564677</v>
      </c>
      <c r="F30" s="459">
        <v>24.879762528446999</v>
      </c>
      <c r="G30" s="460">
        <v>12.439881264223001</v>
      </c>
      <c r="H30" s="462">
        <v>4.3213200000000001</v>
      </c>
      <c r="I30" s="459">
        <v>16.485130000000002</v>
      </c>
      <c r="J30" s="460">
        <v>4.0452487357760001</v>
      </c>
      <c r="K30" s="463">
        <v>0.66259193515799997</v>
      </c>
    </row>
    <row r="31" spans="1:11" ht="14.4" customHeight="1" thickBot="1" x14ac:dyDescent="0.35">
      <c r="A31" s="481" t="s">
        <v>294</v>
      </c>
      <c r="B31" s="459">
        <v>0</v>
      </c>
      <c r="C31" s="459">
        <v>1.5318499999999999</v>
      </c>
      <c r="D31" s="460">
        <v>1.5318499999999999</v>
      </c>
      <c r="E31" s="469" t="s">
        <v>291</v>
      </c>
      <c r="F31" s="459">
        <v>0</v>
      </c>
      <c r="G31" s="460">
        <v>0</v>
      </c>
      <c r="H31" s="462">
        <v>0</v>
      </c>
      <c r="I31" s="459">
        <v>0</v>
      </c>
      <c r="J31" s="460">
        <v>0</v>
      </c>
      <c r="K31" s="470" t="s">
        <v>266</v>
      </c>
    </row>
    <row r="32" spans="1:11" ht="14.4" customHeight="1" thickBot="1" x14ac:dyDescent="0.35">
      <c r="A32" s="481" t="s">
        <v>295</v>
      </c>
      <c r="B32" s="459">
        <v>30</v>
      </c>
      <c r="C32" s="459">
        <v>25.35127</v>
      </c>
      <c r="D32" s="460">
        <v>-4.6487299999999996</v>
      </c>
      <c r="E32" s="461">
        <v>0.84504233333300005</v>
      </c>
      <c r="F32" s="459">
        <v>25</v>
      </c>
      <c r="G32" s="460">
        <v>12.5</v>
      </c>
      <c r="H32" s="462">
        <v>1.92811</v>
      </c>
      <c r="I32" s="459">
        <v>9.3964499999999997</v>
      </c>
      <c r="J32" s="460">
        <v>-3.1035499999990002</v>
      </c>
      <c r="K32" s="463">
        <v>0.37585800000000003</v>
      </c>
    </row>
    <row r="33" spans="1:11" ht="14.4" customHeight="1" thickBot="1" x14ac:dyDescent="0.35">
      <c r="A33" s="481" t="s">
        <v>296</v>
      </c>
      <c r="B33" s="459">
        <v>15</v>
      </c>
      <c r="C33" s="459">
        <v>8.4941999999999993</v>
      </c>
      <c r="D33" s="460">
        <v>-6.5057999999999998</v>
      </c>
      <c r="E33" s="461">
        <v>0.56627999999900003</v>
      </c>
      <c r="F33" s="459">
        <v>8.5639667219270006</v>
      </c>
      <c r="G33" s="460">
        <v>4.2819833609630003</v>
      </c>
      <c r="H33" s="462">
        <v>0</v>
      </c>
      <c r="I33" s="459">
        <v>2.8313999999999999</v>
      </c>
      <c r="J33" s="460">
        <v>-1.4505833609629999</v>
      </c>
      <c r="K33" s="463">
        <v>0.33061781904699999</v>
      </c>
    </row>
    <row r="34" spans="1:11" ht="14.4" customHeight="1" thickBot="1" x14ac:dyDescent="0.35">
      <c r="A34" s="480" t="s">
        <v>297</v>
      </c>
      <c r="B34" s="464">
        <v>44.449604794001999</v>
      </c>
      <c r="C34" s="464">
        <v>10.06193</v>
      </c>
      <c r="D34" s="465">
        <v>-34.387674794002002</v>
      </c>
      <c r="E34" s="471">
        <v>0.22636714199399999</v>
      </c>
      <c r="F34" s="464">
        <v>9.8997786460100006</v>
      </c>
      <c r="G34" s="465">
        <v>4.9498893230050003</v>
      </c>
      <c r="H34" s="467">
        <v>0.82499999999999996</v>
      </c>
      <c r="I34" s="464">
        <v>2.6801499999999998</v>
      </c>
      <c r="J34" s="465">
        <v>-2.269739323005</v>
      </c>
      <c r="K34" s="472">
        <v>0.27072827543200001</v>
      </c>
    </row>
    <row r="35" spans="1:11" ht="14.4" customHeight="1" thickBot="1" x14ac:dyDescent="0.35">
      <c r="A35" s="481" t="s">
        <v>298</v>
      </c>
      <c r="B35" s="459">
        <v>6.3488781153789997</v>
      </c>
      <c r="C35" s="459">
        <v>7.3446999999999996</v>
      </c>
      <c r="D35" s="460">
        <v>0.99582188461999999</v>
      </c>
      <c r="E35" s="461">
        <v>1.1568500554779999</v>
      </c>
      <c r="F35" s="459">
        <v>7.3772011677069997</v>
      </c>
      <c r="G35" s="460">
        <v>3.6886005838529998</v>
      </c>
      <c r="H35" s="462">
        <v>0</v>
      </c>
      <c r="I35" s="459">
        <v>0</v>
      </c>
      <c r="J35" s="460">
        <v>-3.6886005838529998</v>
      </c>
      <c r="K35" s="463">
        <v>0</v>
      </c>
    </row>
    <row r="36" spans="1:11" ht="14.4" customHeight="1" thickBot="1" x14ac:dyDescent="0.35">
      <c r="A36" s="481" t="s">
        <v>299</v>
      </c>
      <c r="B36" s="459">
        <v>34.482620857838</v>
      </c>
      <c r="C36" s="459">
        <v>0</v>
      </c>
      <c r="D36" s="460">
        <v>-34.482620857838</v>
      </c>
      <c r="E36" s="461">
        <v>0</v>
      </c>
      <c r="F36" s="459">
        <v>0</v>
      </c>
      <c r="G36" s="460">
        <v>0</v>
      </c>
      <c r="H36" s="462">
        <v>0</v>
      </c>
      <c r="I36" s="459">
        <v>0</v>
      </c>
      <c r="J36" s="460">
        <v>0</v>
      </c>
      <c r="K36" s="463">
        <v>0</v>
      </c>
    </row>
    <row r="37" spans="1:11" ht="14.4" customHeight="1" thickBot="1" x14ac:dyDescent="0.35">
      <c r="A37" s="481" t="s">
        <v>300</v>
      </c>
      <c r="B37" s="459">
        <v>3.6181058207839998</v>
      </c>
      <c r="C37" s="459">
        <v>2.7172299999999998</v>
      </c>
      <c r="D37" s="460">
        <v>-0.90087582078399997</v>
      </c>
      <c r="E37" s="461">
        <v>0.75100899050199998</v>
      </c>
      <c r="F37" s="459">
        <v>2.5225774783029999</v>
      </c>
      <c r="G37" s="460">
        <v>1.2612887391509999</v>
      </c>
      <c r="H37" s="462">
        <v>0.82499999999999996</v>
      </c>
      <c r="I37" s="459">
        <v>2.6801499999999998</v>
      </c>
      <c r="J37" s="460">
        <v>1.418861260848</v>
      </c>
      <c r="K37" s="463">
        <v>1.062464888809</v>
      </c>
    </row>
    <row r="38" spans="1:11" ht="14.4" customHeight="1" thickBot="1" x14ac:dyDescent="0.35">
      <c r="A38" s="480" t="s">
        <v>301</v>
      </c>
      <c r="B38" s="464">
        <v>17</v>
      </c>
      <c r="C38" s="464">
        <v>10.53241</v>
      </c>
      <c r="D38" s="465">
        <v>-6.4675900000000004</v>
      </c>
      <c r="E38" s="471">
        <v>0.61955352941099995</v>
      </c>
      <c r="F38" s="464">
        <v>12.090649985422999</v>
      </c>
      <c r="G38" s="465">
        <v>6.0453249927110004</v>
      </c>
      <c r="H38" s="467">
        <v>1.31141</v>
      </c>
      <c r="I38" s="464">
        <v>5.4800899999999997</v>
      </c>
      <c r="J38" s="465">
        <v>-0.56523499271099997</v>
      </c>
      <c r="K38" s="472">
        <v>0.45325023936699999</v>
      </c>
    </row>
    <row r="39" spans="1:11" ht="14.4" customHeight="1" thickBot="1" x14ac:dyDescent="0.35">
      <c r="A39" s="481" t="s">
        <v>302</v>
      </c>
      <c r="B39" s="459">
        <v>13</v>
      </c>
      <c r="C39" s="459">
        <v>7.2332900000000002</v>
      </c>
      <c r="D39" s="460">
        <v>-5.7667099999999998</v>
      </c>
      <c r="E39" s="461">
        <v>0.55640692307600004</v>
      </c>
      <c r="F39" s="459">
        <v>8.0906499854229992</v>
      </c>
      <c r="G39" s="460">
        <v>4.0453249927110004</v>
      </c>
      <c r="H39" s="462">
        <v>1.0672299999999999</v>
      </c>
      <c r="I39" s="459">
        <v>3.62033</v>
      </c>
      <c r="J39" s="460">
        <v>-0.424994992711</v>
      </c>
      <c r="K39" s="463">
        <v>0.447470846782</v>
      </c>
    </row>
    <row r="40" spans="1:11" ht="14.4" customHeight="1" thickBot="1" x14ac:dyDescent="0.35">
      <c r="A40" s="481" t="s">
        <v>303</v>
      </c>
      <c r="B40" s="459">
        <v>1</v>
      </c>
      <c r="C40" s="459">
        <v>0.38419999999999999</v>
      </c>
      <c r="D40" s="460">
        <v>-0.61580000000000001</v>
      </c>
      <c r="E40" s="461">
        <v>0.38419999999999999</v>
      </c>
      <c r="F40" s="459">
        <v>1</v>
      </c>
      <c r="G40" s="460">
        <v>0.5</v>
      </c>
      <c r="H40" s="462">
        <v>0</v>
      </c>
      <c r="I40" s="459">
        <v>0.38419999999999999</v>
      </c>
      <c r="J40" s="460">
        <v>-0.1158</v>
      </c>
      <c r="K40" s="463">
        <v>0.38419999999999999</v>
      </c>
    </row>
    <row r="41" spans="1:11" ht="14.4" customHeight="1" thickBot="1" x14ac:dyDescent="0.35">
      <c r="A41" s="481" t="s">
        <v>304</v>
      </c>
      <c r="B41" s="459">
        <v>3</v>
      </c>
      <c r="C41" s="459">
        <v>2.91492</v>
      </c>
      <c r="D41" s="460">
        <v>-8.5080000000000003E-2</v>
      </c>
      <c r="E41" s="461">
        <v>0.97163999999999995</v>
      </c>
      <c r="F41" s="459">
        <v>3</v>
      </c>
      <c r="G41" s="460">
        <v>1.5</v>
      </c>
      <c r="H41" s="462">
        <v>0.24418000000000001</v>
      </c>
      <c r="I41" s="459">
        <v>1.47556</v>
      </c>
      <c r="J41" s="460">
        <v>-2.4439999999000001E-2</v>
      </c>
      <c r="K41" s="463">
        <v>0.49185333333300002</v>
      </c>
    </row>
    <row r="42" spans="1:11" ht="14.4" customHeight="1" thickBot="1" x14ac:dyDescent="0.35">
      <c r="A42" s="479" t="s">
        <v>42</v>
      </c>
      <c r="B42" s="459">
        <v>167.032400404507</v>
      </c>
      <c r="C42" s="459">
        <v>164.13800000000001</v>
      </c>
      <c r="D42" s="460">
        <v>-2.8944004045059999</v>
      </c>
      <c r="E42" s="461">
        <v>0.98267162300499999</v>
      </c>
      <c r="F42" s="459">
        <v>163.58267765678099</v>
      </c>
      <c r="G42" s="460">
        <v>81.791338828389996</v>
      </c>
      <c r="H42" s="462">
        <v>9.5519999999999996</v>
      </c>
      <c r="I42" s="459">
        <v>84.328999999999994</v>
      </c>
      <c r="J42" s="460">
        <v>2.5376611716089998</v>
      </c>
      <c r="K42" s="463">
        <v>0.51551301890800005</v>
      </c>
    </row>
    <row r="43" spans="1:11" ht="14.4" customHeight="1" thickBot="1" x14ac:dyDescent="0.35">
      <c r="A43" s="480" t="s">
        <v>305</v>
      </c>
      <c r="B43" s="464">
        <v>167.032400404507</v>
      </c>
      <c r="C43" s="464">
        <v>164.13800000000001</v>
      </c>
      <c r="D43" s="465">
        <v>-2.8944004045059999</v>
      </c>
      <c r="E43" s="471">
        <v>0.98267162300499999</v>
      </c>
      <c r="F43" s="464">
        <v>163.58267765678099</v>
      </c>
      <c r="G43" s="465">
        <v>81.791338828389996</v>
      </c>
      <c r="H43" s="467">
        <v>9.5519999999999996</v>
      </c>
      <c r="I43" s="464">
        <v>84.328999999999994</v>
      </c>
      <c r="J43" s="465">
        <v>2.5376611716089998</v>
      </c>
      <c r="K43" s="472">
        <v>0.51551301890800005</v>
      </c>
    </row>
    <row r="44" spans="1:11" ht="14.4" customHeight="1" thickBot="1" x14ac:dyDescent="0.35">
      <c r="A44" s="481" t="s">
        <v>306</v>
      </c>
      <c r="B44" s="459">
        <v>55.999999999998998</v>
      </c>
      <c r="C44" s="459">
        <v>57.244</v>
      </c>
      <c r="D44" s="460">
        <v>1.244</v>
      </c>
      <c r="E44" s="461">
        <v>1.022214285714</v>
      </c>
      <c r="F44" s="459">
        <v>56.590948534797</v>
      </c>
      <c r="G44" s="460">
        <v>28.295474267397999</v>
      </c>
      <c r="H44" s="462">
        <v>5.1239999999999997</v>
      </c>
      <c r="I44" s="459">
        <v>28.32</v>
      </c>
      <c r="J44" s="460">
        <v>2.4525732601000001E-2</v>
      </c>
      <c r="K44" s="463">
        <v>0.50043338613699995</v>
      </c>
    </row>
    <row r="45" spans="1:11" ht="14.4" customHeight="1" thickBot="1" x14ac:dyDescent="0.35">
      <c r="A45" s="481" t="s">
        <v>307</v>
      </c>
      <c r="B45" s="459">
        <v>27.032400404507001</v>
      </c>
      <c r="C45" s="459">
        <v>24.547999999999998</v>
      </c>
      <c r="D45" s="460">
        <v>-2.4844004045069998</v>
      </c>
      <c r="E45" s="461">
        <v>0.90809545703100003</v>
      </c>
      <c r="F45" s="459">
        <v>26.103329548232999</v>
      </c>
      <c r="G45" s="460">
        <v>13.051664774116</v>
      </c>
      <c r="H45" s="462">
        <v>1.6579999999999999</v>
      </c>
      <c r="I45" s="459">
        <v>13.478</v>
      </c>
      <c r="J45" s="460">
        <v>0.42633522588299999</v>
      </c>
      <c r="K45" s="463">
        <v>0.51633259945200005</v>
      </c>
    </row>
    <row r="46" spans="1:11" ht="14.4" customHeight="1" thickBot="1" x14ac:dyDescent="0.35">
      <c r="A46" s="481" t="s">
        <v>308</v>
      </c>
      <c r="B46" s="459">
        <v>83.999999999999005</v>
      </c>
      <c r="C46" s="459">
        <v>82.346000000000004</v>
      </c>
      <c r="D46" s="460">
        <v>-1.653999999999</v>
      </c>
      <c r="E46" s="461">
        <v>0.98030952380900005</v>
      </c>
      <c r="F46" s="459">
        <v>80.888399573749993</v>
      </c>
      <c r="G46" s="460">
        <v>40.444199786874997</v>
      </c>
      <c r="H46" s="462">
        <v>2.77</v>
      </c>
      <c r="I46" s="459">
        <v>42.530999999999999</v>
      </c>
      <c r="J46" s="460">
        <v>2.086800213124</v>
      </c>
      <c r="K46" s="463">
        <v>0.52579851034400005</v>
      </c>
    </row>
    <row r="47" spans="1:11" ht="14.4" customHeight="1" thickBot="1" x14ac:dyDescent="0.35">
      <c r="A47" s="482" t="s">
        <v>309</v>
      </c>
      <c r="B47" s="464">
        <v>1490.24991078996</v>
      </c>
      <c r="C47" s="464">
        <v>1526.1762699999999</v>
      </c>
      <c r="D47" s="465">
        <v>35.926359210039998</v>
      </c>
      <c r="E47" s="471">
        <v>1.0241076070190001</v>
      </c>
      <c r="F47" s="464">
        <v>1568.3223746640699</v>
      </c>
      <c r="G47" s="465">
        <v>784.16118733203302</v>
      </c>
      <c r="H47" s="467">
        <v>146.79093</v>
      </c>
      <c r="I47" s="464">
        <v>770.10415000000205</v>
      </c>
      <c r="J47" s="465">
        <v>-14.057037332030999</v>
      </c>
      <c r="K47" s="472">
        <v>0.49103689550099999</v>
      </c>
    </row>
    <row r="48" spans="1:11" ht="14.4" customHeight="1" thickBot="1" x14ac:dyDescent="0.35">
      <c r="A48" s="479" t="s">
        <v>45</v>
      </c>
      <c r="B48" s="459">
        <v>405.94661257208202</v>
      </c>
      <c r="C48" s="459">
        <v>375.92858999999999</v>
      </c>
      <c r="D48" s="460">
        <v>-30.018022572081001</v>
      </c>
      <c r="E48" s="461">
        <v>0.92605426023399995</v>
      </c>
      <c r="F48" s="459">
        <v>318.971382100109</v>
      </c>
      <c r="G48" s="460">
        <v>159.48569105005399</v>
      </c>
      <c r="H48" s="462">
        <v>40.456510000000002</v>
      </c>
      <c r="I48" s="459">
        <v>358.19401000000101</v>
      </c>
      <c r="J48" s="460">
        <v>198.708318949947</v>
      </c>
      <c r="K48" s="463">
        <v>1.1229659778300001</v>
      </c>
    </row>
    <row r="49" spans="1:11" ht="14.4" customHeight="1" thickBot="1" x14ac:dyDescent="0.35">
      <c r="A49" s="483" t="s">
        <v>310</v>
      </c>
      <c r="B49" s="459">
        <v>405.94661257208202</v>
      </c>
      <c r="C49" s="459">
        <v>375.92858999999999</v>
      </c>
      <c r="D49" s="460">
        <v>-30.018022572081001</v>
      </c>
      <c r="E49" s="461">
        <v>0.92605426023399995</v>
      </c>
      <c r="F49" s="459">
        <v>318.971382100109</v>
      </c>
      <c r="G49" s="460">
        <v>159.48569105005399</v>
      </c>
      <c r="H49" s="462">
        <v>40.456510000000002</v>
      </c>
      <c r="I49" s="459">
        <v>358.19401000000101</v>
      </c>
      <c r="J49" s="460">
        <v>198.708318949947</v>
      </c>
      <c r="K49" s="463">
        <v>1.1229659778300001</v>
      </c>
    </row>
    <row r="50" spans="1:11" ht="14.4" customHeight="1" thickBot="1" x14ac:dyDescent="0.35">
      <c r="A50" s="481" t="s">
        <v>311</v>
      </c>
      <c r="B50" s="459">
        <v>304.56326156191699</v>
      </c>
      <c r="C50" s="459">
        <v>234.97575000000001</v>
      </c>
      <c r="D50" s="460">
        <v>-69.587511561916003</v>
      </c>
      <c r="E50" s="461">
        <v>0.77151705295899997</v>
      </c>
      <c r="F50" s="459">
        <v>192.51354985390299</v>
      </c>
      <c r="G50" s="460">
        <v>96.256774926950996</v>
      </c>
      <c r="H50" s="462">
        <v>2.548</v>
      </c>
      <c r="I50" s="459">
        <v>301.47608000000099</v>
      </c>
      <c r="J50" s="460">
        <v>205.21930507305001</v>
      </c>
      <c r="K50" s="463">
        <v>1.5659992776030001</v>
      </c>
    </row>
    <row r="51" spans="1:11" ht="14.4" customHeight="1" thickBot="1" x14ac:dyDescent="0.35">
      <c r="A51" s="481" t="s">
        <v>312</v>
      </c>
      <c r="B51" s="459">
        <v>1.383351010165</v>
      </c>
      <c r="C51" s="459">
        <v>52.872199999999999</v>
      </c>
      <c r="D51" s="460">
        <v>51.488848989833997</v>
      </c>
      <c r="E51" s="461">
        <v>38.220379073331003</v>
      </c>
      <c r="F51" s="459">
        <v>43.77582921914</v>
      </c>
      <c r="G51" s="460">
        <v>21.88791460957</v>
      </c>
      <c r="H51" s="462">
        <v>0</v>
      </c>
      <c r="I51" s="459">
        <v>3.2669999999999999</v>
      </c>
      <c r="J51" s="460">
        <v>-18.620914609570001</v>
      </c>
      <c r="K51" s="463">
        <v>7.4630225361000002E-2</v>
      </c>
    </row>
    <row r="52" spans="1:11" ht="14.4" customHeight="1" thickBot="1" x14ac:dyDescent="0.35">
      <c r="A52" s="481" t="s">
        <v>313</v>
      </c>
      <c r="B52" s="459">
        <v>49.999999999998998</v>
      </c>
      <c r="C52" s="459">
        <v>43.25562</v>
      </c>
      <c r="D52" s="460">
        <v>-6.7443799999990004</v>
      </c>
      <c r="E52" s="461">
        <v>0.8651124</v>
      </c>
      <c r="F52" s="459">
        <v>40.581173918231997</v>
      </c>
      <c r="G52" s="460">
        <v>20.290586959115998</v>
      </c>
      <c r="H52" s="462">
        <v>37.90851</v>
      </c>
      <c r="I52" s="459">
        <v>40.147309999999997</v>
      </c>
      <c r="J52" s="460">
        <v>19.856723040883001</v>
      </c>
      <c r="K52" s="463">
        <v>0.98930873909299999</v>
      </c>
    </row>
    <row r="53" spans="1:11" ht="14.4" customHeight="1" thickBot="1" x14ac:dyDescent="0.35">
      <c r="A53" s="481" t="s">
        <v>314</v>
      </c>
      <c r="B53" s="459">
        <v>49.999999999998998</v>
      </c>
      <c r="C53" s="459">
        <v>44.825020000000002</v>
      </c>
      <c r="D53" s="460">
        <v>-5.1749799999989996</v>
      </c>
      <c r="E53" s="461">
        <v>0.89650039999999998</v>
      </c>
      <c r="F53" s="459">
        <v>42.100829108832002</v>
      </c>
      <c r="G53" s="460">
        <v>21.050414554416001</v>
      </c>
      <c r="H53" s="462">
        <v>0</v>
      </c>
      <c r="I53" s="459">
        <v>13.30362</v>
      </c>
      <c r="J53" s="460">
        <v>-7.7467945544159997</v>
      </c>
      <c r="K53" s="463">
        <v>0.31599425193199998</v>
      </c>
    </row>
    <row r="54" spans="1:11" ht="14.4" customHeight="1" thickBot="1" x14ac:dyDescent="0.35">
      <c r="A54" s="484" t="s">
        <v>46</v>
      </c>
      <c r="B54" s="464">
        <v>0</v>
      </c>
      <c r="C54" s="464">
        <v>134.73400000000001</v>
      </c>
      <c r="D54" s="465">
        <v>134.73400000000001</v>
      </c>
      <c r="E54" s="466" t="s">
        <v>266</v>
      </c>
      <c r="F54" s="464">
        <v>0</v>
      </c>
      <c r="G54" s="465">
        <v>0</v>
      </c>
      <c r="H54" s="467">
        <v>23.314</v>
      </c>
      <c r="I54" s="464">
        <v>54.292999999999999</v>
      </c>
      <c r="J54" s="465">
        <v>54.292999999999999</v>
      </c>
      <c r="K54" s="468" t="s">
        <v>266</v>
      </c>
    </row>
    <row r="55" spans="1:11" ht="14.4" customHeight="1" thickBot="1" x14ac:dyDescent="0.35">
      <c r="A55" s="480" t="s">
        <v>315</v>
      </c>
      <c r="B55" s="464">
        <v>0</v>
      </c>
      <c r="C55" s="464">
        <v>76.164000000000001</v>
      </c>
      <c r="D55" s="465">
        <v>76.164000000000001</v>
      </c>
      <c r="E55" s="466" t="s">
        <v>266</v>
      </c>
      <c r="F55" s="464">
        <v>0</v>
      </c>
      <c r="G55" s="465">
        <v>0</v>
      </c>
      <c r="H55" s="467">
        <v>0</v>
      </c>
      <c r="I55" s="464">
        <v>30.978999999999999</v>
      </c>
      <c r="J55" s="465">
        <v>30.978999999999999</v>
      </c>
      <c r="K55" s="468" t="s">
        <v>266</v>
      </c>
    </row>
    <row r="56" spans="1:11" ht="14.4" customHeight="1" thickBot="1" x14ac:dyDescent="0.35">
      <c r="A56" s="481" t="s">
        <v>316</v>
      </c>
      <c r="B56" s="459">
        <v>0</v>
      </c>
      <c r="C56" s="459">
        <v>71.364000000000004</v>
      </c>
      <c r="D56" s="460">
        <v>71.364000000000004</v>
      </c>
      <c r="E56" s="469" t="s">
        <v>266</v>
      </c>
      <c r="F56" s="459">
        <v>0</v>
      </c>
      <c r="G56" s="460">
        <v>0</v>
      </c>
      <c r="H56" s="462">
        <v>0</v>
      </c>
      <c r="I56" s="459">
        <v>30.079000000000001</v>
      </c>
      <c r="J56" s="460">
        <v>30.079000000000001</v>
      </c>
      <c r="K56" s="470" t="s">
        <v>266</v>
      </c>
    </row>
    <row r="57" spans="1:11" ht="14.4" customHeight="1" thickBot="1" x14ac:dyDescent="0.35">
      <c r="A57" s="481" t="s">
        <v>317</v>
      </c>
      <c r="B57" s="459">
        <v>0</v>
      </c>
      <c r="C57" s="459">
        <v>4.8</v>
      </c>
      <c r="D57" s="460">
        <v>4.8</v>
      </c>
      <c r="E57" s="469" t="s">
        <v>266</v>
      </c>
      <c r="F57" s="459">
        <v>0</v>
      </c>
      <c r="G57" s="460">
        <v>0</v>
      </c>
      <c r="H57" s="462">
        <v>0</v>
      </c>
      <c r="I57" s="459">
        <v>0.9</v>
      </c>
      <c r="J57" s="460">
        <v>0.9</v>
      </c>
      <c r="K57" s="470" t="s">
        <v>266</v>
      </c>
    </row>
    <row r="58" spans="1:11" ht="14.4" customHeight="1" thickBot="1" x14ac:dyDescent="0.35">
      <c r="A58" s="480" t="s">
        <v>318</v>
      </c>
      <c r="B58" s="464">
        <v>0</v>
      </c>
      <c r="C58" s="464">
        <v>58.569999999998998</v>
      </c>
      <c r="D58" s="465">
        <v>58.569999999998998</v>
      </c>
      <c r="E58" s="466" t="s">
        <v>266</v>
      </c>
      <c r="F58" s="464">
        <v>0</v>
      </c>
      <c r="G58" s="465">
        <v>0</v>
      </c>
      <c r="H58" s="467">
        <v>23.314</v>
      </c>
      <c r="I58" s="464">
        <v>23.314</v>
      </c>
      <c r="J58" s="465">
        <v>23.314</v>
      </c>
      <c r="K58" s="468" t="s">
        <v>266</v>
      </c>
    </row>
    <row r="59" spans="1:11" ht="14.4" customHeight="1" thickBot="1" x14ac:dyDescent="0.35">
      <c r="A59" s="481" t="s">
        <v>319</v>
      </c>
      <c r="B59" s="459">
        <v>0</v>
      </c>
      <c r="C59" s="459">
        <v>58.569999999998998</v>
      </c>
      <c r="D59" s="460">
        <v>58.569999999998998</v>
      </c>
      <c r="E59" s="469" t="s">
        <v>266</v>
      </c>
      <c r="F59" s="459">
        <v>0</v>
      </c>
      <c r="G59" s="460">
        <v>0</v>
      </c>
      <c r="H59" s="462">
        <v>16.544</v>
      </c>
      <c r="I59" s="459">
        <v>16.544</v>
      </c>
      <c r="J59" s="460">
        <v>16.544</v>
      </c>
      <c r="K59" s="470" t="s">
        <v>266</v>
      </c>
    </row>
    <row r="60" spans="1:11" ht="14.4" customHeight="1" thickBot="1" x14ac:dyDescent="0.35">
      <c r="A60" s="481" t="s">
        <v>320</v>
      </c>
      <c r="B60" s="459">
        <v>0</v>
      </c>
      <c r="C60" s="459">
        <v>0</v>
      </c>
      <c r="D60" s="460">
        <v>0</v>
      </c>
      <c r="E60" s="461">
        <v>1</v>
      </c>
      <c r="F60" s="459">
        <v>0</v>
      </c>
      <c r="G60" s="460">
        <v>0</v>
      </c>
      <c r="H60" s="462">
        <v>6.77</v>
      </c>
      <c r="I60" s="459">
        <v>6.77</v>
      </c>
      <c r="J60" s="460">
        <v>6.77</v>
      </c>
      <c r="K60" s="470" t="s">
        <v>291</v>
      </c>
    </row>
    <row r="61" spans="1:11" ht="14.4" customHeight="1" thickBot="1" x14ac:dyDescent="0.35">
      <c r="A61" s="479" t="s">
        <v>47</v>
      </c>
      <c r="B61" s="459">
        <v>1084.30329821788</v>
      </c>
      <c r="C61" s="459">
        <v>1015.51368</v>
      </c>
      <c r="D61" s="460">
        <v>-68.789618217877006</v>
      </c>
      <c r="E61" s="461">
        <v>0.93655869318899998</v>
      </c>
      <c r="F61" s="459">
        <v>1249.3509925639601</v>
      </c>
      <c r="G61" s="460">
        <v>624.67549628197901</v>
      </c>
      <c r="H61" s="462">
        <v>83.020420000000001</v>
      </c>
      <c r="I61" s="459">
        <v>357.61714000000097</v>
      </c>
      <c r="J61" s="460">
        <v>-267.05835628197798</v>
      </c>
      <c r="K61" s="463">
        <v>0.28624233071999999</v>
      </c>
    </row>
    <row r="62" spans="1:11" ht="14.4" customHeight="1" thickBot="1" x14ac:dyDescent="0.35">
      <c r="A62" s="480" t="s">
        <v>321</v>
      </c>
      <c r="B62" s="464">
        <v>0</v>
      </c>
      <c r="C62" s="464">
        <v>2.828449999999</v>
      </c>
      <c r="D62" s="465">
        <v>2.828449999999</v>
      </c>
      <c r="E62" s="466" t="s">
        <v>291</v>
      </c>
      <c r="F62" s="464">
        <v>0</v>
      </c>
      <c r="G62" s="465">
        <v>0</v>
      </c>
      <c r="H62" s="467">
        <v>0</v>
      </c>
      <c r="I62" s="464">
        <v>0</v>
      </c>
      <c r="J62" s="465">
        <v>0</v>
      </c>
      <c r="K62" s="472">
        <v>0</v>
      </c>
    </row>
    <row r="63" spans="1:11" ht="14.4" customHeight="1" thickBot="1" x14ac:dyDescent="0.35">
      <c r="A63" s="481" t="s">
        <v>322</v>
      </c>
      <c r="B63" s="459">
        <v>0</v>
      </c>
      <c r="C63" s="459">
        <v>2.828449999999</v>
      </c>
      <c r="D63" s="460">
        <v>2.828449999999</v>
      </c>
      <c r="E63" s="469" t="s">
        <v>291</v>
      </c>
      <c r="F63" s="459">
        <v>0</v>
      </c>
      <c r="G63" s="460">
        <v>0</v>
      </c>
      <c r="H63" s="462">
        <v>0</v>
      </c>
      <c r="I63" s="459">
        <v>0</v>
      </c>
      <c r="J63" s="460">
        <v>0</v>
      </c>
      <c r="K63" s="463">
        <v>0</v>
      </c>
    </row>
    <row r="64" spans="1:11" ht="14.4" customHeight="1" thickBot="1" x14ac:dyDescent="0.35">
      <c r="A64" s="480" t="s">
        <v>323</v>
      </c>
      <c r="B64" s="464">
        <v>38.739524529577999</v>
      </c>
      <c r="C64" s="464">
        <v>42.003259999999997</v>
      </c>
      <c r="D64" s="465">
        <v>3.263735470421</v>
      </c>
      <c r="E64" s="471">
        <v>1.0842482067100001</v>
      </c>
      <c r="F64" s="464">
        <v>41.495417365441</v>
      </c>
      <c r="G64" s="465">
        <v>20.747708682719999</v>
      </c>
      <c r="H64" s="467">
        <v>4.36388</v>
      </c>
      <c r="I64" s="464">
        <v>25.502490000000002</v>
      </c>
      <c r="J64" s="465">
        <v>4.7547813172789999</v>
      </c>
      <c r="K64" s="472">
        <v>0.61458569690700005</v>
      </c>
    </row>
    <row r="65" spans="1:11" ht="14.4" customHeight="1" thickBot="1" x14ac:dyDescent="0.35">
      <c r="A65" s="481" t="s">
        <v>324</v>
      </c>
      <c r="B65" s="459">
        <v>28.323295698664001</v>
      </c>
      <c r="C65" s="459">
        <v>31.676600000000001</v>
      </c>
      <c r="D65" s="460">
        <v>3.3533043013350001</v>
      </c>
      <c r="E65" s="461">
        <v>1.1183938598459999</v>
      </c>
      <c r="F65" s="459">
        <v>30.875383554245001</v>
      </c>
      <c r="G65" s="460">
        <v>15.437691777122</v>
      </c>
      <c r="H65" s="462">
        <v>3.3530000000000002</v>
      </c>
      <c r="I65" s="459">
        <v>19.2484</v>
      </c>
      <c r="J65" s="460">
        <v>3.810708222877</v>
      </c>
      <c r="K65" s="463">
        <v>0.62342221485799998</v>
      </c>
    </row>
    <row r="66" spans="1:11" ht="14.4" customHeight="1" thickBot="1" x14ac:dyDescent="0.35">
      <c r="A66" s="481" t="s">
        <v>325</v>
      </c>
      <c r="B66" s="459">
        <v>10.416228830912999</v>
      </c>
      <c r="C66" s="459">
        <v>10.32666</v>
      </c>
      <c r="D66" s="460">
        <v>-8.9568830912999997E-2</v>
      </c>
      <c r="E66" s="461">
        <v>0.99140103079800002</v>
      </c>
      <c r="F66" s="459">
        <v>10.620033811196</v>
      </c>
      <c r="G66" s="460">
        <v>5.3100169055980002</v>
      </c>
      <c r="H66" s="462">
        <v>1.01088</v>
      </c>
      <c r="I66" s="459">
        <v>6.2540899999999997</v>
      </c>
      <c r="J66" s="460">
        <v>0.94407309440099996</v>
      </c>
      <c r="K66" s="463">
        <v>0.58889548858100005</v>
      </c>
    </row>
    <row r="67" spans="1:11" ht="14.4" customHeight="1" thickBot="1" x14ac:dyDescent="0.35">
      <c r="A67" s="480" t="s">
        <v>326</v>
      </c>
      <c r="B67" s="464">
        <v>25</v>
      </c>
      <c r="C67" s="464">
        <v>20.608000000000001</v>
      </c>
      <c r="D67" s="465">
        <v>-4.3920000000000003</v>
      </c>
      <c r="E67" s="471">
        <v>0.82431999999899996</v>
      </c>
      <c r="F67" s="464">
        <v>27.440013654967998</v>
      </c>
      <c r="G67" s="465">
        <v>13.720006827483999</v>
      </c>
      <c r="H67" s="467">
        <v>0</v>
      </c>
      <c r="I67" s="464">
        <v>16.273340000000001</v>
      </c>
      <c r="J67" s="465">
        <v>2.5533331725149999</v>
      </c>
      <c r="K67" s="472">
        <v>0.59305145415000005</v>
      </c>
    </row>
    <row r="68" spans="1:11" ht="14.4" customHeight="1" thickBot="1" x14ac:dyDescent="0.35">
      <c r="A68" s="481" t="s">
        <v>327</v>
      </c>
      <c r="B68" s="459">
        <v>2</v>
      </c>
      <c r="C68" s="459">
        <v>2.7</v>
      </c>
      <c r="D68" s="460">
        <v>0.69999999999899998</v>
      </c>
      <c r="E68" s="461">
        <v>1.35</v>
      </c>
      <c r="F68" s="459">
        <v>2.8394366197180001</v>
      </c>
      <c r="G68" s="460">
        <v>1.419718309859</v>
      </c>
      <c r="H68" s="462">
        <v>0</v>
      </c>
      <c r="I68" s="459">
        <v>1.35</v>
      </c>
      <c r="J68" s="460">
        <v>-6.9718309859000002E-2</v>
      </c>
      <c r="K68" s="463">
        <v>0.475446428571</v>
      </c>
    </row>
    <row r="69" spans="1:11" ht="14.4" customHeight="1" thickBot="1" x14ac:dyDescent="0.35">
      <c r="A69" s="481" t="s">
        <v>328</v>
      </c>
      <c r="B69" s="459">
        <v>23</v>
      </c>
      <c r="C69" s="459">
        <v>17.908000000000001</v>
      </c>
      <c r="D69" s="460">
        <v>-5.0919999999999996</v>
      </c>
      <c r="E69" s="461">
        <v>0.77860869565199997</v>
      </c>
      <c r="F69" s="459">
        <v>24.600577035249</v>
      </c>
      <c r="G69" s="460">
        <v>12.300288517624001</v>
      </c>
      <c r="H69" s="462">
        <v>0</v>
      </c>
      <c r="I69" s="459">
        <v>14.92334</v>
      </c>
      <c r="J69" s="460">
        <v>2.6230514823750002</v>
      </c>
      <c r="K69" s="463">
        <v>0.60662560795200005</v>
      </c>
    </row>
    <row r="70" spans="1:11" ht="14.4" customHeight="1" thickBot="1" x14ac:dyDescent="0.35">
      <c r="A70" s="480" t="s">
        <v>329</v>
      </c>
      <c r="B70" s="464">
        <v>275.33534641976303</v>
      </c>
      <c r="C70" s="464">
        <v>263.86840999999998</v>
      </c>
      <c r="D70" s="465">
        <v>-11.466936419763</v>
      </c>
      <c r="E70" s="471">
        <v>0.95835283566399998</v>
      </c>
      <c r="F70" s="464">
        <v>295.332630834459</v>
      </c>
      <c r="G70" s="465">
        <v>147.66631541723001</v>
      </c>
      <c r="H70" s="467">
        <v>22.95853</v>
      </c>
      <c r="I70" s="464">
        <v>136.64202</v>
      </c>
      <c r="J70" s="465">
        <v>-11.024295417229</v>
      </c>
      <c r="K70" s="472">
        <v>0.46267159715400002</v>
      </c>
    </row>
    <row r="71" spans="1:11" ht="14.4" customHeight="1" thickBot="1" x14ac:dyDescent="0.35">
      <c r="A71" s="481" t="s">
        <v>330</v>
      </c>
      <c r="B71" s="459">
        <v>236</v>
      </c>
      <c r="C71" s="459">
        <v>228.29633999999999</v>
      </c>
      <c r="D71" s="460">
        <v>-7.7036600000000002</v>
      </c>
      <c r="E71" s="461">
        <v>0.96735737288099999</v>
      </c>
      <c r="F71" s="459">
        <v>259.75243803257098</v>
      </c>
      <c r="G71" s="460">
        <v>129.87621901628501</v>
      </c>
      <c r="H71" s="462">
        <v>20.050249999999998</v>
      </c>
      <c r="I71" s="459">
        <v>118.83540000000001</v>
      </c>
      <c r="J71" s="460">
        <v>-11.040819016285001</v>
      </c>
      <c r="K71" s="463">
        <v>0.457494839702</v>
      </c>
    </row>
    <row r="72" spans="1:11" ht="14.4" customHeight="1" thickBot="1" x14ac:dyDescent="0.35">
      <c r="A72" s="481" t="s">
        <v>331</v>
      </c>
      <c r="B72" s="459">
        <v>0.40874392592300002</v>
      </c>
      <c r="C72" s="459">
        <v>0.36399999999999999</v>
      </c>
      <c r="D72" s="460">
        <v>-4.4743925923E-2</v>
      </c>
      <c r="E72" s="461">
        <v>0.89053311111099998</v>
      </c>
      <c r="F72" s="459">
        <v>0</v>
      </c>
      <c r="G72" s="460">
        <v>0</v>
      </c>
      <c r="H72" s="462">
        <v>0</v>
      </c>
      <c r="I72" s="459">
        <v>0.182</v>
      </c>
      <c r="J72" s="460">
        <v>0.182</v>
      </c>
      <c r="K72" s="470" t="s">
        <v>266</v>
      </c>
    </row>
    <row r="73" spans="1:11" ht="14.4" customHeight="1" thickBot="1" x14ac:dyDescent="0.35">
      <c r="A73" s="481" t="s">
        <v>332</v>
      </c>
      <c r="B73" s="459">
        <v>38.926602493840001</v>
      </c>
      <c r="C73" s="459">
        <v>35.208069999999999</v>
      </c>
      <c r="D73" s="460">
        <v>-3.7185324938400002</v>
      </c>
      <c r="E73" s="461">
        <v>0.90447323281199998</v>
      </c>
      <c r="F73" s="459">
        <v>35.580192801888003</v>
      </c>
      <c r="G73" s="460">
        <v>17.790096400944002</v>
      </c>
      <c r="H73" s="462">
        <v>2.90828</v>
      </c>
      <c r="I73" s="459">
        <v>17.62462</v>
      </c>
      <c r="J73" s="460">
        <v>-0.16547640094400001</v>
      </c>
      <c r="K73" s="463">
        <v>0.495349198868</v>
      </c>
    </row>
    <row r="74" spans="1:11" ht="14.4" customHeight="1" thickBot="1" x14ac:dyDescent="0.35">
      <c r="A74" s="480" t="s">
        <v>333</v>
      </c>
      <c r="B74" s="464">
        <v>475.228427268536</v>
      </c>
      <c r="C74" s="464">
        <v>562.54259999999999</v>
      </c>
      <c r="D74" s="465">
        <v>87.314172731463003</v>
      </c>
      <c r="E74" s="471">
        <v>1.183730954886</v>
      </c>
      <c r="F74" s="464">
        <v>675.08293070908906</v>
      </c>
      <c r="G74" s="465">
        <v>337.54146535454498</v>
      </c>
      <c r="H74" s="467">
        <v>55.698009999999996</v>
      </c>
      <c r="I74" s="464">
        <v>179.19928999999999</v>
      </c>
      <c r="J74" s="465">
        <v>-158.342175354544</v>
      </c>
      <c r="K74" s="472">
        <v>0.26544781662799999</v>
      </c>
    </row>
    <row r="75" spans="1:11" ht="14.4" customHeight="1" thickBot="1" x14ac:dyDescent="0.35">
      <c r="A75" s="481" t="s">
        <v>334</v>
      </c>
      <c r="B75" s="459">
        <v>0</v>
      </c>
      <c r="C75" s="459">
        <v>12.934900000000001</v>
      </c>
      <c r="D75" s="460">
        <v>12.934900000000001</v>
      </c>
      <c r="E75" s="469" t="s">
        <v>291</v>
      </c>
      <c r="F75" s="459">
        <v>0</v>
      </c>
      <c r="G75" s="460">
        <v>0</v>
      </c>
      <c r="H75" s="462">
        <v>0</v>
      </c>
      <c r="I75" s="459">
        <v>0</v>
      </c>
      <c r="J75" s="460">
        <v>0</v>
      </c>
      <c r="K75" s="470" t="s">
        <v>266</v>
      </c>
    </row>
    <row r="76" spans="1:11" ht="14.4" customHeight="1" thickBot="1" x14ac:dyDescent="0.35">
      <c r="A76" s="481" t="s">
        <v>335</v>
      </c>
      <c r="B76" s="459">
        <v>273.23801520251601</v>
      </c>
      <c r="C76" s="459">
        <v>363.95447000000001</v>
      </c>
      <c r="D76" s="460">
        <v>90.716454797484005</v>
      </c>
      <c r="E76" s="461">
        <v>1.3320052472570001</v>
      </c>
      <c r="F76" s="459">
        <v>459.54662533480501</v>
      </c>
      <c r="G76" s="460">
        <v>229.773312667402</v>
      </c>
      <c r="H76" s="462">
        <v>50.823999999999998</v>
      </c>
      <c r="I76" s="459">
        <v>123.95406</v>
      </c>
      <c r="J76" s="460">
        <v>-105.819252667402</v>
      </c>
      <c r="K76" s="463">
        <v>0.26973119410800001</v>
      </c>
    </row>
    <row r="77" spans="1:11" ht="14.4" customHeight="1" thickBot="1" x14ac:dyDescent="0.35">
      <c r="A77" s="481" t="s">
        <v>336</v>
      </c>
      <c r="B77" s="459">
        <v>15</v>
      </c>
      <c r="C77" s="459">
        <v>9.6989999999999998</v>
      </c>
      <c r="D77" s="460">
        <v>-5.3010000000000002</v>
      </c>
      <c r="E77" s="461">
        <v>0.64659999999999995</v>
      </c>
      <c r="F77" s="459">
        <v>15.544532759457001</v>
      </c>
      <c r="G77" s="460">
        <v>7.7722663797280003</v>
      </c>
      <c r="H77" s="462">
        <v>3.5695000000000001</v>
      </c>
      <c r="I77" s="459">
        <v>5.0065</v>
      </c>
      <c r="J77" s="460">
        <v>-2.7657663797279999</v>
      </c>
      <c r="K77" s="463">
        <v>0.32207465335000002</v>
      </c>
    </row>
    <row r="78" spans="1:11" ht="14.4" customHeight="1" thickBot="1" x14ac:dyDescent="0.35">
      <c r="A78" s="481" t="s">
        <v>337</v>
      </c>
      <c r="B78" s="459">
        <v>185.28001220453299</v>
      </c>
      <c r="C78" s="459">
        <v>173.66459</v>
      </c>
      <c r="D78" s="460">
        <v>-11.615422204532999</v>
      </c>
      <c r="E78" s="461">
        <v>0.93730882211</v>
      </c>
      <c r="F78" s="459">
        <v>197.82051572174001</v>
      </c>
      <c r="G78" s="460">
        <v>98.910257860870004</v>
      </c>
      <c r="H78" s="462">
        <v>1.3045100000000001</v>
      </c>
      <c r="I78" s="459">
        <v>49.161830000000002</v>
      </c>
      <c r="J78" s="460">
        <v>-49.748427860870002</v>
      </c>
      <c r="K78" s="463">
        <v>0.248517348267</v>
      </c>
    </row>
    <row r="79" spans="1:11" ht="14.4" customHeight="1" thickBot="1" x14ac:dyDescent="0.35">
      <c r="A79" s="481" t="s">
        <v>338</v>
      </c>
      <c r="B79" s="459">
        <v>1.7103998614860001</v>
      </c>
      <c r="C79" s="459">
        <v>2.2896399999999999</v>
      </c>
      <c r="D79" s="460">
        <v>0.57924013851300005</v>
      </c>
      <c r="E79" s="461">
        <v>1.338657732355</v>
      </c>
      <c r="F79" s="459">
        <v>2.1712568930849998</v>
      </c>
      <c r="G79" s="460">
        <v>1.0856284465420001</v>
      </c>
      <c r="H79" s="462">
        <v>0</v>
      </c>
      <c r="I79" s="459">
        <v>1.0769</v>
      </c>
      <c r="J79" s="460">
        <v>-8.7284465419999995E-3</v>
      </c>
      <c r="K79" s="463">
        <v>0.49598000283999999</v>
      </c>
    </row>
    <row r="80" spans="1:11" ht="14.4" customHeight="1" thickBot="1" x14ac:dyDescent="0.35">
      <c r="A80" s="480" t="s">
        <v>339</v>
      </c>
      <c r="B80" s="464">
        <v>270</v>
      </c>
      <c r="C80" s="464">
        <v>123.66296</v>
      </c>
      <c r="D80" s="465">
        <v>-146.33704</v>
      </c>
      <c r="E80" s="471">
        <v>0.458010962962</v>
      </c>
      <c r="F80" s="464">
        <v>210</v>
      </c>
      <c r="G80" s="465">
        <v>105</v>
      </c>
      <c r="H80" s="467">
        <v>0</v>
      </c>
      <c r="I80" s="464">
        <v>0</v>
      </c>
      <c r="J80" s="465">
        <v>-105</v>
      </c>
      <c r="K80" s="472">
        <v>0</v>
      </c>
    </row>
    <row r="81" spans="1:11" ht="14.4" customHeight="1" thickBot="1" x14ac:dyDescent="0.35">
      <c r="A81" s="481" t="s">
        <v>340</v>
      </c>
      <c r="B81" s="459">
        <v>180</v>
      </c>
      <c r="C81" s="459">
        <v>64.571160000000006</v>
      </c>
      <c r="D81" s="460">
        <v>-115.42883999999999</v>
      </c>
      <c r="E81" s="461">
        <v>0.35872866666600001</v>
      </c>
      <c r="F81" s="459">
        <v>160</v>
      </c>
      <c r="G81" s="460">
        <v>80</v>
      </c>
      <c r="H81" s="462">
        <v>0</v>
      </c>
      <c r="I81" s="459">
        <v>0</v>
      </c>
      <c r="J81" s="460">
        <v>-80</v>
      </c>
      <c r="K81" s="463">
        <v>0</v>
      </c>
    </row>
    <row r="82" spans="1:11" ht="14.4" customHeight="1" thickBot="1" x14ac:dyDescent="0.35">
      <c r="A82" s="481" t="s">
        <v>341</v>
      </c>
      <c r="B82" s="459">
        <v>90</v>
      </c>
      <c r="C82" s="459">
        <v>59.091799999999999</v>
      </c>
      <c r="D82" s="460">
        <v>-30.908200000000001</v>
      </c>
      <c r="E82" s="461">
        <v>0.65657555555500002</v>
      </c>
      <c r="F82" s="459">
        <v>50</v>
      </c>
      <c r="G82" s="460">
        <v>25</v>
      </c>
      <c r="H82" s="462">
        <v>0</v>
      </c>
      <c r="I82" s="459">
        <v>0</v>
      </c>
      <c r="J82" s="460">
        <v>-25</v>
      </c>
      <c r="K82" s="463">
        <v>0</v>
      </c>
    </row>
    <row r="83" spans="1:11" ht="14.4" customHeight="1" thickBot="1" x14ac:dyDescent="0.35">
      <c r="A83" s="478" t="s">
        <v>48</v>
      </c>
      <c r="B83" s="459">
        <v>17135</v>
      </c>
      <c r="C83" s="459">
        <v>19212.99785</v>
      </c>
      <c r="D83" s="460">
        <v>2077.9978500000002</v>
      </c>
      <c r="E83" s="461">
        <v>1.121272124306</v>
      </c>
      <c r="F83" s="459">
        <v>18881.9959987609</v>
      </c>
      <c r="G83" s="460">
        <v>9440.9979993804409</v>
      </c>
      <c r="H83" s="462">
        <v>1573.1839600000001</v>
      </c>
      <c r="I83" s="459">
        <v>9347.2908700000098</v>
      </c>
      <c r="J83" s="460">
        <v>-93.707129380431994</v>
      </c>
      <c r="K83" s="463">
        <v>0.49503722332099998</v>
      </c>
    </row>
    <row r="84" spans="1:11" ht="14.4" customHeight="1" thickBot="1" x14ac:dyDescent="0.35">
      <c r="A84" s="484" t="s">
        <v>342</v>
      </c>
      <c r="B84" s="464">
        <v>12639</v>
      </c>
      <c r="C84" s="464">
        <v>14170.05</v>
      </c>
      <c r="D84" s="465">
        <v>1531.04999999999</v>
      </c>
      <c r="E84" s="471">
        <v>1.121136957037</v>
      </c>
      <c r="F84" s="464">
        <v>13931.9959987609</v>
      </c>
      <c r="G84" s="465">
        <v>6965.99799938044</v>
      </c>
      <c r="H84" s="467">
        <v>1159.5419999999999</v>
      </c>
      <c r="I84" s="464">
        <v>6893.3390000000099</v>
      </c>
      <c r="J84" s="465">
        <v>-72.658999380436995</v>
      </c>
      <c r="K84" s="472">
        <v>0.49478473871299999</v>
      </c>
    </row>
    <row r="85" spans="1:11" ht="14.4" customHeight="1" thickBot="1" x14ac:dyDescent="0.35">
      <c r="A85" s="480" t="s">
        <v>343</v>
      </c>
      <c r="B85" s="464">
        <v>12484</v>
      </c>
      <c r="C85" s="464">
        <v>13975.272000000001</v>
      </c>
      <c r="D85" s="465">
        <v>1491.2719999999899</v>
      </c>
      <c r="E85" s="471">
        <v>1.1194546619670001</v>
      </c>
      <c r="F85" s="464">
        <v>13750</v>
      </c>
      <c r="G85" s="465">
        <v>6874.99999999998</v>
      </c>
      <c r="H85" s="467">
        <v>1139.7919999999999</v>
      </c>
      <c r="I85" s="464">
        <v>6776.3640000000096</v>
      </c>
      <c r="J85" s="465">
        <v>-98.635999999972</v>
      </c>
      <c r="K85" s="472">
        <v>0.49282647272699998</v>
      </c>
    </row>
    <row r="86" spans="1:11" ht="14.4" customHeight="1" thickBot="1" x14ac:dyDescent="0.35">
      <c r="A86" s="481" t="s">
        <v>344</v>
      </c>
      <c r="B86" s="459">
        <v>12484</v>
      </c>
      <c r="C86" s="459">
        <v>13975.272000000001</v>
      </c>
      <c r="D86" s="460">
        <v>1491.2719999999899</v>
      </c>
      <c r="E86" s="461">
        <v>1.1194546619670001</v>
      </c>
      <c r="F86" s="459">
        <v>13750</v>
      </c>
      <c r="G86" s="460">
        <v>6874.99999999998</v>
      </c>
      <c r="H86" s="462">
        <v>1139.7919999999999</v>
      </c>
      <c r="I86" s="459">
        <v>6776.3640000000096</v>
      </c>
      <c r="J86" s="460">
        <v>-98.635999999972</v>
      </c>
      <c r="K86" s="463">
        <v>0.49282647272699998</v>
      </c>
    </row>
    <row r="87" spans="1:11" ht="14.4" customHeight="1" thickBot="1" x14ac:dyDescent="0.35">
      <c r="A87" s="480" t="s">
        <v>345</v>
      </c>
      <c r="B87" s="464">
        <v>120</v>
      </c>
      <c r="C87" s="464">
        <v>132</v>
      </c>
      <c r="D87" s="465">
        <v>12</v>
      </c>
      <c r="E87" s="471">
        <v>1.1000000000000001</v>
      </c>
      <c r="F87" s="464">
        <v>149.22699876093</v>
      </c>
      <c r="G87" s="465">
        <v>74.613499380464006</v>
      </c>
      <c r="H87" s="467">
        <v>19.75</v>
      </c>
      <c r="I87" s="464">
        <v>101.625</v>
      </c>
      <c r="J87" s="465">
        <v>27.011500619534999</v>
      </c>
      <c r="K87" s="472">
        <v>0.68100947445000004</v>
      </c>
    </row>
    <row r="88" spans="1:11" ht="14.4" customHeight="1" thickBot="1" x14ac:dyDescent="0.35">
      <c r="A88" s="481" t="s">
        <v>346</v>
      </c>
      <c r="B88" s="459">
        <v>120</v>
      </c>
      <c r="C88" s="459">
        <v>132</v>
      </c>
      <c r="D88" s="460">
        <v>12</v>
      </c>
      <c r="E88" s="461">
        <v>1.1000000000000001</v>
      </c>
      <c r="F88" s="459">
        <v>149.22699876093</v>
      </c>
      <c r="G88" s="460">
        <v>74.613499380464006</v>
      </c>
      <c r="H88" s="462">
        <v>19.75</v>
      </c>
      <c r="I88" s="459">
        <v>101.625</v>
      </c>
      <c r="J88" s="460">
        <v>27.011500619534999</v>
      </c>
      <c r="K88" s="463">
        <v>0.68100947445000004</v>
      </c>
    </row>
    <row r="89" spans="1:11" ht="14.4" customHeight="1" thickBot="1" x14ac:dyDescent="0.35">
      <c r="A89" s="480" t="s">
        <v>347</v>
      </c>
      <c r="B89" s="464">
        <v>35</v>
      </c>
      <c r="C89" s="464">
        <v>32.027999999999999</v>
      </c>
      <c r="D89" s="465">
        <v>-2.972</v>
      </c>
      <c r="E89" s="471">
        <v>0.91508571428499996</v>
      </c>
      <c r="F89" s="464">
        <v>32.768999999999998</v>
      </c>
      <c r="G89" s="465">
        <v>16.384499999999999</v>
      </c>
      <c r="H89" s="467">
        <v>0</v>
      </c>
      <c r="I89" s="464">
        <v>15.35</v>
      </c>
      <c r="J89" s="465">
        <v>-1.0345</v>
      </c>
      <c r="K89" s="472">
        <v>0.46843052885300002</v>
      </c>
    </row>
    <row r="90" spans="1:11" ht="14.4" customHeight="1" thickBot="1" x14ac:dyDescent="0.35">
      <c r="A90" s="481" t="s">
        <v>348</v>
      </c>
      <c r="B90" s="459">
        <v>35</v>
      </c>
      <c r="C90" s="459">
        <v>32.027999999999999</v>
      </c>
      <c r="D90" s="460">
        <v>-2.972</v>
      </c>
      <c r="E90" s="461">
        <v>0.91508571428499996</v>
      </c>
      <c r="F90" s="459">
        <v>32.768999999999998</v>
      </c>
      <c r="G90" s="460">
        <v>16.384499999999999</v>
      </c>
      <c r="H90" s="462">
        <v>0</v>
      </c>
      <c r="I90" s="459">
        <v>15.35</v>
      </c>
      <c r="J90" s="460">
        <v>-1.0345</v>
      </c>
      <c r="K90" s="463">
        <v>0.46843052885300002</v>
      </c>
    </row>
    <row r="91" spans="1:11" ht="14.4" customHeight="1" thickBot="1" x14ac:dyDescent="0.35">
      <c r="A91" s="483" t="s">
        <v>349</v>
      </c>
      <c r="B91" s="459">
        <v>0</v>
      </c>
      <c r="C91" s="459">
        <v>30.75</v>
      </c>
      <c r="D91" s="460">
        <v>30.75</v>
      </c>
      <c r="E91" s="469" t="s">
        <v>291</v>
      </c>
      <c r="F91" s="459">
        <v>0</v>
      </c>
      <c r="G91" s="460">
        <v>0</v>
      </c>
      <c r="H91" s="462">
        <v>0</v>
      </c>
      <c r="I91" s="459">
        <v>0</v>
      </c>
      <c r="J91" s="460">
        <v>0</v>
      </c>
      <c r="K91" s="470" t="s">
        <v>266</v>
      </c>
    </row>
    <row r="92" spans="1:11" ht="14.4" customHeight="1" thickBot="1" x14ac:dyDescent="0.35">
      <c r="A92" s="481" t="s">
        <v>350</v>
      </c>
      <c r="B92" s="459">
        <v>0</v>
      </c>
      <c r="C92" s="459">
        <v>30.75</v>
      </c>
      <c r="D92" s="460">
        <v>30.75</v>
      </c>
      <c r="E92" s="469" t="s">
        <v>291</v>
      </c>
      <c r="F92" s="459">
        <v>0</v>
      </c>
      <c r="G92" s="460">
        <v>0</v>
      </c>
      <c r="H92" s="462">
        <v>0</v>
      </c>
      <c r="I92" s="459">
        <v>0</v>
      </c>
      <c r="J92" s="460">
        <v>0</v>
      </c>
      <c r="K92" s="470" t="s">
        <v>266</v>
      </c>
    </row>
    <row r="93" spans="1:11" ht="14.4" customHeight="1" thickBot="1" x14ac:dyDescent="0.35">
      <c r="A93" s="479" t="s">
        <v>351</v>
      </c>
      <c r="B93" s="459">
        <v>4245.99999999999</v>
      </c>
      <c r="C93" s="459">
        <v>4762.8097699999998</v>
      </c>
      <c r="D93" s="460">
        <v>516.80977000000496</v>
      </c>
      <c r="E93" s="461">
        <v>1.1217168558640001</v>
      </c>
      <c r="F93" s="459">
        <v>4675</v>
      </c>
      <c r="G93" s="460">
        <v>2337.5</v>
      </c>
      <c r="H93" s="462">
        <v>390.84489000000002</v>
      </c>
      <c r="I93" s="459">
        <v>2318.1125499999998</v>
      </c>
      <c r="J93" s="460">
        <v>-19.387449999996001</v>
      </c>
      <c r="K93" s="463">
        <v>0.49585295187099998</v>
      </c>
    </row>
    <row r="94" spans="1:11" ht="14.4" customHeight="1" thickBot="1" x14ac:dyDescent="0.35">
      <c r="A94" s="480" t="s">
        <v>352</v>
      </c>
      <c r="B94" s="464">
        <v>1124</v>
      </c>
      <c r="C94" s="464">
        <v>1261.6228000000001</v>
      </c>
      <c r="D94" s="465">
        <v>137.62280000000499</v>
      </c>
      <c r="E94" s="471">
        <v>1.1224402135230001</v>
      </c>
      <c r="F94" s="464">
        <v>1237.5</v>
      </c>
      <c r="G94" s="465">
        <v>618.75000000000102</v>
      </c>
      <c r="H94" s="467">
        <v>103.45939</v>
      </c>
      <c r="I94" s="464">
        <v>613.61530000000096</v>
      </c>
      <c r="J94" s="465">
        <v>-5.1346999999999996</v>
      </c>
      <c r="K94" s="472">
        <v>0.49585074747399999</v>
      </c>
    </row>
    <row r="95" spans="1:11" ht="14.4" customHeight="1" thickBot="1" x14ac:dyDescent="0.35">
      <c r="A95" s="481" t="s">
        <v>353</v>
      </c>
      <c r="B95" s="459">
        <v>1124</v>
      </c>
      <c r="C95" s="459">
        <v>1261.6228000000001</v>
      </c>
      <c r="D95" s="460">
        <v>137.62280000000499</v>
      </c>
      <c r="E95" s="461">
        <v>1.1224402135230001</v>
      </c>
      <c r="F95" s="459">
        <v>1237.5</v>
      </c>
      <c r="G95" s="460">
        <v>618.75000000000102</v>
      </c>
      <c r="H95" s="462">
        <v>103.45939</v>
      </c>
      <c r="I95" s="459">
        <v>613.61530000000096</v>
      </c>
      <c r="J95" s="460">
        <v>-5.1346999999999996</v>
      </c>
      <c r="K95" s="463">
        <v>0.49585074747399999</v>
      </c>
    </row>
    <row r="96" spans="1:11" ht="14.4" customHeight="1" thickBot="1" x14ac:dyDescent="0.35">
      <c r="A96" s="480" t="s">
        <v>354</v>
      </c>
      <c r="B96" s="464">
        <v>3122</v>
      </c>
      <c r="C96" s="464">
        <v>3501.1869700000002</v>
      </c>
      <c r="D96" s="465">
        <v>379.186970000001</v>
      </c>
      <c r="E96" s="471">
        <v>1.121456428571</v>
      </c>
      <c r="F96" s="464">
        <v>3437.5</v>
      </c>
      <c r="G96" s="465">
        <v>1718.75</v>
      </c>
      <c r="H96" s="467">
        <v>287.38549999999998</v>
      </c>
      <c r="I96" s="464">
        <v>1704.4972499999999</v>
      </c>
      <c r="J96" s="465">
        <v>-14.252749999996</v>
      </c>
      <c r="K96" s="472">
        <v>0.49585374545400002</v>
      </c>
    </row>
    <row r="97" spans="1:11" ht="14.4" customHeight="1" thickBot="1" x14ac:dyDescent="0.35">
      <c r="A97" s="481" t="s">
        <v>355</v>
      </c>
      <c r="B97" s="459">
        <v>3122</v>
      </c>
      <c r="C97" s="459">
        <v>3501.1869700000002</v>
      </c>
      <c r="D97" s="460">
        <v>379.186970000001</v>
      </c>
      <c r="E97" s="461">
        <v>1.121456428571</v>
      </c>
      <c r="F97" s="459">
        <v>3437.5</v>
      </c>
      <c r="G97" s="460">
        <v>1718.75</v>
      </c>
      <c r="H97" s="462">
        <v>287.38549999999998</v>
      </c>
      <c r="I97" s="459">
        <v>1704.4972499999999</v>
      </c>
      <c r="J97" s="460">
        <v>-14.252749999996</v>
      </c>
      <c r="K97" s="463">
        <v>0.49585374545400002</v>
      </c>
    </row>
    <row r="98" spans="1:11" ht="14.4" customHeight="1" thickBot="1" x14ac:dyDescent="0.35">
      <c r="A98" s="479" t="s">
        <v>356</v>
      </c>
      <c r="B98" s="459">
        <v>250</v>
      </c>
      <c r="C98" s="459">
        <v>280.13808</v>
      </c>
      <c r="D98" s="460">
        <v>30.138079999999</v>
      </c>
      <c r="E98" s="461">
        <v>1.12055232</v>
      </c>
      <c r="F98" s="459">
        <v>275.00000000000102</v>
      </c>
      <c r="G98" s="460">
        <v>137.50000000000099</v>
      </c>
      <c r="H98" s="462">
        <v>22.797070000000001</v>
      </c>
      <c r="I98" s="459">
        <v>135.83931999999999</v>
      </c>
      <c r="J98" s="460">
        <v>-1.6606799999999999</v>
      </c>
      <c r="K98" s="463">
        <v>0.49396116363600001</v>
      </c>
    </row>
    <row r="99" spans="1:11" ht="14.4" customHeight="1" thickBot="1" x14ac:dyDescent="0.35">
      <c r="A99" s="480" t="s">
        <v>357</v>
      </c>
      <c r="B99" s="464">
        <v>250</v>
      </c>
      <c r="C99" s="464">
        <v>280.13808</v>
      </c>
      <c r="D99" s="465">
        <v>30.138079999999</v>
      </c>
      <c r="E99" s="471">
        <v>1.12055232</v>
      </c>
      <c r="F99" s="464">
        <v>275.00000000000102</v>
      </c>
      <c r="G99" s="465">
        <v>137.50000000000099</v>
      </c>
      <c r="H99" s="467">
        <v>22.797070000000001</v>
      </c>
      <c r="I99" s="464">
        <v>135.83931999999999</v>
      </c>
      <c r="J99" s="465">
        <v>-1.6606799999999999</v>
      </c>
      <c r="K99" s="472">
        <v>0.49396116363600001</v>
      </c>
    </row>
    <row r="100" spans="1:11" ht="14.4" customHeight="1" thickBot="1" x14ac:dyDescent="0.35">
      <c r="A100" s="481" t="s">
        <v>358</v>
      </c>
      <c r="B100" s="459">
        <v>250</v>
      </c>
      <c r="C100" s="459">
        <v>280.13808</v>
      </c>
      <c r="D100" s="460">
        <v>30.138079999999</v>
      </c>
      <c r="E100" s="461">
        <v>1.12055232</v>
      </c>
      <c r="F100" s="459">
        <v>275.00000000000102</v>
      </c>
      <c r="G100" s="460">
        <v>137.50000000000099</v>
      </c>
      <c r="H100" s="462">
        <v>22.797070000000001</v>
      </c>
      <c r="I100" s="459">
        <v>135.83931999999999</v>
      </c>
      <c r="J100" s="460">
        <v>-1.6606799999999999</v>
      </c>
      <c r="K100" s="463">
        <v>0.49396116363600001</v>
      </c>
    </row>
    <row r="101" spans="1:11" ht="14.4" customHeight="1" thickBot="1" x14ac:dyDescent="0.35">
      <c r="A101" s="478" t="s">
        <v>359</v>
      </c>
      <c r="B101" s="459">
        <v>0</v>
      </c>
      <c r="C101" s="459">
        <v>146.37988000000001</v>
      </c>
      <c r="D101" s="460">
        <v>146.37988000000001</v>
      </c>
      <c r="E101" s="469" t="s">
        <v>266</v>
      </c>
      <c r="F101" s="459">
        <v>16.552120762752001</v>
      </c>
      <c r="G101" s="460">
        <v>8.2760603813760003</v>
      </c>
      <c r="H101" s="462">
        <v>10.773</v>
      </c>
      <c r="I101" s="459">
        <v>60.085839999999997</v>
      </c>
      <c r="J101" s="460">
        <v>51.809779618623999</v>
      </c>
      <c r="K101" s="463">
        <v>3.630099179508</v>
      </c>
    </row>
    <row r="102" spans="1:11" ht="14.4" customHeight="1" thickBot="1" x14ac:dyDescent="0.35">
      <c r="A102" s="479" t="s">
        <v>360</v>
      </c>
      <c r="B102" s="459">
        <v>0</v>
      </c>
      <c r="C102" s="459">
        <v>146.37988000000001</v>
      </c>
      <c r="D102" s="460">
        <v>146.37988000000001</v>
      </c>
      <c r="E102" s="469" t="s">
        <v>266</v>
      </c>
      <c r="F102" s="459">
        <v>16.552120762752001</v>
      </c>
      <c r="G102" s="460">
        <v>8.2760603813760003</v>
      </c>
      <c r="H102" s="462">
        <v>10.773</v>
      </c>
      <c r="I102" s="459">
        <v>60.085839999999997</v>
      </c>
      <c r="J102" s="460">
        <v>51.809779618623999</v>
      </c>
      <c r="K102" s="463">
        <v>3.630099179508</v>
      </c>
    </row>
    <row r="103" spans="1:11" ht="14.4" customHeight="1" thickBot="1" x14ac:dyDescent="0.35">
      <c r="A103" s="480" t="s">
        <v>361</v>
      </c>
      <c r="B103" s="464">
        <v>0</v>
      </c>
      <c r="C103" s="464">
        <v>64.012879999999996</v>
      </c>
      <c r="D103" s="465">
        <v>64.012879999999996</v>
      </c>
      <c r="E103" s="466" t="s">
        <v>266</v>
      </c>
      <c r="F103" s="464">
        <v>0</v>
      </c>
      <c r="G103" s="465">
        <v>0</v>
      </c>
      <c r="H103" s="467">
        <v>0</v>
      </c>
      <c r="I103" s="464">
        <v>17.758839999999999</v>
      </c>
      <c r="J103" s="465">
        <v>17.758839999999999</v>
      </c>
      <c r="K103" s="468" t="s">
        <v>266</v>
      </c>
    </row>
    <row r="104" spans="1:11" ht="14.4" customHeight="1" thickBot="1" x14ac:dyDescent="0.35">
      <c r="A104" s="481" t="s">
        <v>362</v>
      </c>
      <c r="B104" s="459">
        <v>0</v>
      </c>
      <c r="C104" s="459">
        <v>1.7878799999999999</v>
      </c>
      <c r="D104" s="460">
        <v>1.7878799999999999</v>
      </c>
      <c r="E104" s="469" t="s">
        <v>291</v>
      </c>
      <c r="F104" s="459">
        <v>0</v>
      </c>
      <c r="G104" s="460">
        <v>0</v>
      </c>
      <c r="H104" s="462">
        <v>0</v>
      </c>
      <c r="I104" s="459">
        <v>0</v>
      </c>
      <c r="J104" s="460">
        <v>0</v>
      </c>
      <c r="K104" s="470" t="s">
        <v>266</v>
      </c>
    </row>
    <row r="105" spans="1:11" ht="14.4" customHeight="1" thickBot="1" x14ac:dyDescent="0.35">
      <c r="A105" s="481" t="s">
        <v>363</v>
      </c>
      <c r="B105" s="459">
        <v>0</v>
      </c>
      <c r="C105" s="459">
        <v>62.225000000000001</v>
      </c>
      <c r="D105" s="460">
        <v>62.225000000000001</v>
      </c>
      <c r="E105" s="469" t="s">
        <v>266</v>
      </c>
      <c r="F105" s="459">
        <v>0</v>
      </c>
      <c r="G105" s="460">
        <v>0</v>
      </c>
      <c r="H105" s="462">
        <v>0</v>
      </c>
      <c r="I105" s="459">
        <v>17.64884</v>
      </c>
      <c r="J105" s="460">
        <v>17.64884</v>
      </c>
      <c r="K105" s="470" t="s">
        <v>266</v>
      </c>
    </row>
    <row r="106" spans="1:11" ht="14.4" customHeight="1" thickBot="1" x14ac:dyDescent="0.35">
      <c r="A106" s="481" t="s">
        <v>364</v>
      </c>
      <c r="B106" s="459">
        <v>0</v>
      </c>
      <c r="C106" s="459">
        <v>0</v>
      </c>
      <c r="D106" s="460">
        <v>0</v>
      </c>
      <c r="E106" s="469" t="s">
        <v>266</v>
      </c>
      <c r="F106" s="459">
        <v>0</v>
      </c>
      <c r="G106" s="460">
        <v>0</v>
      </c>
      <c r="H106" s="462">
        <v>0</v>
      </c>
      <c r="I106" s="459">
        <v>0.11</v>
      </c>
      <c r="J106" s="460">
        <v>0.11</v>
      </c>
      <c r="K106" s="470" t="s">
        <v>291</v>
      </c>
    </row>
    <row r="107" spans="1:11" ht="14.4" customHeight="1" thickBot="1" x14ac:dyDescent="0.35">
      <c r="A107" s="483" t="s">
        <v>365</v>
      </c>
      <c r="B107" s="459">
        <v>0</v>
      </c>
      <c r="C107" s="459">
        <v>0</v>
      </c>
      <c r="D107" s="460">
        <v>0</v>
      </c>
      <c r="E107" s="461">
        <v>1</v>
      </c>
      <c r="F107" s="459">
        <v>0</v>
      </c>
      <c r="G107" s="460">
        <v>0</v>
      </c>
      <c r="H107" s="462">
        <v>0</v>
      </c>
      <c r="I107" s="459">
        <v>17.454000000000001</v>
      </c>
      <c r="J107" s="460">
        <v>17.454000000000001</v>
      </c>
      <c r="K107" s="470" t="s">
        <v>291</v>
      </c>
    </row>
    <row r="108" spans="1:11" ht="14.4" customHeight="1" thickBot="1" x14ac:dyDescent="0.35">
      <c r="A108" s="481" t="s">
        <v>366</v>
      </c>
      <c r="B108" s="459">
        <v>0</v>
      </c>
      <c r="C108" s="459">
        <v>0</v>
      </c>
      <c r="D108" s="460">
        <v>0</v>
      </c>
      <c r="E108" s="461">
        <v>1</v>
      </c>
      <c r="F108" s="459">
        <v>0</v>
      </c>
      <c r="G108" s="460">
        <v>0</v>
      </c>
      <c r="H108" s="462">
        <v>0</v>
      </c>
      <c r="I108" s="459">
        <v>17.454000000000001</v>
      </c>
      <c r="J108" s="460">
        <v>17.454000000000001</v>
      </c>
      <c r="K108" s="470" t="s">
        <v>291</v>
      </c>
    </row>
    <row r="109" spans="1:11" ht="14.4" customHeight="1" thickBot="1" x14ac:dyDescent="0.35">
      <c r="A109" s="483" t="s">
        <v>367</v>
      </c>
      <c r="B109" s="459">
        <v>0</v>
      </c>
      <c r="C109" s="459">
        <v>22.65</v>
      </c>
      <c r="D109" s="460">
        <v>22.65</v>
      </c>
      <c r="E109" s="469" t="s">
        <v>266</v>
      </c>
      <c r="F109" s="459">
        <v>16.552120762752001</v>
      </c>
      <c r="G109" s="460">
        <v>8.2760603813760003</v>
      </c>
      <c r="H109" s="462">
        <v>0</v>
      </c>
      <c r="I109" s="459">
        <v>9.1</v>
      </c>
      <c r="J109" s="460">
        <v>0.82393961862300003</v>
      </c>
      <c r="K109" s="463">
        <v>0.54977849246199995</v>
      </c>
    </row>
    <row r="110" spans="1:11" ht="14.4" customHeight="1" thickBot="1" x14ac:dyDescent="0.35">
      <c r="A110" s="481" t="s">
        <v>368</v>
      </c>
      <c r="B110" s="459">
        <v>0</v>
      </c>
      <c r="C110" s="459">
        <v>22.65</v>
      </c>
      <c r="D110" s="460">
        <v>22.65</v>
      </c>
      <c r="E110" s="469" t="s">
        <v>266</v>
      </c>
      <c r="F110" s="459">
        <v>16.552120762752001</v>
      </c>
      <c r="G110" s="460">
        <v>8.2760603813760003</v>
      </c>
      <c r="H110" s="462">
        <v>0</v>
      </c>
      <c r="I110" s="459">
        <v>9.1</v>
      </c>
      <c r="J110" s="460">
        <v>0.82393961862300003</v>
      </c>
      <c r="K110" s="463">
        <v>0.54977849246199995</v>
      </c>
    </row>
    <row r="111" spans="1:11" ht="14.4" customHeight="1" thickBot="1" x14ac:dyDescent="0.35">
      <c r="A111" s="483" t="s">
        <v>369</v>
      </c>
      <c r="B111" s="459">
        <v>0</v>
      </c>
      <c r="C111" s="459">
        <v>27.114000000000001</v>
      </c>
      <c r="D111" s="460">
        <v>27.114000000000001</v>
      </c>
      <c r="E111" s="469" t="s">
        <v>266</v>
      </c>
      <c r="F111" s="459">
        <v>0</v>
      </c>
      <c r="G111" s="460">
        <v>0</v>
      </c>
      <c r="H111" s="462">
        <v>0</v>
      </c>
      <c r="I111" s="459">
        <v>5</v>
      </c>
      <c r="J111" s="460">
        <v>5</v>
      </c>
      <c r="K111" s="470" t="s">
        <v>266</v>
      </c>
    </row>
    <row r="112" spans="1:11" ht="14.4" customHeight="1" thickBot="1" x14ac:dyDescent="0.35">
      <c r="A112" s="481" t="s">
        <v>370</v>
      </c>
      <c r="B112" s="459">
        <v>0</v>
      </c>
      <c r="C112" s="459">
        <v>27.114000000000001</v>
      </c>
      <c r="D112" s="460">
        <v>27.114000000000001</v>
      </c>
      <c r="E112" s="469" t="s">
        <v>266</v>
      </c>
      <c r="F112" s="459">
        <v>0</v>
      </c>
      <c r="G112" s="460">
        <v>0</v>
      </c>
      <c r="H112" s="462">
        <v>0</v>
      </c>
      <c r="I112" s="459">
        <v>5</v>
      </c>
      <c r="J112" s="460">
        <v>5</v>
      </c>
      <c r="K112" s="470" t="s">
        <v>266</v>
      </c>
    </row>
    <row r="113" spans="1:11" ht="14.4" customHeight="1" thickBot="1" x14ac:dyDescent="0.35">
      <c r="A113" s="483" t="s">
        <v>371</v>
      </c>
      <c r="B113" s="459">
        <v>0</v>
      </c>
      <c r="C113" s="459">
        <v>32.603000000000002</v>
      </c>
      <c r="D113" s="460">
        <v>32.603000000000002</v>
      </c>
      <c r="E113" s="469" t="s">
        <v>266</v>
      </c>
      <c r="F113" s="459">
        <v>0</v>
      </c>
      <c r="G113" s="460">
        <v>0</v>
      </c>
      <c r="H113" s="462">
        <v>10.773</v>
      </c>
      <c r="I113" s="459">
        <v>10.773</v>
      </c>
      <c r="J113" s="460">
        <v>10.773</v>
      </c>
      <c r="K113" s="470" t="s">
        <v>266</v>
      </c>
    </row>
    <row r="114" spans="1:11" ht="14.4" customHeight="1" thickBot="1" x14ac:dyDescent="0.35">
      <c r="A114" s="481" t="s">
        <v>372</v>
      </c>
      <c r="B114" s="459">
        <v>0</v>
      </c>
      <c r="C114" s="459">
        <v>32.603000000000002</v>
      </c>
      <c r="D114" s="460">
        <v>32.603000000000002</v>
      </c>
      <c r="E114" s="469" t="s">
        <v>266</v>
      </c>
      <c r="F114" s="459">
        <v>0</v>
      </c>
      <c r="G114" s="460">
        <v>0</v>
      </c>
      <c r="H114" s="462">
        <v>10.773</v>
      </c>
      <c r="I114" s="459">
        <v>10.773</v>
      </c>
      <c r="J114" s="460">
        <v>10.773</v>
      </c>
      <c r="K114" s="470" t="s">
        <v>266</v>
      </c>
    </row>
    <row r="115" spans="1:11" ht="14.4" customHeight="1" thickBot="1" x14ac:dyDescent="0.35">
      <c r="A115" s="478" t="s">
        <v>373</v>
      </c>
      <c r="B115" s="459">
        <v>1184</v>
      </c>
      <c r="C115" s="459">
        <v>1378.4770699999999</v>
      </c>
      <c r="D115" s="460">
        <v>194.47706999999801</v>
      </c>
      <c r="E115" s="461">
        <v>1.1642542820940001</v>
      </c>
      <c r="F115" s="459">
        <v>1274.76838900639</v>
      </c>
      <c r="G115" s="460">
        <v>637.38419450319702</v>
      </c>
      <c r="H115" s="462">
        <v>168.88083</v>
      </c>
      <c r="I115" s="459">
        <v>717.87583000000097</v>
      </c>
      <c r="J115" s="460">
        <v>80.491635496803994</v>
      </c>
      <c r="K115" s="463">
        <v>0.56314216464</v>
      </c>
    </row>
    <row r="116" spans="1:11" ht="14.4" customHeight="1" thickBot="1" x14ac:dyDescent="0.35">
      <c r="A116" s="479" t="s">
        <v>374</v>
      </c>
      <c r="B116" s="459">
        <v>1167</v>
      </c>
      <c r="C116" s="459">
        <v>1204.3779999999999</v>
      </c>
      <c r="D116" s="460">
        <v>37.377999999998003</v>
      </c>
      <c r="E116" s="461">
        <v>1.0320291345320001</v>
      </c>
      <c r="F116" s="459">
        <v>1274.76838900639</v>
      </c>
      <c r="G116" s="460">
        <v>637.38419450319702</v>
      </c>
      <c r="H116" s="462">
        <v>109.79900000000001</v>
      </c>
      <c r="I116" s="459">
        <v>658.79400000000101</v>
      </c>
      <c r="J116" s="460">
        <v>21.409805496804001</v>
      </c>
      <c r="K116" s="463">
        <v>0.51679505522799996</v>
      </c>
    </row>
    <row r="117" spans="1:11" ht="14.4" customHeight="1" thickBot="1" x14ac:dyDescent="0.35">
      <c r="A117" s="480" t="s">
        <v>375</v>
      </c>
      <c r="B117" s="464">
        <v>1167</v>
      </c>
      <c r="C117" s="464">
        <v>1204.3779999999999</v>
      </c>
      <c r="D117" s="465">
        <v>37.377999999998003</v>
      </c>
      <c r="E117" s="471">
        <v>1.0320291345320001</v>
      </c>
      <c r="F117" s="464">
        <v>1274.76838900639</v>
      </c>
      <c r="G117" s="465">
        <v>637.38419450319702</v>
      </c>
      <c r="H117" s="467">
        <v>109.79900000000001</v>
      </c>
      <c r="I117" s="464">
        <v>658.79400000000101</v>
      </c>
      <c r="J117" s="465">
        <v>21.409805496804001</v>
      </c>
      <c r="K117" s="472">
        <v>0.51679505522799996</v>
      </c>
    </row>
    <row r="118" spans="1:11" ht="14.4" customHeight="1" thickBot="1" x14ac:dyDescent="0.35">
      <c r="A118" s="481" t="s">
        <v>376</v>
      </c>
      <c r="B118" s="459">
        <v>42</v>
      </c>
      <c r="C118" s="459">
        <v>42.335999999999999</v>
      </c>
      <c r="D118" s="460">
        <v>0.33599999999899999</v>
      </c>
      <c r="E118" s="461">
        <v>1.008</v>
      </c>
      <c r="F118" s="459">
        <v>44.992838238300997</v>
      </c>
      <c r="G118" s="460">
        <v>22.496419119150001</v>
      </c>
      <c r="H118" s="462">
        <v>3.528</v>
      </c>
      <c r="I118" s="459">
        <v>21.167999999999999</v>
      </c>
      <c r="J118" s="460">
        <v>-1.3284191191500001</v>
      </c>
      <c r="K118" s="463">
        <v>0.47047487619799999</v>
      </c>
    </row>
    <row r="119" spans="1:11" ht="14.4" customHeight="1" thickBot="1" x14ac:dyDescent="0.35">
      <c r="A119" s="481" t="s">
        <v>377</v>
      </c>
      <c r="B119" s="459">
        <v>423.00000000000102</v>
      </c>
      <c r="C119" s="459">
        <v>440.11099999999999</v>
      </c>
      <c r="D119" s="460">
        <v>17.110999999998999</v>
      </c>
      <c r="E119" s="461">
        <v>1.0404515366430001</v>
      </c>
      <c r="F119" s="459">
        <v>467.73060822696999</v>
      </c>
      <c r="G119" s="460">
        <v>233.865304113485</v>
      </c>
      <c r="H119" s="462">
        <v>41.405000000000001</v>
      </c>
      <c r="I119" s="459">
        <v>248.43</v>
      </c>
      <c r="J119" s="460">
        <v>14.564695886515</v>
      </c>
      <c r="K119" s="463">
        <v>0.531139069435</v>
      </c>
    </row>
    <row r="120" spans="1:11" ht="14.4" customHeight="1" thickBot="1" x14ac:dyDescent="0.35">
      <c r="A120" s="481" t="s">
        <v>378</v>
      </c>
      <c r="B120" s="459">
        <v>698.00000000000102</v>
      </c>
      <c r="C120" s="459">
        <v>712.26700000000005</v>
      </c>
      <c r="D120" s="460">
        <v>14.266999999998999</v>
      </c>
      <c r="E120" s="461">
        <v>1.02043982808</v>
      </c>
      <c r="F120" s="459">
        <v>756.966031592028</v>
      </c>
      <c r="G120" s="460">
        <v>378.483015796014</v>
      </c>
      <c r="H120" s="462">
        <v>59.557000000000002</v>
      </c>
      <c r="I120" s="459">
        <v>357.34199999999998</v>
      </c>
      <c r="J120" s="460">
        <v>-21.141015796013001</v>
      </c>
      <c r="K120" s="463">
        <v>0.47207138112699998</v>
      </c>
    </row>
    <row r="121" spans="1:11" ht="14.4" customHeight="1" thickBot="1" x14ac:dyDescent="0.35">
      <c r="A121" s="481" t="s">
        <v>379</v>
      </c>
      <c r="B121" s="459">
        <v>0</v>
      </c>
      <c r="C121" s="459">
        <v>4.8849999999989997</v>
      </c>
      <c r="D121" s="460">
        <v>4.8849999999989997</v>
      </c>
      <c r="E121" s="469" t="s">
        <v>291</v>
      </c>
      <c r="F121" s="459">
        <v>0</v>
      </c>
      <c r="G121" s="460">
        <v>0</v>
      </c>
      <c r="H121" s="462">
        <v>4.8849999999999998</v>
      </c>
      <c r="I121" s="459">
        <v>29.31</v>
      </c>
      <c r="J121" s="460">
        <v>29.31</v>
      </c>
      <c r="K121" s="470" t="s">
        <v>291</v>
      </c>
    </row>
    <row r="122" spans="1:11" ht="14.4" customHeight="1" thickBot="1" x14ac:dyDescent="0.35">
      <c r="A122" s="481" t="s">
        <v>380</v>
      </c>
      <c r="B122" s="459">
        <v>4</v>
      </c>
      <c r="C122" s="459">
        <v>4.7789999999999999</v>
      </c>
      <c r="D122" s="460">
        <v>0.77899999999900005</v>
      </c>
      <c r="E122" s="461">
        <v>1.19475</v>
      </c>
      <c r="F122" s="459">
        <v>5.0789109490930002</v>
      </c>
      <c r="G122" s="460">
        <v>2.5394554745460001</v>
      </c>
      <c r="H122" s="462">
        <v>0.42399999999999999</v>
      </c>
      <c r="I122" s="459">
        <v>2.544</v>
      </c>
      <c r="J122" s="460">
        <v>4.5445254530000001E-3</v>
      </c>
      <c r="K122" s="463">
        <v>0.50089478344799998</v>
      </c>
    </row>
    <row r="123" spans="1:11" ht="14.4" customHeight="1" thickBot="1" x14ac:dyDescent="0.35">
      <c r="A123" s="479" t="s">
        <v>381</v>
      </c>
      <c r="B123" s="459">
        <v>17</v>
      </c>
      <c r="C123" s="459">
        <v>174.09907000000001</v>
      </c>
      <c r="D123" s="460">
        <v>157.09907000000001</v>
      </c>
      <c r="E123" s="461">
        <v>10.241121764704999</v>
      </c>
      <c r="F123" s="459">
        <v>0</v>
      </c>
      <c r="G123" s="460">
        <v>0</v>
      </c>
      <c r="H123" s="462">
        <v>59.081829999999997</v>
      </c>
      <c r="I123" s="459">
        <v>59.081829999999997</v>
      </c>
      <c r="J123" s="460">
        <v>59.081829999999997</v>
      </c>
      <c r="K123" s="470" t="s">
        <v>266</v>
      </c>
    </row>
    <row r="124" spans="1:11" ht="14.4" customHeight="1" thickBot="1" x14ac:dyDescent="0.35">
      <c r="A124" s="480" t="s">
        <v>382</v>
      </c>
      <c r="B124" s="464">
        <v>17</v>
      </c>
      <c r="C124" s="464">
        <v>69.904999999999006</v>
      </c>
      <c r="D124" s="465">
        <v>52.904999999998999</v>
      </c>
      <c r="E124" s="471">
        <v>4.1120588235289999</v>
      </c>
      <c r="F124" s="464">
        <v>0</v>
      </c>
      <c r="G124" s="465">
        <v>0</v>
      </c>
      <c r="H124" s="467">
        <v>52.291829999999997</v>
      </c>
      <c r="I124" s="464">
        <v>52.291829999999997</v>
      </c>
      <c r="J124" s="465">
        <v>52.291829999999997</v>
      </c>
      <c r="K124" s="468" t="s">
        <v>266</v>
      </c>
    </row>
    <row r="125" spans="1:11" ht="14.4" customHeight="1" thickBot="1" x14ac:dyDescent="0.35">
      <c r="A125" s="481" t="s">
        <v>383</v>
      </c>
      <c r="B125" s="459">
        <v>17</v>
      </c>
      <c r="C125" s="459">
        <v>69.904999999999006</v>
      </c>
      <c r="D125" s="460">
        <v>52.904999999998999</v>
      </c>
      <c r="E125" s="461">
        <v>4.1120588235289999</v>
      </c>
      <c r="F125" s="459">
        <v>0</v>
      </c>
      <c r="G125" s="460">
        <v>0</v>
      </c>
      <c r="H125" s="462">
        <v>52.291829999999997</v>
      </c>
      <c r="I125" s="459">
        <v>52.291829999999997</v>
      </c>
      <c r="J125" s="460">
        <v>52.291829999999997</v>
      </c>
      <c r="K125" s="470" t="s">
        <v>266</v>
      </c>
    </row>
    <row r="126" spans="1:11" ht="14.4" customHeight="1" thickBot="1" x14ac:dyDescent="0.35">
      <c r="A126" s="480" t="s">
        <v>384</v>
      </c>
      <c r="B126" s="464">
        <v>0</v>
      </c>
      <c r="C126" s="464">
        <v>14.46918</v>
      </c>
      <c r="D126" s="465">
        <v>14.46918</v>
      </c>
      <c r="E126" s="466" t="s">
        <v>291</v>
      </c>
      <c r="F126" s="464">
        <v>0</v>
      </c>
      <c r="G126" s="465">
        <v>0</v>
      </c>
      <c r="H126" s="467">
        <v>0</v>
      </c>
      <c r="I126" s="464">
        <v>0</v>
      </c>
      <c r="J126" s="465">
        <v>0</v>
      </c>
      <c r="K126" s="468" t="s">
        <v>266</v>
      </c>
    </row>
    <row r="127" spans="1:11" ht="14.4" customHeight="1" thickBot="1" x14ac:dyDescent="0.35">
      <c r="A127" s="481" t="s">
        <v>385</v>
      </c>
      <c r="B127" s="459">
        <v>0</v>
      </c>
      <c r="C127" s="459">
        <v>14.46918</v>
      </c>
      <c r="D127" s="460">
        <v>14.46918</v>
      </c>
      <c r="E127" s="469" t="s">
        <v>291</v>
      </c>
      <c r="F127" s="459">
        <v>0</v>
      </c>
      <c r="G127" s="460">
        <v>0</v>
      </c>
      <c r="H127" s="462">
        <v>0</v>
      </c>
      <c r="I127" s="459">
        <v>0</v>
      </c>
      <c r="J127" s="460">
        <v>0</v>
      </c>
      <c r="K127" s="470" t="s">
        <v>266</v>
      </c>
    </row>
    <row r="128" spans="1:11" ht="14.4" customHeight="1" thickBot="1" x14ac:dyDescent="0.35">
      <c r="A128" s="480" t="s">
        <v>386</v>
      </c>
      <c r="B128" s="464">
        <v>0</v>
      </c>
      <c r="C128" s="464">
        <v>89.724890000000002</v>
      </c>
      <c r="D128" s="465">
        <v>89.724890000000002</v>
      </c>
      <c r="E128" s="466" t="s">
        <v>291</v>
      </c>
      <c r="F128" s="464">
        <v>0</v>
      </c>
      <c r="G128" s="465">
        <v>0</v>
      </c>
      <c r="H128" s="467">
        <v>0</v>
      </c>
      <c r="I128" s="464">
        <v>0</v>
      </c>
      <c r="J128" s="465">
        <v>0</v>
      </c>
      <c r="K128" s="468" t="s">
        <v>266</v>
      </c>
    </row>
    <row r="129" spans="1:11" ht="14.4" customHeight="1" thickBot="1" x14ac:dyDescent="0.35">
      <c r="A129" s="481" t="s">
        <v>387</v>
      </c>
      <c r="B129" s="459">
        <v>0</v>
      </c>
      <c r="C129" s="459">
        <v>89.724890000000002</v>
      </c>
      <c r="D129" s="460">
        <v>89.724890000000002</v>
      </c>
      <c r="E129" s="469" t="s">
        <v>291</v>
      </c>
      <c r="F129" s="459">
        <v>0</v>
      </c>
      <c r="G129" s="460">
        <v>0</v>
      </c>
      <c r="H129" s="462">
        <v>0</v>
      </c>
      <c r="I129" s="459">
        <v>0</v>
      </c>
      <c r="J129" s="460">
        <v>0</v>
      </c>
      <c r="K129" s="470" t="s">
        <v>266</v>
      </c>
    </row>
    <row r="130" spans="1:11" ht="14.4" customHeight="1" thickBot="1" x14ac:dyDescent="0.35">
      <c r="A130" s="480" t="s">
        <v>388</v>
      </c>
      <c r="B130" s="464">
        <v>0</v>
      </c>
      <c r="C130" s="464">
        <v>0</v>
      </c>
      <c r="D130" s="465">
        <v>0</v>
      </c>
      <c r="E130" s="471">
        <v>1</v>
      </c>
      <c r="F130" s="464">
        <v>0</v>
      </c>
      <c r="G130" s="465">
        <v>0</v>
      </c>
      <c r="H130" s="467">
        <v>6.79</v>
      </c>
      <c r="I130" s="464">
        <v>6.79</v>
      </c>
      <c r="J130" s="465">
        <v>6.79</v>
      </c>
      <c r="K130" s="468" t="s">
        <v>291</v>
      </c>
    </row>
    <row r="131" spans="1:11" ht="14.4" customHeight="1" thickBot="1" x14ac:dyDescent="0.35">
      <c r="A131" s="481" t="s">
        <v>389</v>
      </c>
      <c r="B131" s="459">
        <v>0</v>
      </c>
      <c r="C131" s="459">
        <v>0</v>
      </c>
      <c r="D131" s="460">
        <v>0</v>
      </c>
      <c r="E131" s="461">
        <v>1</v>
      </c>
      <c r="F131" s="459">
        <v>0</v>
      </c>
      <c r="G131" s="460">
        <v>0</v>
      </c>
      <c r="H131" s="462">
        <v>6.79</v>
      </c>
      <c r="I131" s="459">
        <v>6.79</v>
      </c>
      <c r="J131" s="460">
        <v>6.79</v>
      </c>
      <c r="K131" s="470" t="s">
        <v>291</v>
      </c>
    </row>
    <row r="132" spans="1:11" ht="14.4" customHeight="1" thickBot="1" x14ac:dyDescent="0.35">
      <c r="A132" s="478" t="s">
        <v>390</v>
      </c>
      <c r="B132" s="459">
        <v>0</v>
      </c>
      <c r="C132" s="459">
        <v>0.16608000000000001</v>
      </c>
      <c r="D132" s="460">
        <v>0.16608000000000001</v>
      </c>
      <c r="E132" s="469" t="s">
        <v>266</v>
      </c>
      <c r="F132" s="459">
        <v>0</v>
      </c>
      <c r="G132" s="460">
        <v>0</v>
      </c>
      <c r="H132" s="462">
        <v>0</v>
      </c>
      <c r="I132" s="459">
        <v>0</v>
      </c>
      <c r="J132" s="460">
        <v>0</v>
      </c>
      <c r="K132" s="470" t="s">
        <v>266</v>
      </c>
    </row>
    <row r="133" spans="1:11" ht="14.4" customHeight="1" thickBot="1" x14ac:dyDescent="0.35">
      <c r="A133" s="479" t="s">
        <v>391</v>
      </c>
      <c r="B133" s="459">
        <v>0</v>
      </c>
      <c r="C133" s="459">
        <v>0.16608000000000001</v>
      </c>
      <c r="D133" s="460">
        <v>0.16608000000000001</v>
      </c>
      <c r="E133" s="469" t="s">
        <v>266</v>
      </c>
      <c r="F133" s="459">
        <v>0</v>
      </c>
      <c r="G133" s="460">
        <v>0</v>
      </c>
      <c r="H133" s="462">
        <v>0</v>
      </c>
      <c r="I133" s="459">
        <v>0</v>
      </c>
      <c r="J133" s="460">
        <v>0</v>
      </c>
      <c r="K133" s="470" t="s">
        <v>266</v>
      </c>
    </row>
    <row r="134" spans="1:11" ht="14.4" customHeight="1" thickBot="1" x14ac:dyDescent="0.35">
      <c r="A134" s="480" t="s">
        <v>392</v>
      </c>
      <c r="B134" s="464">
        <v>0</v>
      </c>
      <c r="C134" s="464">
        <v>0.16608000000000001</v>
      </c>
      <c r="D134" s="465">
        <v>0.16608000000000001</v>
      </c>
      <c r="E134" s="466" t="s">
        <v>266</v>
      </c>
      <c r="F134" s="464">
        <v>0</v>
      </c>
      <c r="G134" s="465">
        <v>0</v>
      </c>
      <c r="H134" s="467">
        <v>0</v>
      </c>
      <c r="I134" s="464">
        <v>0</v>
      </c>
      <c r="J134" s="465">
        <v>0</v>
      </c>
      <c r="K134" s="468" t="s">
        <v>266</v>
      </c>
    </row>
    <row r="135" spans="1:11" ht="14.4" customHeight="1" thickBot="1" x14ac:dyDescent="0.35">
      <c r="A135" s="481" t="s">
        <v>393</v>
      </c>
      <c r="B135" s="459">
        <v>0</v>
      </c>
      <c r="C135" s="459">
        <v>0.16608000000000001</v>
      </c>
      <c r="D135" s="460">
        <v>0.16608000000000001</v>
      </c>
      <c r="E135" s="469" t="s">
        <v>266</v>
      </c>
      <c r="F135" s="459">
        <v>0</v>
      </c>
      <c r="G135" s="460">
        <v>0</v>
      </c>
      <c r="H135" s="462">
        <v>0</v>
      </c>
      <c r="I135" s="459">
        <v>0</v>
      </c>
      <c r="J135" s="460">
        <v>0</v>
      </c>
      <c r="K135" s="470" t="s">
        <v>266</v>
      </c>
    </row>
    <row r="136" spans="1:11" ht="14.4" customHeight="1" thickBot="1" x14ac:dyDescent="0.35">
      <c r="A136" s="477" t="s">
        <v>394</v>
      </c>
      <c r="B136" s="459">
        <v>83879.326475502603</v>
      </c>
      <c r="C136" s="459">
        <v>81857.170740000001</v>
      </c>
      <c r="D136" s="460">
        <v>-2022.15573550259</v>
      </c>
      <c r="E136" s="461">
        <v>0.97589208425399998</v>
      </c>
      <c r="F136" s="459">
        <v>82966.4299938146</v>
      </c>
      <c r="G136" s="460">
        <v>41483.2149969073</v>
      </c>
      <c r="H136" s="462">
        <v>4514.8233799999998</v>
      </c>
      <c r="I136" s="459">
        <v>23126.91575</v>
      </c>
      <c r="J136" s="460">
        <v>-18356.2992469073</v>
      </c>
      <c r="K136" s="463">
        <v>0.27875028191099999</v>
      </c>
    </row>
    <row r="137" spans="1:11" ht="14.4" customHeight="1" thickBot="1" x14ac:dyDescent="0.35">
      <c r="A137" s="478" t="s">
        <v>395</v>
      </c>
      <c r="B137" s="459">
        <v>83852.9597242249</v>
      </c>
      <c r="C137" s="459">
        <v>81803.006630000003</v>
      </c>
      <c r="D137" s="460">
        <v>-2049.9530942248998</v>
      </c>
      <c r="E137" s="461">
        <v>0.97555300252999999</v>
      </c>
      <c r="F137" s="459">
        <v>82931.927874898494</v>
      </c>
      <c r="G137" s="460">
        <v>41465.963937449204</v>
      </c>
      <c r="H137" s="462">
        <v>4514.8233799999998</v>
      </c>
      <c r="I137" s="459">
        <v>23118.651290000002</v>
      </c>
      <c r="J137" s="460">
        <v>-18347.312647449198</v>
      </c>
      <c r="K137" s="463">
        <v>0.27876659668199999</v>
      </c>
    </row>
    <row r="138" spans="1:11" ht="14.4" customHeight="1" thickBot="1" x14ac:dyDescent="0.35">
      <c r="A138" s="479" t="s">
        <v>396</v>
      </c>
      <c r="B138" s="459">
        <v>83852.9597242249</v>
      </c>
      <c r="C138" s="459">
        <v>81803.006630000003</v>
      </c>
      <c r="D138" s="460">
        <v>-2049.9530942248998</v>
      </c>
      <c r="E138" s="461">
        <v>0.97555300252999999</v>
      </c>
      <c r="F138" s="459">
        <v>82931.927874898494</v>
      </c>
      <c r="G138" s="460">
        <v>41465.963937449204</v>
      </c>
      <c r="H138" s="462">
        <v>4514.8233799999998</v>
      </c>
      <c r="I138" s="459">
        <v>23118.651290000002</v>
      </c>
      <c r="J138" s="460">
        <v>-18347.312647449198</v>
      </c>
      <c r="K138" s="463">
        <v>0.27876659668199999</v>
      </c>
    </row>
    <row r="139" spans="1:11" ht="14.4" customHeight="1" thickBot="1" x14ac:dyDescent="0.35">
      <c r="A139" s="480" t="s">
        <v>397</v>
      </c>
      <c r="B139" s="464">
        <v>40</v>
      </c>
      <c r="C139" s="464">
        <v>36.450719999999997</v>
      </c>
      <c r="D139" s="465">
        <v>-3.54928</v>
      </c>
      <c r="E139" s="471">
        <v>0.91126799999999997</v>
      </c>
      <c r="F139" s="464">
        <v>25.991262776671999</v>
      </c>
      <c r="G139" s="465">
        <v>12.995631388335999</v>
      </c>
      <c r="H139" s="467">
        <v>5.6529999999999996</v>
      </c>
      <c r="I139" s="464">
        <v>11.305999999999999</v>
      </c>
      <c r="J139" s="465">
        <v>-1.6896313883359999</v>
      </c>
      <c r="K139" s="472">
        <v>0.43499233173599999</v>
      </c>
    </row>
    <row r="140" spans="1:11" ht="14.4" customHeight="1" thickBot="1" x14ac:dyDescent="0.35">
      <c r="A140" s="481" t="s">
        <v>398</v>
      </c>
      <c r="B140" s="459">
        <v>25</v>
      </c>
      <c r="C140" s="459">
        <v>0.26432</v>
      </c>
      <c r="D140" s="460">
        <v>-24.735679999999999</v>
      </c>
      <c r="E140" s="461">
        <v>1.05728E-2</v>
      </c>
      <c r="F140" s="459">
        <v>0.263101171473</v>
      </c>
      <c r="G140" s="460">
        <v>0.13155058573600001</v>
      </c>
      <c r="H140" s="462">
        <v>5.6529999999999996</v>
      </c>
      <c r="I140" s="459">
        <v>11.305999999999999</v>
      </c>
      <c r="J140" s="460">
        <v>11.174449414263</v>
      </c>
      <c r="K140" s="463">
        <v>0</v>
      </c>
    </row>
    <row r="141" spans="1:11" ht="14.4" customHeight="1" thickBot="1" x14ac:dyDescent="0.35">
      <c r="A141" s="481" t="s">
        <v>399</v>
      </c>
      <c r="B141" s="459">
        <v>0</v>
      </c>
      <c r="C141" s="459">
        <v>14.2364</v>
      </c>
      <c r="D141" s="460">
        <v>14.2364</v>
      </c>
      <c r="E141" s="469" t="s">
        <v>291</v>
      </c>
      <c r="F141" s="459">
        <v>2.846120438876</v>
      </c>
      <c r="G141" s="460">
        <v>1.423060219438</v>
      </c>
      <c r="H141" s="462">
        <v>0</v>
      </c>
      <c r="I141" s="459">
        <v>0</v>
      </c>
      <c r="J141" s="460">
        <v>-1.423060219438</v>
      </c>
      <c r="K141" s="463">
        <v>0</v>
      </c>
    </row>
    <row r="142" spans="1:11" ht="14.4" customHeight="1" thickBot="1" x14ac:dyDescent="0.35">
      <c r="A142" s="481" t="s">
        <v>400</v>
      </c>
      <c r="B142" s="459">
        <v>15</v>
      </c>
      <c r="C142" s="459">
        <v>21.95</v>
      </c>
      <c r="D142" s="460">
        <v>6.95</v>
      </c>
      <c r="E142" s="461">
        <v>1.4633333333330001</v>
      </c>
      <c r="F142" s="459">
        <v>22.882041166322001</v>
      </c>
      <c r="G142" s="460">
        <v>11.441020583161</v>
      </c>
      <c r="H142" s="462">
        <v>0</v>
      </c>
      <c r="I142" s="459">
        <v>0</v>
      </c>
      <c r="J142" s="460">
        <v>-11.441020583161</v>
      </c>
      <c r="K142" s="463">
        <v>0</v>
      </c>
    </row>
    <row r="143" spans="1:11" ht="14.4" customHeight="1" thickBot="1" x14ac:dyDescent="0.35">
      <c r="A143" s="480" t="s">
        <v>401</v>
      </c>
      <c r="B143" s="464">
        <v>105.95972422491801</v>
      </c>
      <c r="C143" s="464">
        <v>53.945439999999998</v>
      </c>
      <c r="D143" s="465">
        <v>-52.014284224918001</v>
      </c>
      <c r="E143" s="471">
        <v>0.50911268781200003</v>
      </c>
      <c r="F143" s="464">
        <v>37.038982367144001</v>
      </c>
      <c r="G143" s="465">
        <v>18.519491183572001</v>
      </c>
      <c r="H143" s="467">
        <v>10.985060000000001</v>
      </c>
      <c r="I143" s="464">
        <v>16.327739999999999</v>
      </c>
      <c r="J143" s="465">
        <v>-2.1917511835719998</v>
      </c>
      <c r="K143" s="472">
        <v>0.440825826102</v>
      </c>
    </row>
    <row r="144" spans="1:11" ht="14.4" customHeight="1" thickBot="1" x14ac:dyDescent="0.35">
      <c r="A144" s="481" t="s">
        <v>402</v>
      </c>
      <c r="B144" s="459">
        <v>2.9597242249179998</v>
      </c>
      <c r="C144" s="459">
        <v>53.945439999999998</v>
      </c>
      <c r="D144" s="460">
        <v>50.985715775080998</v>
      </c>
      <c r="E144" s="461">
        <v>18.226508924657001</v>
      </c>
      <c r="F144" s="459">
        <v>37.038982367144001</v>
      </c>
      <c r="G144" s="460">
        <v>18.519491183572001</v>
      </c>
      <c r="H144" s="462">
        <v>10.985060000000001</v>
      </c>
      <c r="I144" s="459">
        <v>16.327739999999999</v>
      </c>
      <c r="J144" s="460">
        <v>-2.1917511835719998</v>
      </c>
      <c r="K144" s="463">
        <v>0.440825826102</v>
      </c>
    </row>
    <row r="145" spans="1:11" ht="14.4" customHeight="1" thickBot="1" x14ac:dyDescent="0.35">
      <c r="A145" s="481" t="s">
        <v>403</v>
      </c>
      <c r="B145" s="459">
        <v>103</v>
      </c>
      <c r="C145" s="459">
        <v>0</v>
      </c>
      <c r="D145" s="460">
        <v>-103</v>
      </c>
      <c r="E145" s="461">
        <v>0</v>
      </c>
      <c r="F145" s="459">
        <v>0</v>
      </c>
      <c r="G145" s="460">
        <v>0</v>
      </c>
      <c r="H145" s="462">
        <v>0</v>
      </c>
      <c r="I145" s="459">
        <v>0</v>
      </c>
      <c r="J145" s="460">
        <v>0</v>
      </c>
      <c r="K145" s="463">
        <v>0</v>
      </c>
    </row>
    <row r="146" spans="1:11" ht="14.4" customHeight="1" thickBot="1" x14ac:dyDescent="0.35">
      <c r="A146" s="480" t="s">
        <v>404</v>
      </c>
      <c r="B146" s="464">
        <v>0</v>
      </c>
      <c r="C146" s="464">
        <v>5.0609999999999999</v>
      </c>
      <c r="D146" s="465">
        <v>5.0609999999999999</v>
      </c>
      <c r="E146" s="466" t="s">
        <v>266</v>
      </c>
      <c r="F146" s="464">
        <v>4.7208109027459999</v>
      </c>
      <c r="G146" s="465">
        <v>2.360405451373</v>
      </c>
      <c r="H146" s="467">
        <v>2.55749</v>
      </c>
      <c r="I146" s="464">
        <v>31.415759999999999</v>
      </c>
      <c r="J146" s="465">
        <v>29.055354548625999</v>
      </c>
      <c r="K146" s="472">
        <v>6.654738062421</v>
      </c>
    </row>
    <row r="147" spans="1:11" ht="14.4" customHeight="1" thickBot="1" x14ac:dyDescent="0.35">
      <c r="A147" s="481" t="s">
        <v>405</v>
      </c>
      <c r="B147" s="459">
        <v>0</v>
      </c>
      <c r="C147" s="459">
        <v>5.0609999999999999</v>
      </c>
      <c r="D147" s="460">
        <v>5.0609999999999999</v>
      </c>
      <c r="E147" s="469" t="s">
        <v>266</v>
      </c>
      <c r="F147" s="459">
        <v>4.7208109027459999</v>
      </c>
      <c r="G147" s="460">
        <v>2.360405451373</v>
      </c>
      <c r="H147" s="462">
        <v>2.55749</v>
      </c>
      <c r="I147" s="459">
        <v>28.41216</v>
      </c>
      <c r="J147" s="460">
        <v>26.051754548626</v>
      </c>
      <c r="K147" s="463">
        <v>6.0184914382969996</v>
      </c>
    </row>
    <row r="148" spans="1:11" ht="14.4" customHeight="1" thickBot="1" x14ac:dyDescent="0.35">
      <c r="A148" s="481" t="s">
        <v>406</v>
      </c>
      <c r="B148" s="459">
        <v>0</v>
      </c>
      <c r="C148" s="459">
        <v>-6.6613381477509402E-16</v>
      </c>
      <c r="D148" s="460">
        <v>-6.6613381477509402E-16</v>
      </c>
      <c r="E148" s="469" t="s">
        <v>266</v>
      </c>
      <c r="F148" s="459">
        <v>0</v>
      </c>
      <c r="G148" s="460">
        <v>0</v>
      </c>
      <c r="H148" s="462">
        <v>0</v>
      </c>
      <c r="I148" s="459">
        <v>3.0036</v>
      </c>
      <c r="J148" s="460">
        <v>3.0036</v>
      </c>
      <c r="K148" s="470" t="s">
        <v>266</v>
      </c>
    </row>
    <row r="149" spans="1:11" ht="14.4" customHeight="1" thickBot="1" x14ac:dyDescent="0.35">
      <c r="A149" s="480" t="s">
        <v>407</v>
      </c>
      <c r="B149" s="464">
        <v>83707</v>
      </c>
      <c r="C149" s="464">
        <v>79311.177840000004</v>
      </c>
      <c r="D149" s="465">
        <v>-4395.8221599999797</v>
      </c>
      <c r="E149" s="471">
        <v>0.94748560860999997</v>
      </c>
      <c r="F149" s="464">
        <v>82864.176818851905</v>
      </c>
      <c r="G149" s="465">
        <v>41432.088409425996</v>
      </c>
      <c r="H149" s="467">
        <v>3126.1800600000001</v>
      </c>
      <c r="I149" s="464">
        <v>19824.885320000001</v>
      </c>
      <c r="J149" s="465">
        <v>-21607.203089425999</v>
      </c>
      <c r="K149" s="472">
        <v>0.239245547123</v>
      </c>
    </row>
    <row r="150" spans="1:11" ht="14.4" customHeight="1" thickBot="1" x14ac:dyDescent="0.35">
      <c r="A150" s="481" t="s">
        <v>408</v>
      </c>
      <c r="B150" s="459">
        <v>32237</v>
      </c>
      <c r="C150" s="459">
        <v>30860.470740000001</v>
      </c>
      <c r="D150" s="460">
        <v>-1376.52925999999</v>
      </c>
      <c r="E150" s="461">
        <v>0.95729970965</v>
      </c>
      <c r="F150" s="459">
        <v>33634.274548514797</v>
      </c>
      <c r="G150" s="460">
        <v>16817.137274257399</v>
      </c>
      <c r="H150" s="462">
        <v>1133.44067</v>
      </c>
      <c r="I150" s="459">
        <v>7467.8257199999998</v>
      </c>
      <c r="J150" s="460">
        <v>-9349.3115542574105</v>
      </c>
      <c r="K150" s="463">
        <v>0.22203023018099999</v>
      </c>
    </row>
    <row r="151" spans="1:11" ht="14.4" customHeight="1" thickBot="1" x14ac:dyDescent="0.35">
      <c r="A151" s="481" t="s">
        <v>409</v>
      </c>
      <c r="B151" s="459">
        <v>51470</v>
      </c>
      <c r="C151" s="459">
        <v>48450.7071</v>
      </c>
      <c r="D151" s="460">
        <v>-3019.2928999999999</v>
      </c>
      <c r="E151" s="461">
        <v>0.94133878181399999</v>
      </c>
      <c r="F151" s="459">
        <v>49229.902270337101</v>
      </c>
      <c r="G151" s="460">
        <v>24614.951135168601</v>
      </c>
      <c r="H151" s="462">
        <v>1992.73939</v>
      </c>
      <c r="I151" s="459">
        <v>12357.059600000001</v>
      </c>
      <c r="J151" s="460">
        <v>-12257.891535168499</v>
      </c>
      <c r="K151" s="463">
        <v>0.25100719339499999</v>
      </c>
    </row>
    <row r="152" spans="1:11" ht="14.4" customHeight="1" thickBot="1" x14ac:dyDescent="0.35">
      <c r="A152" s="480" t="s">
        <v>410</v>
      </c>
      <c r="B152" s="464">
        <v>0</v>
      </c>
      <c r="C152" s="464">
        <v>2396.3716300000001</v>
      </c>
      <c r="D152" s="465">
        <v>2396.3716300000001</v>
      </c>
      <c r="E152" s="466" t="s">
        <v>266</v>
      </c>
      <c r="F152" s="464">
        <v>0</v>
      </c>
      <c r="G152" s="465">
        <v>0</v>
      </c>
      <c r="H152" s="467">
        <v>1369.44777</v>
      </c>
      <c r="I152" s="464">
        <v>3234.7164699999998</v>
      </c>
      <c r="J152" s="465">
        <v>3234.7164699999998</v>
      </c>
      <c r="K152" s="468" t="s">
        <v>266</v>
      </c>
    </row>
    <row r="153" spans="1:11" ht="14.4" customHeight="1" thickBot="1" x14ac:dyDescent="0.35">
      <c r="A153" s="481" t="s">
        <v>411</v>
      </c>
      <c r="B153" s="459">
        <v>0</v>
      </c>
      <c r="C153" s="459">
        <v>1562.8987400000001</v>
      </c>
      <c r="D153" s="460">
        <v>1562.8987400000001</v>
      </c>
      <c r="E153" s="469" t="s">
        <v>266</v>
      </c>
      <c r="F153" s="459">
        <v>0</v>
      </c>
      <c r="G153" s="460">
        <v>0</v>
      </c>
      <c r="H153" s="462">
        <v>1009.5195</v>
      </c>
      <c r="I153" s="459">
        <v>1009.5195</v>
      </c>
      <c r="J153" s="460">
        <v>1009.5195</v>
      </c>
      <c r="K153" s="470" t="s">
        <v>266</v>
      </c>
    </row>
    <row r="154" spans="1:11" ht="14.4" customHeight="1" thickBot="1" x14ac:dyDescent="0.35">
      <c r="A154" s="481" t="s">
        <v>412</v>
      </c>
      <c r="B154" s="459">
        <v>0</v>
      </c>
      <c r="C154" s="459">
        <v>833.47289000000001</v>
      </c>
      <c r="D154" s="460">
        <v>833.47289000000001</v>
      </c>
      <c r="E154" s="469" t="s">
        <v>266</v>
      </c>
      <c r="F154" s="459">
        <v>0</v>
      </c>
      <c r="G154" s="460">
        <v>0</v>
      </c>
      <c r="H154" s="462">
        <v>359.92827</v>
      </c>
      <c r="I154" s="459">
        <v>2225.19697</v>
      </c>
      <c r="J154" s="460">
        <v>2225.19697</v>
      </c>
      <c r="K154" s="470" t="s">
        <v>266</v>
      </c>
    </row>
    <row r="155" spans="1:11" ht="14.4" customHeight="1" thickBot="1" x14ac:dyDescent="0.35">
      <c r="A155" s="478" t="s">
        <v>413</v>
      </c>
      <c r="B155" s="459">
        <v>26.366751277681001</v>
      </c>
      <c r="C155" s="459">
        <v>53.25376</v>
      </c>
      <c r="D155" s="460">
        <v>26.887008722318001</v>
      </c>
      <c r="E155" s="461">
        <v>2.0197315717489999</v>
      </c>
      <c r="F155" s="459">
        <v>34.502118916157997</v>
      </c>
      <c r="G155" s="460">
        <v>17.251059458078998</v>
      </c>
      <c r="H155" s="462">
        <v>0</v>
      </c>
      <c r="I155" s="459">
        <v>8.2644599999999997</v>
      </c>
      <c r="J155" s="460">
        <v>-8.9865994580790005</v>
      </c>
      <c r="K155" s="463">
        <v>0.239534853499</v>
      </c>
    </row>
    <row r="156" spans="1:11" ht="14.4" customHeight="1" thickBot="1" x14ac:dyDescent="0.35">
      <c r="A156" s="479" t="s">
        <v>414</v>
      </c>
      <c r="B156" s="459">
        <v>0</v>
      </c>
      <c r="C156" s="459">
        <v>30.75</v>
      </c>
      <c r="D156" s="460">
        <v>30.75</v>
      </c>
      <c r="E156" s="469" t="s">
        <v>266</v>
      </c>
      <c r="F156" s="459">
        <v>0</v>
      </c>
      <c r="G156" s="460">
        <v>0</v>
      </c>
      <c r="H156" s="462">
        <v>0</v>
      </c>
      <c r="I156" s="459">
        <v>0</v>
      </c>
      <c r="J156" s="460">
        <v>0</v>
      </c>
      <c r="K156" s="470" t="s">
        <v>266</v>
      </c>
    </row>
    <row r="157" spans="1:11" ht="14.4" customHeight="1" thickBot="1" x14ac:dyDescent="0.35">
      <c r="A157" s="480" t="s">
        <v>415</v>
      </c>
      <c r="B157" s="464">
        <v>0</v>
      </c>
      <c r="C157" s="464">
        <v>30.75</v>
      </c>
      <c r="D157" s="465">
        <v>30.75</v>
      </c>
      <c r="E157" s="466" t="s">
        <v>291</v>
      </c>
      <c r="F157" s="464">
        <v>0</v>
      </c>
      <c r="G157" s="465">
        <v>0</v>
      </c>
      <c r="H157" s="467">
        <v>0</v>
      </c>
      <c r="I157" s="464">
        <v>0</v>
      </c>
      <c r="J157" s="465">
        <v>0</v>
      </c>
      <c r="K157" s="468" t="s">
        <v>266</v>
      </c>
    </row>
    <row r="158" spans="1:11" ht="14.4" customHeight="1" thickBot="1" x14ac:dyDescent="0.35">
      <c r="A158" s="481" t="s">
        <v>416</v>
      </c>
      <c r="B158" s="459">
        <v>0</v>
      </c>
      <c r="C158" s="459">
        <v>30.75</v>
      </c>
      <c r="D158" s="460">
        <v>30.75</v>
      </c>
      <c r="E158" s="469" t="s">
        <v>291</v>
      </c>
      <c r="F158" s="459">
        <v>0</v>
      </c>
      <c r="G158" s="460">
        <v>0</v>
      </c>
      <c r="H158" s="462">
        <v>0</v>
      </c>
      <c r="I158" s="459">
        <v>0</v>
      </c>
      <c r="J158" s="460">
        <v>0</v>
      </c>
      <c r="K158" s="470" t="s">
        <v>266</v>
      </c>
    </row>
    <row r="159" spans="1:11" ht="14.4" customHeight="1" thickBot="1" x14ac:dyDescent="0.35">
      <c r="A159" s="484" t="s">
        <v>417</v>
      </c>
      <c r="B159" s="464">
        <v>26.366751277681001</v>
      </c>
      <c r="C159" s="464">
        <v>22.50376</v>
      </c>
      <c r="D159" s="465">
        <v>-3.862991277681</v>
      </c>
      <c r="E159" s="471">
        <v>0.853490055069</v>
      </c>
      <c r="F159" s="464">
        <v>34.502118916157997</v>
      </c>
      <c r="G159" s="465">
        <v>17.251059458078998</v>
      </c>
      <c r="H159" s="467">
        <v>0</v>
      </c>
      <c r="I159" s="464">
        <v>8.2644599999999997</v>
      </c>
      <c r="J159" s="465">
        <v>-8.9865994580790005</v>
      </c>
      <c r="K159" s="472">
        <v>0.239534853499</v>
      </c>
    </row>
    <row r="160" spans="1:11" ht="14.4" customHeight="1" thickBot="1" x14ac:dyDescent="0.35">
      <c r="A160" s="480" t="s">
        <v>418</v>
      </c>
      <c r="B160" s="464">
        <v>0</v>
      </c>
      <c r="C160" s="464">
        <v>-3.6000000000000002E-4</v>
      </c>
      <c r="D160" s="465">
        <v>-3.6000000000000002E-4</v>
      </c>
      <c r="E160" s="466" t="s">
        <v>266</v>
      </c>
      <c r="F160" s="464">
        <v>0</v>
      </c>
      <c r="G160" s="465">
        <v>0</v>
      </c>
      <c r="H160" s="467">
        <v>0</v>
      </c>
      <c r="I160" s="464">
        <v>0</v>
      </c>
      <c r="J160" s="465">
        <v>0</v>
      </c>
      <c r="K160" s="468" t="s">
        <v>266</v>
      </c>
    </row>
    <row r="161" spans="1:11" ht="14.4" customHeight="1" thickBot="1" x14ac:dyDescent="0.35">
      <c r="A161" s="481" t="s">
        <v>419</v>
      </c>
      <c r="B161" s="459">
        <v>0</v>
      </c>
      <c r="C161" s="459">
        <v>-3.6000000000000002E-4</v>
      </c>
      <c r="D161" s="460">
        <v>-3.6000000000000002E-4</v>
      </c>
      <c r="E161" s="469" t="s">
        <v>266</v>
      </c>
      <c r="F161" s="459">
        <v>0</v>
      </c>
      <c r="G161" s="460">
        <v>0</v>
      </c>
      <c r="H161" s="462">
        <v>0</v>
      </c>
      <c r="I161" s="459">
        <v>0</v>
      </c>
      <c r="J161" s="460">
        <v>0</v>
      </c>
      <c r="K161" s="470" t="s">
        <v>266</v>
      </c>
    </row>
    <row r="162" spans="1:11" ht="14.4" customHeight="1" thickBot="1" x14ac:dyDescent="0.35">
      <c r="A162" s="480" t="s">
        <v>420</v>
      </c>
      <c r="B162" s="464">
        <v>26.366751277681001</v>
      </c>
      <c r="C162" s="464">
        <v>22.50412</v>
      </c>
      <c r="D162" s="465">
        <v>-3.8626312776809999</v>
      </c>
      <c r="E162" s="471">
        <v>0.85350370862900005</v>
      </c>
      <c r="F162" s="464">
        <v>34.502118916157997</v>
      </c>
      <c r="G162" s="465">
        <v>17.251059458078998</v>
      </c>
      <c r="H162" s="467">
        <v>0</v>
      </c>
      <c r="I162" s="464">
        <v>8.2644599999999997</v>
      </c>
      <c r="J162" s="465">
        <v>-8.9865994580790005</v>
      </c>
      <c r="K162" s="472">
        <v>0.239534853499</v>
      </c>
    </row>
    <row r="163" spans="1:11" ht="14.4" customHeight="1" thickBot="1" x14ac:dyDescent="0.35">
      <c r="A163" s="481" t="s">
        <v>421</v>
      </c>
      <c r="B163" s="459">
        <v>26.366751277681001</v>
      </c>
      <c r="C163" s="459">
        <v>22.50412</v>
      </c>
      <c r="D163" s="460">
        <v>-3.8626312776809999</v>
      </c>
      <c r="E163" s="461">
        <v>0.85350370862900005</v>
      </c>
      <c r="F163" s="459">
        <v>34.502118916157997</v>
      </c>
      <c r="G163" s="460">
        <v>17.251059458078998</v>
      </c>
      <c r="H163" s="462">
        <v>0</v>
      </c>
      <c r="I163" s="459">
        <v>8.2644599999999997</v>
      </c>
      <c r="J163" s="460">
        <v>-8.9865994580790005</v>
      </c>
      <c r="K163" s="463">
        <v>0.239534853499</v>
      </c>
    </row>
    <row r="164" spans="1:11" ht="14.4" customHeight="1" thickBot="1" x14ac:dyDescent="0.35">
      <c r="A164" s="478" t="s">
        <v>422</v>
      </c>
      <c r="B164" s="459">
        <v>0</v>
      </c>
      <c r="C164" s="459">
        <v>0.91034999999999999</v>
      </c>
      <c r="D164" s="460">
        <v>0.91034999999999999</v>
      </c>
      <c r="E164" s="469" t="s">
        <v>266</v>
      </c>
      <c r="F164" s="459">
        <v>0</v>
      </c>
      <c r="G164" s="460">
        <v>0</v>
      </c>
      <c r="H164" s="462">
        <v>0</v>
      </c>
      <c r="I164" s="459">
        <v>0</v>
      </c>
      <c r="J164" s="460">
        <v>0</v>
      </c>
      <c r="K164" s="470" t="s">
        <v>266</v>
      </c>
    </row>
    <row r="165" spans="1:11" ht="14.4" customHeight="1" thickBot="1" x14ac:dyDescent="0.35">
      <c r="A165" s="484" t="s">
        <v>423</v>
      </c>
      <c r="B165" s="464">
        <v>0</v>
      </c>
      <c r="C165" s="464">
        <v>0.91034999999999999</v>
      </c>
      <c r="D165" s="465">
        <v>0.91034999999999999</v>
      </c>
      <c r="E165" s="466" t="s">
        <v>266</v>
      </c>
      <c r="F165" s="464">
        <v>0</v>
      </c>
      <c r="G165" s="465">
        <v>0</v>
      </c>
      <c r="H165" s="467">
        <v>0</v>
      </c>
      <c r="I165" s="464">
        <v>0</v>
      </c>
      <c r="J165" s="465">
        <v>0</v>
      </c>
      <c r="K165" s="468" t="s">
        <v>266</v>
      </c>
    </row>
    <row r="166" spans="1:11" ht="14.4" customHeight="1" thickBot="1" x14ac:dyDescent="0.35">
      <c r="A166" s="480" t="s">
        <v>424</v>
      </c>
      <c r="B166" s="464">
        <v>0</v>
      </c>
      <c r="C166" s="464">
        <v>0.91034999999999999</v>
      </c>
      <c r="D166" s="465">
        <v>0.91034999999999999</v>
      </c>
      <c r="E166" s="466" t="s">
        <v>266</v>
      </c>
      <c r="F166" s="464">
        <v>0</v>
      </c>
      <c r="G166" s="465">
        <v>0</v>
      </c>
      <c r="H166" s="467">
        <v>0</v>
      </c>
      <c r="I166" s="464">
        <v>0</v>
      </c>
      <c r="J166" s="465">
        <v>0</v>
      </c>
      <c r="K166" s="468" t="s">
        <v>266</v>
      </c>
    </row>
    <row r="167" spans="1:11" ht="14.4" customHeight="1" thickBot="1" x14ac:dyDescent="0.35">
      <c r="A167" s="481" t="s">
        <v>425</v>
      </c>
      <c r="B167" s="459">
        <v>0</v>
      </c>
      <c r="C167" s="459">
        <v>0.91034999999999999</v>
      </c>
      <c r="D167" s="460">
        <v>0.91034999999999999</v>
      </c>
      <c r="E167" s="469" t="s">
        <v>266</v>
      </c>
      <c r="F167" s="459">
        <v>0</v>
      </c>
      <c r="G167" s="460">
        <v>0</v>
      </c>
      <c r="H167" s="462">
        <v>0</v>
      </c>
      <c r="I167" s="459">
        <v>0</v>
      </c>
      <c r="J167" s="460">
        <v>0</v>
      </c>
      <c r="K167" s="470" t="s">
        <v>266</v>
      </c>
    </row>
    <row r="168" spans="1:11" ht="14.4" customHeight="1" thickBot="1" x14ac:dyDescent="0.35">
      <c r="A168" s="477" t="s">
        <v>426</v>
      </c>
      <c r="B168" s="459">
        <v>2687.0938758759899</v>
      </c>
      <c r="C168" s="459">
        <v>3086.02709</v>
      </c>
      <c r="D168" s="460">
        <v>398.93321412401298</v>
      </c>
      <c r="E168" s="461">
        <v>1.1484627008029999</v>
      </c>
      <c r="F168" s="459">
        <v>3186.8240487186699</v>
      </c>
      <c r="G168" s="460">
        <v>1593.41202435934</v>
      </c>
      <c r="H168" s="462">
        <v>352.27049</v>
      </c>
      <c r="I168" s="459">
        <v>1574.96982</v>
      </c>
      <c r="J168" s="460">
        <v>-18.442204359337001</v>
      </c>
      <c r="K168" s="463">
        <v>0.49421298318399998</v>
      </c>
    </row>
    <row r="169" spans="1:11" ht="14.4" customHeight="1" thickBot="1" x14ac:dyDescent="0.35">
      <c r="A169" s="482" t="s">
        <v>427</v>
      </c>
      <c r="B169" s="464">
        <v>2687.0938758759899</v>
      </c>
      <c r="C169" s="464">
        <v>3086.02709</v>
      </c>
      <c r="D169" s="465">
        <v>398.93321412401298</v>
      </c>
      <c r="E169" s="471">
        <v>1.1484627008029999</v>
      </c>
      <c r="F169" s="464">
        <v>3186.8240487186699</v>
      </c>
      <c r="G169" s="465">
        <v>1593.41202435934</v>
      </c>
      <c r="H169" s="467">
        <v>352.27049</v>
      </c>
      <c r="I169" s="464">
        <v>1574.96982</v>
      </c>
      <c r="J169" s="465">
        <v>-18.442204359337001</v>
      </c>
      <c r="K169" s="472">
        <v>0.49421298318399998</v>
      </c>
    </row>
    <row r="170" spans="1:11" ht="14.4" customHeight="1" thickBot="1" x14ac:dyDescent="0.35">
      <c r="A170" s="484" t="s">
        <v>54</v>
      </c>
      <c r="B170" s="464">
        <v>2687.0938758759899</v>
      </c>
      <c r="C170" s="464">
        <v>3086.02709</v>
      </c>
      <c r="D170" s="465">
        <v>398.93321412401298</v>
      </c>
      <c r="E170" s="471">
        <v>1.1484627008029999</v>
      </c>
      <c r="F170" s="464">
        <v>3186.8240487186699</v>
      </c>
      <c r="G170" s="465">
        <v>1593.41202435934</v>
      </c>
      <c r="H170" s="467">
        <v>352.27049</v>
      </c>
      <c r="I170" s="464">
        <v>1574.96982</v>
      </c>
      <c r="J170" s="465">
        <v>-18.442204359337001</v>
      </c>
      <c r="K170" s="472">
        <v>0.49421298318399998</v>
      </c>
    </row>
    <row r="171" spans="1:11" ht="14.4" customHeight="1" thickBot="1" x14ac:dyDescent="0.35">
      <c r="A171" s="483" t="s">
        <v>428</v>
      </c>
      <c r="B171" s="459">
        <v>0</v>
      </c>
      <c r="C171" s="459">
        <v>0.26645999999999997</v>
      </c>
      <c r="D171" s="460">
        <v>0.26645999999999997</v>
      </c>
      <c r="E171" s="469" t="s">
        <v>291</v>
      </c>
      <c r="F171" s="459">
        <v>0</v>
      </c>
      <c r="G171" s="460">
        <v>0</v>
      </c>
      <c r="H171" s="462">
        <v>0</v>
      </c>
      <c r="I171" s="459">
        <v>2.6610000000000002E-2</v>
      </c>
      <c r="J171" s="460">
        <v>2.6610000000000002E-2</v>
      </c>
      <c r="K171" s="470" t="s">
        <v>291</v>
      </c>
    </row>
    <row r="172" spans="1:11" ht="14.4" customHeight="1" thickBot="1" x14ac:dyDescent="0.35">
      <c r="A172" s="481" t="s">
        <v>429</v>
      </c>
      <c r="B172" s="459">
        <v>0</v>
      </c>
      <c r="C172" s="459">
        <v>0.26645999999999997</v>
      </c>
      <c r="D172" s="460">
        <v>0.26645999999999997</v>
      </c>
      <c r="E172" s="469" t="s">
        <v>291</v>
      </c>
      <c r="F172" s="459">
        <v>0</v>
      </c>
      <c r="G172" s="460">
        <v>0</v>
      </c>
      <c r="H172" s="462">
        <v>0</v>
      </c>
      <c r="I172" s="459">
        <v>2.6610000000000002E-2</v>
      </c>
      <c r="J172" s="460">
        <v>2.6610000000000002E-2</v>
      </c>
      <c r="K172" s="470" t="s">
        <v>291</v>
      </c>
    </row>
    <row r="173" spans="1:11" ht="14.4" customHeight="1" thickBot="1" x14ac:dyDescent="0.35">
      <c r="A173" s="480" t="s">
        <v>430</v>
      </c>
      <c r="B173" s="464">
        <v>43.736732114764003</v>
      </c>
      <c r="C173" s="464">
        <v>39.311999999999998</v>
      </c>
      <c r="D173" s="465">
        <v>-4.4247321147639997</v>
      </c>
      <c r="E173" s="471">
        <v>0.89883258531599997</v>
      </c>
      <c r="F173" s="464">
        <v>30.842748270925998</v>
      </c>
      <c r="G173" s="465">
        <v>15.421374135462999</v>
      </c>
      <c r="H173" s="467">
        <v>3.15</v>
      </c>
      <c r="I173" s="464">
        <v>13.398999999999999</v>
      </c>
      <c r="J173" s="465">
        <v>-2.022374135463</v>
      </c>
      <c r="K173" s="472">
        <v>0.43442950940300001</v>
      </c>
    </row>
    <row r="174" spans="1:11" ht="14.4" customHeight="1" thickBot="1" x14ac:dyDescent="0.35">
      <c r="A174" s="481" t="s">
        <v>431</v>
      </c>
      <c r="B174" s="459">
        <v>43.736732114764003</v>
      </c>
      <c r="C174" s="459">
        <v>39.311999999999998</v>
      </c>
      <c r="D174" s="460">
        <v>-4.4247321147639997</v>
      </c>
      <c r="E174" s="461">
        <v>0.89883258531599997</v>
      </c>
      <c r="F174" s="459">
        <v>30.842748270925998</v>
      </c>
      <c r="G174" s="460">
        <v>15.421374135462999</v>
      </c>
      <c r="H174" s="462">
        <v>3.15</v>
      </c>
      <c r="I174" s="459">
        <v>13.398999999999999</v>
      </c>
      <c r="J174" s="460">
        <v>-2.022374135463</v>
      </c>
      <c r="K174" s="463">
        <v>0.43442950940300001</v>
      </c>
    </row>
    <row r="175" spans="1:11" ht="14.4" customHeight="1" thickBot="1" x14ac:dyDescent="0.35">
      <c r="A175" s="480" t="s">
        <v>432</v>
      </c>
      <c r="B175" s="464">
        <v>5.6046283929170002</v>
      </c>
      <c r="C175" s="464">
        <v>38.749639999999999</v>
      </c>
      <c r="D175" s="465">
        <v>33.145011607081997</v>
      </c>
      <c r="E175" s="471">
        <v>6.9138642713519998</v>
      </c>
      <c r="F175" s="464">
        <v>2.9555333374739998</v>
      </c>
      <c r="G175" s="465">
        <v>1.4777666687369999</v>
      </c>
      <c r="H175" s="467">
        <v>0.83860000000000001</v>
      </c>
      <c r="I175" s="464">
        <v>2.1586599999999998</v>
      </c>
      <c r="J175" s="465">
        <v>0.68089333126200002</v>
      </c>
      <c r="K175" s="472">
        <v>0.73037917475900005</v>
      </c>
    </row>
    <row r="176" spans="1:11" ht="14.4" customHeight="1" thickBot="1" x14ac:dyDescent="0.35">
      <c r="A176" s="481" t="s">
        <v>433</v>
      </c>
      <c r="B176" s="459">
        <v>0.86427441196999999</v>
      </c>
      <c r="C176" s="459">
        <v>0.37</v>
      </c>
      <c r="D176" s="460">
        <v>-0.49427441196999999</v>
      </c>
      <c r="E176" s="461">
        <v>0.42810477190500001</v>
      </c>
      <c r="F176" s="459">
        <v>0</v>
      </c>
      <c r="G176" s="460">
        <v>0</v>
      </c>
      <c r="H176" s="462">
        <v>0.37</v>
      </c>
      <c r="I176" s="459">
        <v>0.37</v>
      </c>
      <c r="J176" s="460">
        <v>0.37</v>
      </c>
      <c r="K176" s="470" t="s">
        <v>291</v>
      </c>
    </row>
    <row r="177" spans="1:11" ht="14.4" customHeight="1" thickBot="1" x14ac:dyDescent="0.35">
      <c r="A177" s="481" t="s">
        <v>434</v>
      </c>
      <c r="B177" s="459">
        <v>0</v>
      </c>
      <c r="C177" s="459">
        <v>33.613900000000001</v>
      </c>
      <c r="D177" s="460">
        <v>33.613900000000001</v>
      </c>
      <c r="E177" s="469" t="s">
        <v>291</v>
      </c>
      <c r="F177" s="459">
        <v>0</v>
      </c>
      <c r="G177" s="460">
        <v>0</v>
      </c>
      <c r="H177" s="462">
        <v>0.3216</v>
      </c>
      <c r="I177" s="459">
        <v>0.3216</v>
      </c>
      <c r="J177" s="460">
        <v>0.3216</v>
      </c>
      <c r="K177" s="470" t="s">
        <v>291</v>
      </c>
    </row>
    <row r="178" spans="1:11" ht="14.4" customHeight="1" thickBot="1" x14ac:dyDescent="0.35">
      <c r="A178" s="481" t="s">
        <v>435</v>
      </c>
      <c r="B178" s="459">
        <v>4.7403539809469999</v>
      </c>
      <c r="C178" s="459">
        <v>4.7657400000000001</v>
      </c>
      <c r="D178" s="460">
        <v>2.5386019052000001E-2</v>
      </c>
      <c r="E178" s="461">
        <v>1.00535530029</v>
      </c>
      <c r="F178" s="459">
        <v>2.9555333374739998</v>
      </c>
      <c r="G178" s="460">
        <v>1.4777666687369999</v>
      </c>
      <c r="H178" s="462">
        <v>0.14699999999999999</v>
      </c>
      <c r="I178" s="459">
        <v>1.46706</v>
      </c>
      <c r="J178" s="460">
        <v>-1.0706668737E-2</v>
      </c>
      <c r="K178" s="463">
        <v>0.49637741567600002</v>
      </c>
    </row>
    <row r="179" spans="1:11" ht="14.4" customHeight="1" thickBot="1" x14ac:dyDescent="0.35">
      <c r="A179" s="480" t="s">
        <v>436</v>
      </c>
      <c r="B179" s="464">
        <v>28.456696253408001</v>
      </c>
      <c r="C179" s="464">
        <v>28.821000000000002</v>
      </c>
      <c r="D179" s="465">
        <v>0.36430374659100001</v>
      </c>
      <c r="E179" s="471">
        <v>1.012802039398</v>
      </c>
      <c r="F179" s="464">
        <v>25.692542087014999</v>
      </c>
      <c r="G179" s="465">
        <v>12.846271043507</v>
      </c>
      <c r="H179" s="467">
        <v>2.1583999999999999</v>
      </c>
      <c r="I179" s="464">
        <v>14.744300000000001</v>
      </c>
      <c r="J179" s="465">
        <v>1.8980289564920001</v>
      </c>
      <c r="K179" s="472">
        <v>0.57387470457599998</v>
      </c>
    </row>
    <row r="180" spans="1:11" ht="14.4" customHeight="1" thickBot="1" x14ac:dyDescent="0.35">
      <c r="A180" s="481" t="s">
        <v>437</v>
      </c>
      <c r="B180" s="459">
        <v>28.456696253408001</v>
      </c>
      <c r="C180" s="459">
        <v>28.821000000000002</v>
      </c>
      <c r="D180" s="460">
        <v>0.36430374659100001</v>
      </c>
      <c r="E180" s="461">
        <v>1.012802039398</v>
      </c>
      <c r="F180" s="459">
        <v>25.692542087014999</v>
      </c>
      <c r="G180" s="460">
        <v>12.846271043507</v>
      </c>
      <c r="H180" s="462">
        <v>2.1583999999999999</v>
      </c>
      <c r="I180" s="459">
        <v>14.744300000000001</v>
      </c>
      <c r="J180" s="460">
        <v>1.8980289564920001</v>
      </c>
      <c r="K180" s="463">
        <v>0.57387470457599998</v>
      </c>
    </row>
    <row r="181" spans="1:11" ht="14.4" customHeight="1" thickBot="1" x14ac:dyDescent="0.35">
      <c r="A181" s="480" t="s">
        <v>438</v>
      </c>
      <c r="B181" s="464">
        <v>976.66972448137301</v>
      </c>
      <c r="C181" s="464">
        <v>1001.59162</v>
      </c>
      <c r="D181" s="465">
        <v>24.921895518627</v>
      </c>
      <c r="E181" s="471">
        <v>1.0255172192740001</v>
      </c>
      <c r="F181" s="464">
        <v>1246.84697830854</v>
      </c>
      <c r="G181" s="465">
        <v>623.42348915427101</v>
      </c>
      <c r="H181" s="467">
        <v>166.59674000000001</v>
      </c>
      <c r="I181" s="464">
        <v>549.11800000000005</v>
      </c>
      <c r="J181" s="465">
        <v>-74.305489154271001</v>
      </c>
      <c r="K181" s="472">
        <v>0.440405285935</v>
      </c>
    </row>
    <row r="182" spans="1:11" ht="14.4" customHeight="1" thickBot="1" x14ac:dyDescent="0.35">
      <c r="A182" s="481" t="s">
        <v>439</v>
      </c>
      <c r="B182" s="459">
        <v>976.66972448137301</v>
      </c>
      <c r="C182" s="459">
        <v>1001.59162</v>
      </c>
      <c r="D182" s="460">
        <v>24.921895518627</v>
      </c>
      <c r="E182" s="461">
        <v>1.0255172192740001</v>
      </c>
      <c r="F182" s="459">
        <v>1246.84697830854</v>
      </c>
      <c r="G182" s="460">
        <v>623.42348915427101</v>
      </c>
      <c r="H182" s="462">
        <v>166.59674000000001</v>
      </c>
      <c r="I182" s="459">
        <v>549.11800000000005</v>
      </c>
      <c r="J182" s="460">
        <v>-74.305489154271001</v>
      </c>
      <c r="K182" s="463">
        <v>0.440405285935</v>
      </c>
    </row>
    <row r="183" spans="1:11" ht="14.4" customHeight="1" thickBot="1" x14ac:dyDescent="0.35">
      <c r="A183" s="480" t="s">
        <v>440</v>
      </c>
      <c r="B183" s="464">
        <v>0</v>
      </c>
      <c r="C183" s="464">
        <v>0.56952000000000003</v>
      </c>
      <c r="D183" s="465">
        <v>0.56952000000000003</v>
      </c>
      <c r="E183" s="466" t="s">
        <v>291</v>
      </c>
      <c r="F183" s="464">
        <v>0</v>
      </c>
      <c r="G183" s="465">
        <v>0</v>
      </c>
      <c r="H183" s="467">
        <v>0</v>
      </c>
      <c r="I183" s="464">
        <v>0</v>
      </c>
      <c r="J183" s="465">
        <v>0</v>
      </c>
      <c r="K183" s="472">
        <v>0</v>
      </c>
    </row>
    <row r="184" spans="1:11" ht="14.4" customHeight="1" thickBot="1" x14ac:dyDescent="0.35">
      <c r="A184" s="481" t="s">
        <v>441</v>
      </c>
      <c r="B184" s="459">
        <v>0</v>
      </c>
      <c r="C184" s="459">
        <v>0.56952000000000003</v>
      </c>
      <c r="D184" s="460">
        <v>0.56952000000000003</v>
      </c>
      <c r="E184" s="469" t="s">
        <v>291</v>
      </c>
      <c r="F184" s="459">
        <v>0</v>
      </c>
      <c r="G184" s="460">
        <v>0</v>
      </c>
      <c r="H184" s="462">
        <v>0</v>
      </c>
      <c r="I184" s="459">
        <v>0</v>
      </c>
      <c r="J184" s="460">
        <v>0</v>
      </c>
      <c r="K184" s="463">
        <v>0</v>
      </c>
    </row>
    <row r="185" spans="1:11" ht="14.4" customHeight="1" thickBot="1" x14ac:dyDescent="0.35">
      <c r="A185" s="480" t="s">
        <v>442</v>
      </c>
      <c r="B185" s="464">
        <v>1632.6260946335201</v>
      </c>
      <c r="C185" s="464">
        <v>1976.71685</v>
      </c>
      <c r="D185" s="465">
        <v>344.09075536647703</v>
      </c>
      <c r="E185" s="471">
        <v>1.210759068777</v>
      </c>
      <c r="F185" s="464">
        <v>1880.48624671471</v>
      </c>
      <c r="G185" s="465">
        <v>940.24312335735704</v>
      </c>
      <c r="H185" s="467">
        <v>179.52674999999999</v>
      </c>
      <c r="I185" s="464">
        <v>995.52324999999996</v>
      </c>
      <c r="J185" s="465">
        <v>55.280126642642998</v>
      </c>
      <c r="K185" s="472">
        <v>0.52939671945900002</v>
      </c>
    </row>
    <row r="186" spans="1:11" ht="14.4" customHeight="1" thickBot="1" x14ac:dyDescent="0.35">
      <c r="A186" s="481" t="s">
        <v>443</v>
      </c>
      <c r="B186" s="459">
        <v>1632.6260946335201</v>
      </c>
      <c r="C186" s="459">
        <v>1976.71685</v>
      </c>
      <c r="D186" s="460">
        <v>344.09075536647703</v>
      </c>
      <c r="E186" s="461">
        <v>1.210759068777</v>
      </c>
      <c r="F186" s="459">
        <v>1880.48624671471</v>
      </c>
      <c r="G186" s="460">
        <v>940.24312335735704</v>
      </c>
      <c r="H186" s="462">
        <v>179.52674999999999</v>
      </c>
      <c r="I186" s="459">
        <v>995.52324999999996</v>
      </c>
      <c r="J186" s="460">
        <v>55.280126642642998</v>
      </c>
      <c r="K186" s="463">
        <v>0.52939671945900002</v>
      </c>
    </row>
    <row r="187" spans="1:11" ht="14.4" customHeight="1" thickBot="1" x14ac:dyDescent="0.35">
      <c r="A187" s="485"/>
      <c r="B187" s="459">
        <v>56224.141762065898</v>
      </c>
      <c r="C187" s="459">
        <v>51629.539839999998</v>
      </c>
      <c r="D187" s="460">
        <v>-4594.60192206586</v>
      </c>
      <c r="E187" s="461">
        <v>0.91828062148900003</v>
      </c>
      <c r="F187" s="459">
        <v>52909.815094625003</v>
      </c>
      <c r="G187" s="460">
        <v>26454.907547312501</v>
      </c>
      <c r="H187" s="462">
        <v>1851.2585200000001</v>
      </c>
      <c r="I187" s="459">
        <v>8823.2647099999904</v>
      </c>
      <c r="J187" s="460">
        <v>-17631.642837312502</v>
      </c>
      <c r="K187" s="463">
        <v>0.16676045255899999</v>
      </c>
    </row>
    <row r="188" spans="1:11" ht="14.4" customHeight="1" thickBot="1" x14ac:dyDescent="0.35">
      <c r="A188" s="486" t="s">
        <v>66</v>
      </c>
      <c r="B188" s="473">
        <v>56224.141762065898</v>
      </c>
      <c r="C188" s="473">
        <v>51629.539839999998</v>
      </c>
      <c r="D188" s="474">
        <v>-4594.60192206585</v>
      </c>
      <c r="E188" s="475">
        <v>-1.259622245229</v>
      </c>
      <c r="F188" s="473">
        <v>52909.815094625003</v>
      </c>
      <c r="G188" s="474">
        <v>26454.907547312501</v>
      </c>
      <c r="H188" s="473">
        <v>1851.2585200000001</v>
      </c>
      <c r="I188" s="473">
        <v>8823.2647099999904</v>
      </c>
      <c r="J188" s="474">
        <v>-17631.642837312502</v>
      </c>
      <c r="K188" s="476">
        <v>0.16676045255899999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08" customWidth="1"/>
    <col min="2" max="2" width="61.109375" style="208" customWidth="1"/>
    <col min="3" max="3" width="9.5546875" style="129" hidden="1" customWidth="1" outlineLevel="1"/>
    <col min="4" max="4" width="9.5546875" style="209" customWidth="1" collapsed="1"/>
    <col min="5" max="5" width="2.21875" style="209" customWidth="1"/>
    <col min="6" max="6" width="9.5546875" style="210" customWidth="1"/>
    <col min="7" max="7" width="9.5546875" style="207" customWidth="1"/>
    <col min="8" max="9" width="9.5546875" style="129" customWidth="1"/>
    <col min="10" max="10" width="0" style="129" hidden="1" customWidth="1"/>
    <col min="11" max="16384" width="8.88671875" style="129"/>
  </cols>
  <sheetData>
    <row r="1" spans="1:10" ht="18.600000000000001" customHeight="1" thickBot="1" x14ac:dyDescent="0.4">
      <c r="A1" s="359" t="s">
        <v>136</v>
      </c>
      <c r="B1" s="360"/>
      <c r="C1" s="360"/>
      <c r="D1" s="360"/>
      <c r="E1" s="360"/>
      <c r="F1" s="360"/>
      <c r="G1" s="330"/>
      <c r="H1" s="361"/>
      <c r="I1" s="361"/>
    </row>
    <row r="2" spans="1:10" ht="14.4" customHeight="1" thickBot="1" x14ac:dyDescent="0.35">
      <c r="A2" s="232" t="s">
        <v>265</v>
      </c>
      <c r="B2" s="206"/>
      <c r="C2" s="206"/>
      <c r="D2" s="206"/>
      <c r="E2" s="206"/>
      <c r="F2" s="206"/>
    </row>
    <row r="3" spans="1:10" ht="14.4" customHeight="1" thickBot="1" x14ac:dyDescent="0.35">
      <c r="A3" s="232"/>
      <c r="B3" s="271"/>
      <c r="C3" s="270">
        <v>2015</v>
      </c>
      <c r="D3" s="239">
        <v>2017</v>
      </c>
      <c r="E3" s="7"/>
      <c r="F3" s="338">
        <v>2018</v>
      </c>
      <c r="G3" s="356"/>
      <c r="H3" s="356"/>
      <c r="I3" s="339"/>
    </row>
    <row r="4" spans="1:10" ht="14.4" customHeight="1" thickBot="1" x14ac:dyDescent="0.3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" customHeight="1" x14ac:dyDescent="0.3">
      <c r="A5" s="487" t="s">
        <v>444</v>
      </c>
      <c r="B5" s="488" t="s">
        <v>445</v>
      </c>
      <c r="C5" s="489" t="s">
        <v>446</v>
      </c>
      <c r="D5" s="489" t="s">
        <v>446</v>
      </c>
      <c r="E5" s="489"/>
      <c r="F5" s="489" t="s">
        <v>446</v>
      </c>
      <c r="G5" s="489" t="s">
        <v>446</v>
      </c>
      <c r="H5" s="489" t="s">
        <v>446</v>
      </c>
      <c r="I5" s="490" t="s">
        <v>446</v>
      </c>
      <c r="J5" s="491" t="s">
        <v>68</v>
      </c>
    </row>
    <row r="6" spans="1:10" ht="14.4" customHeight="1" x14ac:dyDescent="0.3">
      <c r="A6" s="487" t="s">
        <v>444</v>
      </c>
      <c r="B6" s="488" t="s">
        <v>447</v>
      </c>
      <c r="C6" s="489">
        <v>13.5669</v>
      </c>
      <c r="D6" s="489">
        <v>17.505309999999998</v>
      </c>
      <c r="E6" s="489"/>
      <c r="F6" s="489">
        <v>16.902720000000002</v>
      </c>
      <c r="G6" s="489">
        <v>20.000001220703126</v>
      </c>
      <c r="H6" s="489">
        <v>-3.0972812207031239</v>
      </c>
      <c r="I6" s="490">
        <v>0.84513594841699535</v>
      </c>
      <c r="J6" s="491" t="s">
        <v>1</v>
      </c>
    </row>
    <row r="7" spans="1:10" ht="14.4" customHeight="1" x14ac:dyDescent="0.3">
      <c r="A7" s="487" t="s">
        <v>444</v>
      </c>
      <c r="B7" s="488" t="s">
        <v>448</v>
      </c>
      <c r="C7" s="489">
        <v>0.19052000000000002</v>
      </c>
      <c r="D7" s="489">
        <v>0</v>
      </c>
      <c r="E7" s="489"/>
      <c r="F7" s="489">
        <v>0</v>
      </c>
      <c r="G7" s="489">
        <v>0</v>
      </c>
      <c r="H7" s="489">
        <v>0</v>
      </c>
      <c r="I7" s="490" t="s">
        <v>446</v>
      </c>
      <c r="J7" s="491" t="s">
        <v>1</v>
      </c>
    </row>
    <row r="8" spans="1:10" ht="14.4" customHeight="1" x14ac:dyDescent="0.3">
      <c r="A8" s="487" t="s">
        <v>444</v>
      </c>
      <c r="B8" s="488" t="s">
        <v>449</v>
      </c>
      <c r="C8" s="489">
        <v>0</v>
      </c>
      <c r="D8" s="489">
        <v>0</v>
      </c>
      <c r="E8" s="489"/>
      <c r="F8" s="489">
        <v>0</v>
      </c>
      <c r="G8" s="489">
        <v>0</v>
      </c>
      <c r="H8" s="489">
        <v>0</v>
      </c>
      <c r="I8" s="490" t="s">
        <v>446</v>
      </c>
      <c r="J8" s="491" t="s">
        <v>1</v>
      </c>
    </row>
    <row r="9" spans="1:10" ht="14.4" customHeight="1" x14ac:dyDescent="0.3">
      <c r="A9" s="487" t="s">
        <v>444</v>
      </c>
      <c r="B9" s="488" t="s">
        <v>450</v>
      </c>
      <c r="C9" s="489">
        <v>13.75742</v>
      </c>
      <c r="D9" s="489">
        <v>17.505309999999998</v>
      </c>
      <c r="E9" s="489"/>
      <c r="F9" s="489">
        <v>16.902720000000002</v>
      </c>
      <c r="G9" s="489">
        <v>20.000001220703126</v>
      </c>
      <c r="H9" s="489">
        <v>-3.0972812207031239</v>
      </c>
      <c r="I9" s="490">
        <v>0.84513594841699535</v>
      </c>
      <c r="J9" s="491" t="s">
        <v>451</v>
      </c>
    </row>
    <row r="11" spans="1:10" ht="14.4" customHeight="1" x14ac:dyDescent="0.3">
      <c r="A11" s="487" t="s">
        <v>444</v>
      </c>
      <c r="B11" s="488" t="s">
        <v>445</v>
      </c>
      <c r="C11" s="489" t="s">
        <v>446</v>
      </c>
      <c r="D11" s="489" t="s">
        <v>446</v>
      </c>
      <c r="E11" s="489"/>
      <c r="F11" s="489" t="s">
        <v>446</v>
      </c>
      <c r="G11" s="489" t="s">
        <v>446</v>
      </c>
      <c r="H11" s="489" t="s">
        <v>446</v>
      </c>
      <c r="I11" s="490" t="s">
        <v>446</v>
      </c>
      <c r="J11" s="491" t="s">
        <v>68</v>
      </c>
    </row>
    <row r="12" spans="1:10" ht="14.4" customHeight="1" x14ac:dyDescent="0.3">
      <c r="A12" s="487" t="s">
        <v>452</v>
      </c>
      <c r="B12" s="488" t="s">
        <v>453</v>
      </c>
      <c r="C12" s="489" t="s">
        <v>446</v>
      </c>
      <c r="D12" s="489" t="s">
        <v>446</v>
      </c>
      <c r="E12" s="489"/>
      <c r="F12" s="489" t="s">
        <v>446</v>
      </c>
      <c r="G12" s="489" t="s">
        <v>446</v>
      </c>
      <c r="H12" s="489" t="s">
        <v>446</v>
      </c>
      <c r="I12" s="490" t="s">
        <v>446</v>
      </c>
      <c r="J12" s="491" t="s">
        <v>0</v>
      </c>
    </row>
    <row r="13" spans="1:10" ht="14.4" customHeight="1" x14ac:dyDescent="0.3">
      <c r="A13" s="487" t="s">
        <v>452</v>
      </c>
      <c r="B13" s="488" t="s">
        <v>447</v>
      </c>
      <c r="C13" s="489">
        <v>0.82638999999999996</v>
      </c>
      <c r="D13" s="489">
        <v>0.54461999999999999</v>
      </c>
      <c r="E13" s="489"/>
      <c r="F13" s="489">
        <v>0.26208999999999999</v>
      </c>
      <c r="G13" s="489">
        <v>1</v>
      </c>
      <c r="H13" s="489">
        <v>-0.73791000000000007</v>
      </c>
      <c r="I13" s="490">
        <v>0.26208999999999999</v>
      </c>
      <c r="J13" s="491" t="s">
        <v>1</v>
      </c>
    </row>
    <row r="14" spans="1:10" ht="14.4" customHeight="1" x14ac:dyDescent="0.3">
      <c r="A14" s="487" t="s">
        <v>452</v>
      </c>
      <c r="B14" s="488" t="s">
        <v>454</v>
      </c>
      <c r="C14" s="489">
        <v>0.82638999999999996</v>
      </c>
      <c r="D14" s="489">
        <v>0.54461999999999999</v>
      </c>
      <c r="E14" s="489"/>
      <c r="F14" s="489">
        <v>0.26208999999999999</v>
      </c>
      <c r="G14" s="489">
        <v>1</v>
      </c>
      <c r="H14" s="489">
        <v>-0.73791000000000007</v>
      </c>
      <c r="I14" s="490">
        <v>0.26208999999999999</v>
      </c>
      <c r="J14" s="491" t="s">
        <v>455</v>
      </c>
    </row>
    <row r="15" spans="1:10" ht="14.4" customHeight="1" x14ac:dyDescent="0.3">
      <c r="A15" s="487" t="s">
        <v>446</v>
      </c>
      <c r="B15" s="488" t="s">
        <v>446</v>
      </c>
      <c r="C15" s="489" t="s">
        <v>446</v>
      </c>
      <c r="D15" s="489" t="s">
        <v>446</v>
      </c>
      <c r="E15" s="489"/>
      <c r="F15" s="489" t="s">
        <v>446</v>
      </c>
      <c r="G15" s="489" t="s">
        <v>446</v>
      </c>
      <c r="H15" s="489" t="s">
        <v>446</v>
      </c>
      <c r="I15" s="490" t="s">
        <v>446</v>
      </c>
      <c r="J15" s="491" t="s">
        <v>456</v>
      </c>
    </row>
    <row r="16" spans="1:10" ht="14.4" customHeight="1" x14ac:dyDescent="0.3">
      <c r="A16" s="487" t="s">
        <v>457</v>
      </c>
      <c r="B16" s="488" t="s">
        <v>458</v>
      </c>
      <c r="C16" s="489" t="s">
        <v>446</v>
      </c>
      <c r="D16" s="489" t="s">
        <v>446</v>
      </c>
      <c r="E16" s="489"/>
      <c r="F16" s="489" t="s">
        <v>446</v>
      </c>
      <c r="G16" s="489" t="s">
        <v>446</v>
      </c>
      <c r="H16" s="489" t="s">
        <v>446</v>
      </c>
      <c r="I16" s="490" t="s">
        <v>446</v>
      </c>
      <c r="J16" s="491" t="s">
        <v>0</v>
      </c>
    </row>
    <row r="17" spans="1:10" ht="14.4" customHeight="1" x14ac:dyDescent="0.3">
      <c r="A17" s="487" t="s">
        <v>457</v>
      </c>
      <c r="B17" s="488" t="s">
        <v>447</v>
      </c>
      <c r="C17" s="489">
        <v>12.74051</v>
      </c>
      <c r="D17" s="489">
        <v>16.96069</v>
      </c>
      <c r="E17" s="489"/>
      <c r="F17" s="489">
        <v>16.640630000000002</v>
      </c>
      <c r="G17" s="489">
        <v>19</v>
      </c>
      <c r="H17" s="489">
        <v>-2.3593699999999984</v>
      </c>
      <c r="I17" s="490">
        <v>0.87582263157894746</v>
      </c>
      <c r="J17" s="491" t="s">
        <v>1</v>
      </c>
    </row>
    <row r="18" spans="1:10" ht="14.4" customHeight="1" x14ac:dyDescent="0.3">
      <c r="A18" s="487" t="s">
        <v>457</v>
      </c>
      <c r="B18" s="488" t="s">
        <v>448</v>
      </c>
      <c r="C18" s="489">
        <v>0.19052000000000002</v>
      </c>
      <c r="D18" s="489">
        <v>0</v>
      </c>
      <c r="E18" s="489"/>
      <c r="F18" s="489">
        <v>0</v>
      </c>
      <c r="G18" s="489">
        <v>0</v>
      </c>
      <c r="H18" s="489">
        <v>0</v>
      </c>
      <c r="I18" s="490" t="s">
        <v>446</v>
      </c>
      <c r="J18" s="491" t="s">
        <v>1</v>
      </c>
    </row>
    <row r="19" spans="1:10" ht="14.4" customHeight="1" x14ac:dyDescent="0.3">
      <c r="A19" s="487" t="s">
        <v>457</v>
      </c>
      <c r="B19" s="488" t="s">
        <v>449</v>
      </c>
      <c r="C19" s="489">
        <v>0</v>
      </c>
      <c r="D19" s="489">
        <v>0</v>
      </c>
      <c r="E19" s="489"/>
      <c r="F19" s="489">
        <v>0</v>
      </c>
      <c r="G19" s="489">
        <v>0</v>
      </c>
      <c r="H19" s="489">
        <v>0</v>
      </c>
      <c r="I19" s="490" t="s">
        <v>446</v>
      </c>
      <c r="J19" s="491" t="s">
        <v>1</v>
      </c>
    </row>
    <row r="20" spans="1:10" ht="14.4" customHeight="1" x14ac:dyDescent="0.3">
      <c r="A20" s="487" t="s">
        <v>457</v>
      </c>
      <c r="B20" s="488" t="s">
        <v>459</v>
      </c>
      <c r="C20" s="489">
        <v>12.93103</v>
      </c>
      <c r="D20" s="489">
        <v>16.96069</v>
      </c>
      <c r="E20" s="489"/>
      <c r="F20" s="489">
        <v>16.640630000000002</v>
      </c>
      <c r="G20" s="489">
        <v>19</v>
      </c>
      <c r="H20" s="489">
        <v>-2.3593699999999984</v>
      </c>
      <c r="I20" s="490">
        <v>0.87582263157894746</v>
      </c>
      <c r="J20" s="491" t="s">
        <v>455</v>
      </c>
    </row>
    <row r="21" spans="1:10" ht="14.4" customHeight="1" x14ac:dyDescent="0.3">
      <c r="A21" s="487" t="s">
        <v>446</v>
      </c>
      <c r="B21" s="488" t="s">
        <v>446</v>
      </c>
      <c r="C21" s="489" t="s">
        <v>446</v>
      </c>
      <c r="D21" s="489" t="s">
        <v>446</v>
      </c>
      <c r="E21" s="489"/>
      <c r="F21" s="489" t="s">
        <v>446</v>
      </c>
      <c r="G21" s="489" t="s">
        <v>446</v>
      </c>
      <c r="H21" s="489" t="s">
        <v>446</v>
      </c>
      <c r="I21" s="490" t="s">
        <v>446</v>
      </c>
      <c r="J21" s="491" t="s">
        <v>456</v>
      </c>
    </row>
    <row r="22" spans="1:10" ht="14.4" customHeight="1" x14ac:dyDescent="0.3">
      <c r="A22" s="487" t="s">
        <v>444</v>
      </c>
      <c r="B22" s="488" t="s">
        <v>450</v>
      </c>
      <c r="C22" s="489">
        <v>13.75742</v>
      </c>
      <c r="D22" s="489">
        <v>17.505309999999998</v>
      </c>
      <c r="E22" s="489"/>
      <c r="F22" s="489">
        <v>16.902720000000002</v>
      </c>
      <c r="G22" s="489">
        <v>20</v>
      </c>
      <c r="H22" s="489">
        <v>-3.0972799999999978</v>
      </c>
      <c r="I22" s="490">
        <v>0.84513600000000011</v>
      </c>
      <c r="J22" s="491" t="s">
        <v>451</v>
      </c>
    </row>
  </sheetData>
  <mergeCells count="3">
    <mergeCell ref="F3:I3"/>
    <mergeCell ref="C4:D4"/>
    <mergeCell ref="A1:I1"/>
  </mergeCells>
  <conditionalFormatting sqref="F10 F23:F65537">
    <cfRule type="cellIs" dxfId="52" priority="18" stopIfTrue="1" operator="greaterThan">
      <formula>1</formula>
    </cfRule>
  </conditionalFormatting>
  <conditionalFormatting sqref="H5:H9">
    <cfRule type="expression" dxfId="51" priority="14">
      <formula>$H5&gt;0</formula>
    </cfRule>
  </conditionalFormatting>
  <conditionalFormatting sqref="I5:I9">
    <cfRule type="expression" dxfId="50" priority="15">
      <formula>$I5&gt;1</formula>
    </cfRule>
  </conditionalFormatting>
  <conditionalFormatting sqref="B5:B9">
    <cfRule type="expression" dxfId="49" priority="11">
      <formula>OR($J5="NS",$J5="SumaNS",$J5="Účet")</formula>
    </cfRule>
  </conditionalFormatting>
  <conditionalFormatting sqref="B5:D9 F5:I9">
    <cfRule type="expression" dxfId="48" priority="17">
      <formula>AND($J5&lt;&gt;"",$J5&lt;&gt;"mezeraKL")</formula>
    </cfRule>
  </conditionalFormatting>
  <conditionalFormatting sqref="B5:D9 F5:I9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6" priority="13">
      <formula>OR($J5="SumaNS",$J5="NS")</formula>
    </cfRule>
  </conditionalFormatting>
  <conditionalFormatting sqref="A5:A9">
    <cfRule type="expression" dxfId="45" priority="9">
      <formula>AND($J5&lt;&gt;"mezeraKL",$J5&lt;&gt;"")</formula>
    </cfRule>
  </conditionalFormatting>
  <conditionalFormatting sqref="A5:A9">
    <cfRule type="expression" dxfId="44" priority="10">
      <formula>AND($J5&lt;&gt;"",$J5&lt;&gt;"mezeraKL")</formula>
    </cfRule>
  </conditionalFormatting>
  <conditionalFormatting sqref="H11:H22">
    <cfRule type="expression" dxfId="43" priority="5">
      <formula>$H11&gt;0</formula>
    </cfRule>
  </conditionalFormatting>
  <conditionalFormatting sqref="A11:A22">
    <cfRule type="expression" dxfId="42" priority="2">
      <formula>AND($J11&lt;&gt;"mezeraKL",$J11&lt;&gt;"")</formula>
    </cfRule>
  </conditionalFormatting>
  <conditionalFormatting sqref="I11:I22">
    <cfRule type="expression" dxfId="41" priority="6">
      <formula>$I11&gt;1</formula>
    </cfRule>
  </conditionalFormatting>
  <conditionalFormatting sqref="B11:B22">
    <cfRule type="expression" dxfId="40" priority="1">
      <formula>OR($J11="NS",$J11="SumaNS",$J11="Účet")</formula>
    </cfRule>
  </conditionalFormatting>
  <conditionalFormatting sqref="A11:D22 F11:I22">
    <cfRule type="expression" dxfId="39" priority="8">
      <formula>AND($J11&lt;&gt;"",$J11&lt;&gt;"mezeraKL")</formula>
    </cfRule>
  </conditionalFormatting>
  <conditionalFormatting sqref="B11:D22 F11:I22">
    <cfRule type="expression" dxfId="38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2 F11:I22">
    <cfRule type="expression" dxfId="37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29" hidden="1" customWidth="1" outlineLevel="1"/>
    <col min="2" max="2" width="28.33203125" style="129" hidden="1" customWidth="1" outlineLevel="1"/>
    <col min="3" max="3" width="5.33203125" style="209" bestFit="1" customWidth="1" collapsed="1"/>
    <col min="4" max="4" width="18.77734375" style="213" customWidth="1"/>
    <col min="5" max="5" width="9" style="275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2.6640625" style="207" customWidth="1"/>
    <col min="15" max="16384" width="8.88671875" style="129"/>
  </cols>
  <sheetData>
    <row r="1" spans="1:14" ht="18.600000000000001" customHeight="1" thickBot="1" x14ac:dyDescent="0.4">
      <c r="A1" s="366" t="s">
        <v>159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" customHeight="1" thickBot="1" x14ac:dyDescent="0.35">
      <c r="A2" s="232" t="s">
        <v>265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182.91099990823997</v>
      </c>
      <c r="M3" s="98">
        <f>SUBTOTAL(9,M5:M1048576)</f>
        <v>30</v>
      </c>
      <c r="N3" s="99">
        <f>SUBTOTAL(9,N5:N1048576)</f>
        <v>5487.3299972471996</v>
      </c>
    </row>
    <row r="4" spans="1:14" s="208" customFormat="1" ht="14.4" customHeight="1" thickBot="1" x14ac:dyDescent="0.35">
      <c r="A4" s="492" t="s">
        <v>4</v>
      </c>
      <c r="B4" s="493" t="s">
        <v>5</v>
      </c>
      <c r="C4" s="493" t="s">
        <v>0</v>
      </c>
      <c r="D4" s="493" t="s">
        <v>6</v>
      </c>
      <c r="E4" s="494" t="s">
        <v>7</v>
      </c>
      <c r="F4" s="493" t="s">
        <v>1</v>
      </c>
      <c r="G4" s="493" t="s">
        <v>8</v>
      </c>
      <c r="H4" s="493" t="s">
        <v>9</v>
      </c>
      <c r="I4" s="493" t="s">
        <v>10</v>
      </c>
      <c r="J4" s="495" t="s">
        <v>11</v>
      </c>
      <c r="K4" s="495" t="s">
        <v>12</v>
      </c>
      <c r="L4" s="496" t="s">
        <v>141</v>
      </c>
      <c r="M4" s="496" t="s">
        <v>13</v>
      </c>
      <c r="N4" s="497" t="s">
        <v>155</v>
      </c>
    </row>
    <row r="5" spans="1:14" ht="14.4" customHeight="1" x14ac:dyDescent="0.3">
      <c r="A5" s="498" t="s">
        <v>444</v>
      </c>
      <c r="B5" s="499" t="s">
        <v>445</v>
      </c>
      <c r="C5" s="500" t="s">
        <v>452</v>
      </c>
      <c r="D5" s="501" t="s">
        <v>453</v>
      </c>
      <c r="E5" s="502">
        <v>50113001</v>
      </c>
      <c r="F5" s="501" t="s">
        <v>460</v>
      </c>
      <c r="G5" s="500" t="s">
        <v>461</v>
      </c>
      <c r="H5" s="500">
        <v>145310</v>
      </c>
      <c r="I5" s="500">
        <v>45310</v>
      </c>
      <c r="J5" s="500" t="s">
        <v>462</v>
      </c>
      <c r="K5" s="500" t="s">
        <v>463</v>
      </c>
      <c r="L5" s="503">
        <v>44.589999999999989</v>
      </c>
      <c r="M5" s="503">
        <v>1</v>
      </c>
      <c r="N5" s="504">
        <v>44.589999999999989</v>
      </c>
    </row>
    <row r="6" spans="1:14" ht="14.4" customHeight="1" x14ac:dyDescent="0.3">
      <c r="A6" s="505" t="s">
        <v>444</v>
      </c>
      <c r="B6" s="506" t="s">
        <v>445</v>
      </c>
      <c r="C6" s="507" t="s">
        <v>452</v>
      </c>
      <c r="D6" s="508" t="s">
        <v>453</v>
      </c>
      <c r="E6" s="509">
        <v>50113001</v>
      </c>
      <c r="F6" s="508" t="s">
        <v>460</v>
      </c>
      <c r="G6" s="507" t="s">
        <v>461</v>
      </c>
      <c r="H6" s="507">
        <v>100498</v>
      </c>
      <c r="I6" s="507">
        <v>498</v>
      </c>
      <c r="J6" s="507" t="s">
        <v>464</v>
      </c>
      <c r="K6" s="507" t="s">
        <v>465</v>
      </c>
      <c r="L6" s="510">
        <v>108.75</v>
      </c>
      <c r="M6" s="510">
        <v>2</v>
      </c>
      <c r="N6" s="511">
        <v>217.5</v>
      </c>
    </row>
    <row r="7" spans="1:14" ht="14.4" customHeight="1" x14ac:dyDescent="0.3">
      <c r="A7" s="505" t="s">
        <v>444</v>
      </c>
      <c r="B7" s="506" t="s">
        <v>445</v>
      </c>
      <c r="C7" s="507" t="s">
        <v>457</v>
      </c>
      <c r="D7" s="508" t="s">
        <v>458</v>
      </c>
      <c r="E7" s="509">
        <v>50113001</v>
      </c>
      <c r="F7" s="508" t="s">
        <v>460</v>
      </c>
      <c r="G7" s="507" t="s">
        <v>461</v>
      </c>
      <c r="H7" s="507">
        <v>193746</v>
      </c>
      <c r="I7" s="507">
        <v>93746</v>
      </c>
      <c r="J7" s="507" t="s">
        <v>466</v>
      </c>
      <c r="K7" s="507" t="s">
        <v>467</v>
      </c>
      <c r="L7" s="510">
        <v>366.22</v>
      </c>
      <c r="M7" s="510">
        <v>2</v>
      </c>
      <c r="N7" s="511">
        <v>732.44</v>
      </c>
    </row>
    <row r="8" spans="1:14" ht="14.4" customHeight="1" x14ac:dyDescent="0.3">
      <c r="A8" s="505" t="s">
        <v>444</v>
      </c>
      <c r="B8" s="506" t="s">
        <v>445</v>
      </c>
      <c r="C8" s="507" t="s">
        <v>457</v>
      </c>
      <c r="D8" s="508" t="s">
        <v>458</v>
      </c>
      <c r="E8" s="509">
        <v>50113001</v>
      </c>
      <c r="F8" s="508" t="s">
        <v>460</v>
      </c>
      <c r="G8" s="507" t="s">
        <v>461</v>
      </c>
      <c r="H8" s="507">
        <v>51366</v>
      </c>
      <c r="I8" s="507">
        <v>51366</v>
      </c>
      <c r="J8" s="507" t="s">
        <v>468</v>
      </c>
      <c r="K8" s="507" t="s">
        <v>469</v>
      </c>
      <c r="L8" s="510">
        <v>171.6</v>
      </c>
      <c r="M8" s="510">
        <v>1</v>
      </c>
      <c r="N8" s="511">
        <v>171.6</v>
      </c>
    </row>
    <row r="9" spans="1:14" ht="14.4" customHeight="1" x14ac:dyDescent="0.3">
      <c r="A9" s="505" t="s">
        <v>444</v>
      </c>
      <c r="B9" s="506" t="s">
        <v>445</v>
      </c>
      <c r="C9" s="507" t="s">
        <v>457</v>
      </c>
      <c r="D9" s="508" t="s">
        <v>458</v>
      </c>
      <c r="E9" s="509">
        <v>50113001</v>
      </c>
      <c r="F9" s="508" t="s">
        <v>460</v>
      </c>
      <c r="G9" s="507" t="s">
        <v>461</v>
      </c>
      <c r="H9" s="507">
        <v>930589</v>
      </c>
      <c r="I9" s="507">
        <v>0</v>
      </c>
      <c r="J9" s="507" t="s">
        <v>470</v>
      </c>
      <c r="K9" s="507" t="s">
        <v>446</v>
      </c>
      <c r="L9" s="510">
        <v>74.978378900627376</v>
      </c>
      <c r="M9" s="510">
        <v>2</v>
      </c>
      <c r="N9" s="511">
        <v>149.95675780125475</v>
      </c>
    </row>
    <row r="10" spans="1:14" ht="14.4" customHeight="1" x14ac:dyDescent="0.3">
      <c r="A10" s="505" t="s">
        <v>444</v>
      </c>
      <c r="B10" s="506" t="s">
        <v>445</v>
      </c>
      <c r="C10" s="507" t="s">
        <v>457</v>
      </c>
      <c r="D10" s="508" t="s">
        <v>458</v>
      </c>
      <c r="E10" s="509">
        <v>50113001</v>
      </c>
      <c r="F10" s="508" t="s">
        <v>460</v>
      </c>
      <c r="G10" s="507" t="s">
        <v>461</v>
      </c>
      <c r="H10" s="507">
        <v>900321</v>
      </c>
      <c r="I10" s="507">
        <v>0</v>
      </c>
      <c r="J10" s="507" t="s">
        <v>471</v>
      </c>
      <c r="K10" s="507" t="s">
        <v>446</v>
      </c>
      <c r="L10" s="510">
        <v>181.44000000000003</v>
      </c>
      <c r="M10" s="510">
        <v>7</v>
      </c>
      <c r="N10" s="511">
        <v>1270.0800000000002</v>
      </c>
    </row>
    <row r="11" spans="1:14" ht="14.4" customHeight="1" thickBot="1" x14ac:dyDescent="0.35">
      <c r="A11" s="512" t="s">
        <v>444</v>
      </c>
      <c r="B11" s="513" t="s">
        <v>445</v>
      </c>
      <c r="C11" s="514" t="s">
        <v>457</v>
      </c>
      <c r="D11" s="515" t="s">
        <v>458</v>
      </c>
      <c r="E11" s="516">
        <v>50113001</v>
      </c>
      <c r="F11" s="515" t="s">
        <v>460</v>
      </c>
      <c r="G11" s="514" t="s">
        <v>461</v>
      </c>
      <c r="H11" s="514">
        <v>921227</v>
      </c>
      <c r="I11" s="514">
        <v>0</v>
      </c>
      <c r="J11" s="514" t="s">
        <v>472</v>
      </c>
      <c r="K11" s="514" t="s">
        <v>446</v>
      </c>
      <c r="L11" s="517">
        <v>193.41088262972968</v>
      </c>
      <c r="M11" s="517">
        <v>15</v>
      </c>
      <c r="N11" s="518">
        <v>2901.1632394459452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8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29"/>
  </cols>
  <sheetData>
    <row r="1" spans="1:17" ht="18.600000000000001" customHeight="1" thickBot="1" x14ac:dyDescent="0.4">
      <c r="A1" s="368" t="s">
        <v>191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" customHeight="1" thickBot="1" x14ac:dyDescent="0.35">
      <c r="A2" s="232" t="s">
        <v>265</v>
      </c>
      <c r="B2" s="214"/>
      <c r="C2" s="214"/>
      <c r="D2" s="214"/>
      <c r="E2" s="214"/>
    </row>
    <row r="3" spans="1:17" ht="14.4" customHeight="1" thickBot="1" x14ac:dyDescent="0.35">
      <c r="A3" s="247" t="s">
        <v>3</v>
      </c>
      <c r="B3" s="251">
        <f>SUM(B6:B1048576)</f>
        <v>45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27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" customHeight="1" thickBot="1" x14ac:dyDescent="0.35">
      <c r="A4" s="246"/>
      <c r="B4" s="381" t="s">
        <v>193</v>
      </c>
      <c r="C4" s="382"/>
      <c r="D4" s="382"/>
      <c r="E4" s="383"/>
      <c r="F4" s="378" t="s">
        <v>198</v>
      </c>
      <c r="G4" s="379"/>
      <c r="H4" s="379"/>
      <c r="I4" s="380"/>
      <c r="J4" s="381" t="s">
        <v>199</v>
      </c>
      <c r="K4" s="382"/>
      <c r="L4" s="382"/>
      <c r="M4" s="383"/>
      <c r="N4" s="378" t="s">
        <v>200</v>
      </c>
      <c r="O4" s="379"/>
      <c r="P4" s="379"/>
      <c r="Q4" s="380"/>
    </row>
    <row r="5" spans="1:17" ht="14.4" customHeight="1" thickBot="1" x14ac:dyDescent="0.35">
      <c r="A5" s="519" t="s">
        <v>192</v>
      </c>
      <c r="B5" s="520" t="s">
        <v>194</v>
      </c>
      <c r="C5" s="520" t="s">
        <v>195</v>
      </c>
      <c r="D5" s="520" t="s">
        <v>196</v>
      </c>
      <c r="E5" s="521" t="s">
        <v>197</v>
      </c>
      <c r="F5" s="522" t="s">
        <v>194</v>
      </c>
      <c r="G5" s="523" t="s">
        <v>195</v>
      </c>
      <c r="H5" s="523" t="s">
        <v>196</v>
      </c>
      <c r="I5" s="524" t="s">
        <v>197</v>
      </c>
      <c r="J5" s="520" t="s">
        <v>194</v>
      </c>
      <c r="K5" s="520" t="s">
        <v>195</v>
      </c>
      <c r="L5" s="520" t="s">
        <v>196</v>
      </c>
      <c r="M5" s="521" t="s">
        <v>197</v>
      </c>
      <c r="N5" s="522" t="s">
        <v>194</v>
      </c>
      <c r="O5" s="523" t="s">
        <v>195</v>
      </c>
      <c r="P5" s="523" t="s">
        <v>196</v>
      </c>
      <c r="Q5" s="524" t="s">
        <v>197</v>
      </c>
    </row>
    <row r="6" spans="1:17" ht="14.4" customHeight="1" x14ac:dyDescent="0.3">
      <c r="A6" s="531" t="s">
        <v>473</v>
      </c>
      <c r="B6" s="537"/>
      <c r="C6" s="503"/>
      <c r="D6" s="503"/>
      <c r="E6" s="504"/>
      <c r="F6" s="534"/>
      <c r="G6" s="525"/>
      <c r="H6" s="525"/>
      <c r="I6" s="540"/>
      <c r="J6" s="537"/>
      <c r="K6" s="503"/>
      <c r="L6" s="503"/>
      <c r="M6" s="504"/>
      <c r="N6" s="534"/>
      <c r="O6" s="525"/>
      <c r="P6" s="525"/>
      <c r="Q6" s="526"/>
    </row>
    <row r="7" spans="1:17" ht="14.4" customHeight="1" x14ac:dyDescent="0.3">
      <c r="A7" s="532" t="s">
        <v>474</v>
      </c>
      <c r="B7" s="538">
        <v>19</v>
      </c>
      <c r="C7" s="510"/>
      <c r="D7" s="510"/>
      <c r="E7" s="511"/>
      <c r="F7" s="535">
        <v>1</v>
      </c>
      <c r="G7" s="527">
        <v>0</v>
      </c>
      <c r="H7" s="527">
        <v>0</v>
      </c>
      <c r="I7" s="541">
        <v>0</v>
      </c>
      <c r="J7" s="538">
        <v>7</v>
      </c>
      <c r="K7" s="510"/>
      <c r="L7" s="510"/>
      <c r="M7" s="511"/>
      <c r="N7" s="535">
        <v>1</v>
      </c>
      <c r="O7" s="527">
        <v>0</v>
      </c>
      <c r="P7" s="527">
        <v>0</v>
      </c>
      <c r="Q7" s="528">
        <v>0</v>
      </c>
    </row>
    <row r="8" spans="1:17" ht="14.4" customHeight="1" thickBot="1" x14ac:dyDescent="0.35">
      <c r="A8" s="533" t="s">
        <v>475</v>
      </c>
      <c r="B8" s="539">
        <v>26</v>
      </c>
      <c r="C8" s="517"/>
      <c r="D8" s="517"/>
      <c r="E8" s="518"/>
      <c r="F8" s="536">
        <v>1</v>
      </c>
      <c r="G8" s="529">
        <v>0</v>
      </c>
      <c r="H8" s="529">
        <v>0</v>
      </c>
      <c r="I8" s="542">
        <v>0</v>
      </c>
      <c r="J8" s="539">
        <v>20</v>
      </c>
      <c r="K8" s="517"/>
      <c r="L8" s="517"/>
      <c r="M8" s="518"/>
      <c r="N8" s="536">
        <v>1</v>
      </c>
      <c r="O8" s="529">
        <v>0</v>
      </c>
      <c r="P8" s="529">
        <v>0</v>
      </c>
      <c r="Q8" s="53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3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2018-07-26T07:20:33Z</dcterms:modified>
</cp:coreProperties>
</file>