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9D6C54C-5751-4AE4-94BE-F3F714472A95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Materiál Žádanky" sheetId="420" r:id="rId13"/>
    <sheet name="MŽ Detail" sheetId="403" r:id="rId14"/>
    <sheet name="Osobní náklady" sheetId="431" r:id="rId15"/>
    <sheet name="ON Data" sheetId="432" state="hidden" r:id="rId16"/>
    <sheet name="ZV Vykáz.-A" sheetId="344" r:id="rId17"/>
    <sheet name="ZV Vykáz.-A Lékaři" sheetId="429" r:id="rId18"/>
    <sheet name="ZV Vykáz.-A Detail" sheetId="345" r:id="rId19"/>
    <sheet name="ZV Vykáz.-A Det.Lék." sheetId="430" r:id="rId20"/>
    <sheet name="ZV Vykáz.-H" sheetId="410" r:id="rId21"/>
    <sheet name="ZV Vykáz.-H Detail" sheetId="377" r:id="rId22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2" hidden="1">'Materiál Žádanky'!$A$4:$I$4</definedName>
    <definedName name="_xlnm._FilterDatabase" localSheetId="13" hidden="1">'MŽ Detail'!$A$4:$K$4</definedName>
    <definedName name="_xlnm._FilterDatabase" localSheetId="19" hidden="1">'ZV Vykáz.-A Det.Lék.'!$A$5:$S$5</definedName>
    <definedName name="_xlnm._FilterDatabase" localSheetId="18" hidden="1">'ZV Vykáz.-A Detail'!$A$5:$R$5</definedName>
    <definedName name="_xlnm._FilterDatabase" localSheetId="17" hidden="1">'ZV Vykáz.-A Lékaři'!$A$4:$A$5</definedName>
    <definedName name="_xlnm._FilterDatabase" localSheetId="21" hidden="1">'ZV Vykáz.-H Detail'!$A$5:$Q$5</definedName>
    <definedName name="doměsíce">'HI Graf'!$C$11</definedName>
    <definedName name="Obdobi" localSheetId="15">'ON Data'!$B$3:$B$16</definedName>
    <definedName name="Obdobi" localSheetId="14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431" l="1"/>
  <c r="O13" i="431"/>
  <c r="Q15" i="431"/>
  <c r="G14" i="431"/>
  <c r="I16" i="431"/>
  <c r="K18" i="431"/>
  <c r="M12" i="431"/>
  <c r="O14" i="431"/>
  <c r="P23" i="431"/>
  <c r="L20" i="431"/>
  <c r="Q17" i="431"/>
  <c r="C10" i="431"/>
  <c r="C18" i="431"/>
  <c r="D11" i="431"/>
  <c r="D19" i="431"/>
  <c r="E12" i="431"/>
  <c r="E20" i="431"/>
  <c r="F13" i="431"/>
  <c r="G22" i="431"/>
  <c r="H15" i="431"/>
  <c r="J17" i="431"/>
  <c r="L19" i="431"/>
  <c r="N21" i="431"/>
  <c r="Q16" i="431"/>
  <c r="M21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L12" i="431"/>
  <c r="O15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O9" i="431"/>
  <c r="P10" i="431"/>
  <c r="Q11" i="431"/>
  <c r="Q19" i="431"/>
  <c r="C14" i="431"/>
  <c r="D15" i="431"/>
  <c r="D23" i="431"/>
  <c r="E16" i="431"/>
  <c r="F9" i="431"/>
  <c r="G10" i="431"/>
  <c r="G18" i="431"/>
  <c r="H19" i="431"/>
  <c r="I12" i="431"/>
  <c r="J21" i="431"/>
  <c r="K22" i="431"/>
  <c r="L15" i="431"/>
  <c r="M16" i="431"/>
  <c r="N17" i="431"/>
  <c r="O10" i="431"/>
  <c r="P11" i="431"/>
  <c r="P19" i="431"/>
  <c r="C23" i="431"/>
  <c r="E9" i="431"/>
  <c r="F10" i="431"/>
  <c r="G11" i="431"/>
  <c r="H20" i="431"/>
  <c r="I21" i="431"/>
  <c r="J22" i="431"/>
  <c r="L16" i="431"/>
  <c r="M17" i="431"/>
  <c r="O11" i="431"/>
  <c r="P12" i="431"/>
  <c r="Q21" i="431"/>
  <c r="N14" i="431"/>
  <c r="P16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17" i="431"/>
  <c r="P18" i="431"/>
  <c r="C22" i="431"/>
  <c r="F17" i="431"/>
  <c r="H11" i="431"/>
  <c r="I20" i="431"/>
  <c r="K14" i="431"/>
  <c r="L23" i="431"/>
  <c r="N9" i="431"/>
  <c r="O18" i="431"/>
  <c r="Q12" i="431"/>
  <c r="C15" i="431"/>
  <c r="E17" i="431"/>
  <c r="G19" i="431"/>
  <c r="I13" i="431"/>
  <c r="K15" i="431"/>
  <c r="M9" i="431"/>
  <c r="N18" i="431"/>
  <c r="P20" i="431"/>
  <c r="N22" i="431"/>
  <c r="J13" i="431"/>
  <c r="Q20" i="431"/>
  <c r="D16" i="431"/>
  <c r="F18" i="431"/>
  <c r="H12" i="431"/>
  <c r="J14" i="431"/>
  <c r="K23" i="431"/>
  <c r="N10" i="431"/>
  <c r="O19" i="431"/>
  <c r="Q13" i="431"/>
  <c r="M13" i="431"/>
  <c r="Q9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K9" i="431"/>
  <c r="K17" i="431"/>
  <c r="L10" i="431"/>
  <c r="L18" i="431"/>
  <c r="M11" i="431"/>
  <c r="M19" i="431"/>
  <c r="N12" i="431"/>
  <c r="N20" i="431"/>
  <c r="O21" i="431"/>
  <c r="P14" i="431"/>
  <c r="P22" i="431"/>
  <c r="Q23" i="431"/>
  <c r="F21" i="431"/>
  <c r="H23" i="431"/>
  <c r="J9" i="431"/>
  <c r="K10" i="431"/>
  <c r="L11" i="431"/>
  <c r="M20" i="431"/>
  <c r="N13" i="431"/>
  <c r="O22" i="431"/>
  <c r="P15" i="431"/>
  <c r="K19" i="431"/>
  <c r="O23" i="431"/>
  <c r="O8" i="431"/>
  <c r="M8" i="431"/>
  <c r="J8" i="431"/>
  <c r="G8" i="431"/>
  <c r="D8" i="431"/>
  <c r="E8" i="431"/>
  <c r="P8" i="431"/>
  <c r="N8" i="431"/>
  <c r="I8" i="431"/>
  <c r="Q8" i="431"/>
  <c r="H8" i="431"/>
  <c r="C8" i="431"/>
  <c r="K8" i="431"/>
  <c r="F8" i="431"/>
  <c r="L8" i="431"/>
  <c r="S23" i="431" l="1"/>
  <c r="R23" i="431"/>
  <c r="S22" i="431"/>
  <c r="R22" i="431"/>
  <c r="S14" i="431"/>
  <c r="R14" i="431"/>
  <c r="S9" i="431"/>
  <c r="R9" i="431"/>
  <c r="R13" i="431"/>
  <c r="S13" i="431"/>
  <c r="S20" i="431"/>
  <c r="R20" i="431"/>
  <c r="S12" i="431"/>
  <c r="R12" i="431"/>
  <c r="S21" i="431"/>
  <c r="R21" i="431"/>
  <c r="R19" i="431"/>
  <c r="S19" i="431"/>
  <c r="S11" i="431"/>
  <c r="R11" i="431"/>
  <c r="S18" i="431"/>
  <c r="R18" i="431"/>
  <c r="S10" i="431"/>
  <c r="R10" i="431"/>
  <c r="S16" i="431"/>
  <c r="R16" i="431"/>
  <c r="S17" i="431"/>
  <c r="R17" i="431"/>
  <c r="S15" i="431"/>
  <c r="R15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5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10" i="414" l="1"/>
  <c r="A8" i="414"/>
  <c r="A7" i="414"/>
  <c r="A23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7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D4" i="414"/>
  <c r="C14" i="414"/>
  <c r="D14" i="414"/>
  <c r="C17" i="414"/>
  <c r="D17" i="414"/>
  <c r="C13" i="414" l="1"/>
  <c r="C7" i="414"/>
  <c r="D10" i="414" l="1"/>
  <c r="E10" i="414" s="1"/>
  <c r="E21" i="414"/>
  <c r="E18" i="414"/>
  <c r="E13" i="414"/>
  <c r="E7" i="414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T3" i="347"/>
  <c r="R3" i="347"/>
  <c r="P3" i="347"/>
  <c r="O3" i="347"/>
  <c r="N3" i="347"/>
  <c r="M3" i="347"/>
  <c r="N3" i="220"/>
  <c r="L3" i="220" s="1"/>
  <c r="C22" i="414"/>
  <c r="D22" i="414"/>
  <c r="R3" i="345" l="1"/>
  <c r="Q3" i="345"/>
  <c r="U3" i="347"/>
  <c r="Q3" i="347"/>
  <c r="S3" i="347"/>
  <c r="I12" i="339"/>
  <c r="I13" i="339" s="1"/>
  <c r="F13" i="339"/>
  <c r="E13" i="339"/>
  <c r="E15" i="339" s="1"/>
  <c r="H12" i="339"/>
  <c r="G12" i="339"/>
  <c r="A4" i="383"/>
  <c r="A27" i="383"/>
  <c r="A26" i="383"/>
  <c r="A24" i="383"/>
  <c r="A22" i="383"/>
  <c r="A19" i="383"/>
  <c r="A18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H15" i="339"/>
  <c r="G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<sst xmlns="http://schemas.openxmlformats.org/spreadsheetml/2006/main" count="4205" uniqueCount="1144">
  <si>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</si>
  <si>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</si>
  <si>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</si>
  <si>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</si>
  <si>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</si>
  <si>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</si>
  <si>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</si>
  <si>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</si>
  <si>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</si>
  <si>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</si>
  <si>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</si>
  <si>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</si>
  <si>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</si>
  <si>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</si>
  <si>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</si>
  <si>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</si>
  <si>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</si>
  <si>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</si>
  <si>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</si>
  <si>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</si>
  <si>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</si>
  <si>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</si>
  <si>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</si>
  <si>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</si>
  <si>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</si>
  <si>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</si>
  <si>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</si>
  <si>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</si>
  <si>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</si>
  <si>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</si>
  <si>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</si>
  <si>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</si>
  <si>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</si>
  <si>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</si>
  <si>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</si>
  <si>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</si>
  <si>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</si>
  <si>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</si>
  <si>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</si>
  <si>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</si>
  <si>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</si>
  <si>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</si>
  <si>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</si>
  <si>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</si>
  <si>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</si>
  <si>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</si>
  <si>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</si>
  <si>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</si>
  <si>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</si>
  <si>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</si>
  <si>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</si>
  <si>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</si>
  <si>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</si>
  <si>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</si>
  <si>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</si>
  <si>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</si>
  <si>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</si>
  <si>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</si>
  <si>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</si>
  <si>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</si>
  <si>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</si>
  <si>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</si>
  <si>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</si>
  <si>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</si>
  <si>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</si>
  <si>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</si>
  <si>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</si>
  <si>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</si>
  <si>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</si>
  <si>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</si>
  <si>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</si>
  <si>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</si>
  <si>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</si>
  <si>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</si>
  <si>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</si>
  <si>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</si>
  <si>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</si>
  <si>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</si>
  <si>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</si>
  <si>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</si>
  <si>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</si>
  <si>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</si>
  <si>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</si>
  <si>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</si>
  <si>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</si>
  <si>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</si>
  <si>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</si>
  <si>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</si>
  <si>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</si>
  <si>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</si>
  <si>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</si>
  <si>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</si>
  <si>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</si>
  <si>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</si>
  <si>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</si>
  <si>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</si>
  <si>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</si>
  <si>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</si>
  <si>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</si>
  <si>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</si>
  <si>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</si>
  <si>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</si>
  <si>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</si>
  <si>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</si>
  <si>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</si>
  <si>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</si>
  <si>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</si>
  <si>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</si>
  <si>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</si>
  <si>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</si>
  <si>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</si>
  <si>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</si>
  <si>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</si>
  <si>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</si>
  <si>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</si>
  <si>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</si>
  <si>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</si>
  <si>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</si>
  <si>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</si>
  <si>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</si>
  <si>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</si>
  <si>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</si>
  <si>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</si>
  <si>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</si>
  <si>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</si>
  <si>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</si>
  <si>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</si>
  <si>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</si>
  <si>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</si>
  <si>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</si>
  <si>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</si>
  <si>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</si>
  <si>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</si>
  <si>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</si>
  <si>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</si>
  <si>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</si>
  <si>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</si>
  <si>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</si>
  <si>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</si>
  <si>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</si>
  <si>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</si>
  <si>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</si>
  <si>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</si>
  <si>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</si>
  <si>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</si>
  <si>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</si>
  <si>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</si>
  <si>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</si>
  <si>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</si>
  <si>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</si>
  <si>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</si>
  <si>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</si>
  <si>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</si>
  <si>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</si>
  <si>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</si>
  <si>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</si>
  <si>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</si>
  <si>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</si>
  <si>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</si>
  <si>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</si>
  <si>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</si>
  <si>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</si>
  <si>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</si>
  <si>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</si>
  <si>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</si>
  <si>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</si>
  <si>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</si>
  <si>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</si>
  <si>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</si>
  <si>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</si>
  <si>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</si>
  <si>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</si>
  <si>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</si>
  <si>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</si>
  <si>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</si>
  <si>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</si>
  <si>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</si>
  <si>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</si>
  <si>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</si>
  <si>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</si>
  <si>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</si>
  <si>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</si>
  <si>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</si>
  <si>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</si>
  <si>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</si>
  <si>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</si>
  <si>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</si>
  <si>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</si>
  <si>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</si>
  <si>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</si>
  <si>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</si>
  <si>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</si>
  <si>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</si>
  <si>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</si>
  <si>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</si>
  <si>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</si>
  <si>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</si>
  <si>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</si>
  <si>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</si>
  <si>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</si>
  <si>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</si>
  <si>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</si>
  <si>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</si>
  <si>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</si>
  <si>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</si>
  <si>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</si>
  <si>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</si>
  <si>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</si>
  <si>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</si>
  <si>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</si>
  <si>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</si>
  <si>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</si>
  <si>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</si>
  <si>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</si>
  <si>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</si>
  <si>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</si>
  <si>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</si>
  <si>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</si>
  <si>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</si>
  <si>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</si>
  <si>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</si>
  <si>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</si>
  <si>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</si>
  <si>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</si>
  <si>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</si>
  <si>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</si>
  <si>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</si>
  <si>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</si>
  <si>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</si>
  <si>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</si>
  <si>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</si>
  <si>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</si>
  <si>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</si>
  <si>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</si>
  <si>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</si>
  <si>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</si>
  <si>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</si>
  <si>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</si>
  <si>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</si>
  <si>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</si>
  <si>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</si>
  <si>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</si>
  <si>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</si>
  <si>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</si>
  <si>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</si>
  <si>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</si>
  <si>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</si>
  <si>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</si>
  <si>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</si>
  <si>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</si>
  <si>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</si>
  <si>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</si>
  <si>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</si>
  <si>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</si>
  <si>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</si>
  <si>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</si>
  <si>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lékařské genetiky a fetální medicíny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</si>
  <si>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</si>
  <si>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</si>
  <si>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</si>
  <si>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</si>
  <si>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</si>
  <si>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</si>
  <si>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</si>
  <si>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</si>
  <si>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</si>
  <si>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</si>
  <si>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</si>
  <si>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</si>
  <si>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</si>
  <si>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</si>
  <si>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</si>
  <si>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</si>
  <si>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</si>
  <si>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</si>
  <si>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</si>
  <si>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</si>
  <si>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</si>
  <si>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</si>
  <si>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</si>
  <si>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</si>
  <si>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</si>
  <si>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</si>
  <si>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</si>
  <si>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38, 48)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</si>
  <si>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</si>
  <si>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</si>
  <si>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</si>
  <si>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</si>
  <si>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50118003     ND - ostatní techn.(OSBTK, vč.metrologa)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</si>
  <si>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</si>
  <si>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</si>
  <si>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</si>
  <si>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</si>
  <si>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50119092     pokojový textil (sk. T15)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</si>
  <si>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</si>
  <si>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</si>
  <si>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</si>
  <si>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</si>
  <si>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</si>
  <si>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</si>
  <si>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</si>
  <si>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</si>
  <si>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</si>
  <si>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</si>
  <si>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</si>
  <si>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</si>
  <si>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</si>
  <si>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</si>
  <si>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</si>
  <si>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</si>
  <si>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</si>
  <si>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</si>
  <si>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</si>
  <si>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</si>
  <si>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</si>
  <si>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</si>
  <si>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</si>
  <si>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</si>
  <si>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</si>
  <si>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</si>
  <si>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</si>
  <si>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</si>
  <si>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</si>
  <si>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</si>
  <si>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</si>
  <si>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51806007     praní prádla</t>
  </si>
  <si>
    <t>51808     Revize a smluvní servisy majetku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</si>
  <si>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</si>
  <si>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</si>
  <si>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</si>
  <si>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</si>
  <si>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</si>
  <si>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</si>
  <si>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</si>
  <si>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</si>
  <si>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</si>
  <si>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</si>
  <si>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</si>
  <si>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</si>
  <si>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</si>
  <si>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</si>
  <si>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</si>
  <si>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</si>
  <si>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</si>
  <si>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</si>
  <si>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</si>
  <si>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</si>
  <si>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</si>
  <si>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</si>
  <si>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</si>
  <si>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</si>
  <si>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</si>
  <si>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</si>
  <si>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</si>
  <si>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</si>
  <si>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</si>
  <si>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</si>
  <si>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</si>
  <si>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</si>
  <si>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</si>
  <si>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</si>
  <si>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</si>
  <si>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</si>
  <si>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</si>
  <si>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</si>
  <si>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</si>
  <si>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</si>
  <si>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</si>
  <si>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</si>
  <si>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</si>
  <si>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</si>
  <si>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</si>
  <si>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</si>
  <si>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</si>
  <si>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</si>
  <si>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</si>
  <si>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</si>
  <si>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</si>
  <si>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</si>
  <si>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</si>
  <si>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</si>
  <si>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</si>
  <si>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</si>
  <si>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</si>
  <si>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</si>
  <si>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</si>
  <si>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</si>
  <si>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</si>
  <si>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</si>
  <si>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</si>
  <si>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</si>
  <si>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</si>
  <si>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</si>
  <si>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</si>
  <si>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</si>
  <si>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</si>
  <si>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</si>
  <si>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</si>
  <si>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</si>
  <si>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</si>
  <si>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</si>
  <si>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</si>
  <si>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</si>
  <si>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</si>
  <si>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</si>
  <si>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</si>
  <si>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</si>
  <si>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</si>
  <si>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</si>
  <si>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</si>
  <si>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</si>
  <si>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</si>
  <si>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</si>
  <si>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</si>
  <si>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</si>
  <si>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</si>
  <si>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</si>
  <si>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</si>
  <si>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</si>
  <si>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</si>
  <si>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</si>
  <si>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</si>
  <si>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</si>
  <si>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</si>
  <si>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</si>
  <si>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</si>
  <si>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</si>
  <si>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</si>
  <si>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</si>
  <si>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</si>
  <si>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</si>
  <si>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79905     Distribuce prádle (stř.9412)</t>
  </si>
  <si>
    <t>79905001     režie - distribuce prádle (stř.9412)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</si>
  <si>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</si>
  <si>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</si>
  <si>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</si>
  <si>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</si>
  <si>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</si>
  <si>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</si>
  <si>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</si>
  <si>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</si>
  <si>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</si>
  <si>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</si>
  <si>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28</t>
  </si>
  <si>
    <t>GEN: Ústav lékařské genetiky</t>
  </si>
  <si>
    <t/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</si>
  <si>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</si>
  <si>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</si>
  <si>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</si>
  <si>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</si>
  <si>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</si>
  <si>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</si>
  <si>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</si>
  <si>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</si>
  <si>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</si>
  <si>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</si>
  <si>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</si>
  <si>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</si>
  <si>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</si>
  <si>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APO-IBUPROFEN 400 MG</t>
  </si>
  <si>
    <t>POR TBL FLM 30X400MG</t>
  </si>
  <si>
    <t>AULIN</t>
  </si>
  <si>
    <t>POR GRA SOL30SÁČKŮ</t>
  </si>
  <si>
    <t>CARBOSORB</t>
  </si>
  <si>
    <t>320MG TBL NOB 20</t>
  </si>
  <si>
    <t>MAGNESIUM SULFURICUM BIOTIKA</t>
  </si>
  <si>
    <t>INJ 5X10ML 10%</t>
  </si>
  <si>
    <t>CHLORID SODNÝ 0,9% BRAUN</t>
  </si>
  <si>
    <t>INF SOL 20X100MLPELAH</t>
  </si>
  <si>
    <t>KL ETHANOLUM BENZ.DENAT. 900 ml / 720g/</t>
  </si>
  <si>
    <t>KL PRIPRAVEK</t>
  </si>
  <si>
    <t>KL SOL.HYD.PEROX.20% 500g</t>
  </si>
  <si>
    <t>28 - GEN: Ústav lékařské genetiky</t>
  </si>
  <si>
    <t>2821 - GEN: ambulance</t>
  </si>
  <si>
    <t>2841 - GEN: laboratoř</t>
  </si>
  <si>
    <t>Ústav lékařské genetiky a fet.med.</t>
  </si>
  <si>
    <t>HVLP</t>
  </si>
  <si>
    <t>IPLP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</si>
  <si>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</si>
  <si>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</si>
  <si>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</si>
  <si>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</si>
  <si>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</si>
  <si>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Curtisová Václava</t>
  </si>
  <si>
    <t>Mracká Enkhjargal</t>
  </si>
  <si>
    <t>Mracká Enkhjargalan</t>
  </si>
  <si>
    <t>Procházka Martin</t>
  </si>
  <si>
    <t>Štellmachová Júlia</t>
  </si>
  <si>
    <t>ACIKLOVIR</t>
  </si>
  <si>
    <t>13703</t>
  </si>
  <si>
    <t>ZOVIRAX</t>
  </si>
  <si>
    <t>200MG TBL NOB 25</t>
  </si>
  <si>
    <t>INDOMETACIN</t>
  </si>
  <si>
    <t>93724</t>
  </si>
  <si>
    <t>INDOMETACIN BERLIN-CHEMIE</t>
  </si>
  <si>
    <t>100MG SUP 10</t>
  </si>
  <si>
    <t>SULFAMETHOXAZOL A TRIMETHOPRIM</t>
  </si>
  <si>
    <t>3377</t>
  </si>
  <si>
    <t>BISEPTOL</t>
  </si>
  <si>
    <t>400MG/80MG TBL NOB 20</t>
  </si>
  <si>
    <t>HOŘČÍK (KOMBINACE RŮZNÝCH SOLÍ)</t>
  </si>
  <si>
    <t>215978</t>
  </si>
  <si>
    <t>MAGNOSOLV</t>
  </si>
  <si>
    <t>365MG POR GRA SOL SCC 30</t>
  </si>
  <si>
    <t>234736</t>
  </si>
  <si>
    <t>PITOFENON A ANALGETIKA</t>
  </si>
  <si>
    <t>176954</t>
  </si>
  <si>
    <t>ALGIFEN NEO</t>
  </si>
  <si>
    <t>500MG/ML+5MG/ML POR GTT SOL 1X50ML</t>
  </si>
  <si>
    <t>AMOXICILIN</t>
  </si>
  <si>
    <t>32558</t>
  </si>
  <si>
    <t>OSPAMOX</t>
  </si>
  <si>
    <t>750MG TBL FLM 14</t>
  </si>
  <si>
    <t>ANTIBIOTIKA V KOMBINACI S OSTATNÍMI LÉČIVY</t>
  </si>
  <si>
    <t>1077</t>
  </si>
  <si>
    <t>OPHTHALMO-FRAMYKOIN COMP.</t>
  </si>
  <si>
    <t>OPH UNG 5G</t>
  </si>
  <si>
    <t>AZITHROMYCIN</t>
  </si>
  <si>
    <t>45010</t>
  </si>
  <si>
    <t>AZITROMYCIN SANDOZ</t>
  </si>
  <si>
    <t>500MG TBL FLM 3</t>
  </si>
  <si>
    <t>CETIRIZIN</t>
  </si>
  <si>
    <t>5496</t>
  </si>
  <si>
    <t>ZODAC</t>
  </si>
  <si>
    <t>10MG TBL FLM 60</t>
  </si>
  <si>
    <t>DEXAMETHASON</t>
  </si>
  <si>
    <t>84700</t>
  </si>
  <si>
    <t>OTOBACID N</t>
  </si>
  <si>
    <t>0,2MG/G+5MG/G+479,8MG/G AUR GTT SOL 1X5ML</t>
  </si>
  <si>
    <t>DIKLOFENAK</t>
  </si>
  <si>
    <t>119672</t>
  </si>
  <si>
    <t>DICLOFENAC DUO PHARMASWISS</t>
  </si>
  <si>
    <t>75MG CPS RDR 30 I</t>
  </si>
  <si>
    <t>89025</t>
  </si>
  <si>
    <t>DICLOFENAC AL 50</t>
  </si>
  <si>
    <t>50MG TBL ENT 50</t>
  </si>
  <si>
    <t>DIOSMIN, KOMBINACE</t>
  </si>
  <si>
    <t>14075</t>
  </si>
  <si>
    <t>DETRALEX</t>
  </si>
  <si>
    <t>500MG TBL FLM 60</t>
  </si>
  <si>
    <t>DOXYCYKLIN</t>
  </si>
  <si>
    <t>4013</t>
  </si>
  <si>
    <t>DOXYBENE</t>
  </si>
  <si>
    <t>200MG TBL NOB 10</t>
  </si>
  <si>
    <t>CHONDROITIN-SULFÁT</t>
  </si>
  <si>
    <t>14821</t>
  </si>
  <si>
    <t>CONDROSULF</t>
  </si>
  <si>
    <t>800MG TBL FLM 30</t>
  </si>
  <si>
    <t>IBUPROFEN</t>
  </si>
  <si>
    <t>207900</t>
  </si>
  <si>
    <t>IBALGIN 600</t>
  </si>
  <si>
    <t>600MG TBL FLM 30</t>
  </si>
  <si>
    <t>JINÁ ANTIBIOTIKA PRO LOKÁLNÍ APLIKACI</t>
  </si>
  <si>
    <t>1066</t>
  </si>
  <si>
    <t>FRAMYKOIN</t>
  </si>
  <si>
    <t>250IU/G+5,2MG/G UNG 10G</t>
  </si>
  <si>
    <t>48261</t>
  </si>
  <si>
    <t>3300IU/G+250IU/G DRM PLV ADS 1X20G</t>
  </si>
  <si>
    <t>201970</t>
  </si>
  <si>
    <t>PAMYCON NA PŘÍPRAVU KAPEK</t>
  </si>
  <si>
    <t>33000IU/2500IU DRM PLV SOL 1</t>
  </si>
  <si>
    <t>KLARITHROMYCIN</t>
  </si>
  <si>
    <t>216199</t>
  </si>
  <si>
    <t>KLACID</t>
  </si>
  <si>
    <t>500MG TBL FLM 14</t>
  </si>
  <si>
    <t>KOMBINACE RŮZNÝCH ANTIBIOTIK</t>
  </si>
  <si>
    <t>1076</t>
  </si>
  <si>
    <t>OPHTHALMO-FRAMYKOIN</t>
  </si>
  <si>
    <t>METFORMIN</t>
  </si>
  <si>
    <t>235447</t>
  </si>
  <si>
    <t>METFORMIN MYLAN</t>
  </si>
  <si>
    <t>500MG TBL FLM 120</t>
  </si>
  <si>
    <t>NIMESULID</t>
  </si>
  <si>
    <t>132721</t>
  </si>
  <si>
    <t>100MG POR GRA SUS 15</t>
  </si>
  <si>
    <t>NITROFURANTOIN</t>
  </si>
  <si>
    <t>207280</t>
  </si>
  <si>
    <t>FUROLIN</t>
  </si>
  <si>
    <t>100MG TBL NOB 30</t>
  </si>
  <si>
    <t>OMEPRAZOL</t>
  </si>
  <si>
    <t>25366</t>
  </si>
  <si>
    <t>HELICID 20 ZENTIVA</t>
  </si>
  <si>
    <t>20MG CPS ETD 90 I</t>
  </si>
  <si>
    <t>PREDNISON</t>
  </si>
  <si>
    <t>2963</t>
  </si>
  <si>
    <t>PREDNISON LÉČIVA</t>
  </si>
  <si>
    <t>20MG TBL NOB 20</t>
  </si>
  <si>
    <t>PSEUDOEFEDRIN, KOMBINACE</t>
  </si>
  <si>
    <t>216104</t>
  </si>
  <si>
    <t>CLARINASE REPETABS</t>
  </si>
  <si>
    <t>5MG/120MG TBL PRO 14</t>
  </si>
  <si>
    <t>SALBUTAMOL</t>
  </si>
  <si>
    <t>31934</t>
  </si>
  <si>
    <t>VENTOLIN INHALER N</t>
  </si>
  <si>
    <t>100MCG/DÁV INH SUS PSS 200DÁV</t>
  </si>
  <si>
    <t>TETRYZOLIN, KOMBINACE</t>
  </si>
  <si>
    <t>187418</t>
  </si>
  <si>
    <t>SPERSALLERG</t>
  </si>
  <si>
    <t>0,5MG/ML+0,4MG/ML OPH GTT SOL 10ML</t>
  </si>
  <si>
    <t>TOBRAMYCIN</t>
  </si>
  <si>
    <t>86264</t>
  </si>
  <si>
    <t>TOBREX</t>
  </si>
  <si>
    <t>3MG/ML OPH GTT SOL 1X5ML</t>
  </si>
  <si>
    <t>ZOLPIDEM</t>
  </si>
  <si>
    <t>146899</t>
  </si>
  <si>
    <t>ZOLPIDEM MYLAN</t>
  </si>
  <si>
    <t>10MG TBL FLM 50</t>
  </si>
  <si>
    <t>AMOXICILIN A  INHIBITOR BETA-LAKTAMASY</t>
  </si>
  <si>
    <t>5951</t>
  </si>
  <si>
    <t>AMOKSIKLAV 1 G</t>
  </si>
  <si>
    <t>875MG/125MG TBL FLM 14</t>
  </si>
  <si>
    <t>CEFPROZIL</t>
  </si>
  <si>
    <t>199796</t>
  </si>
  <si>
    <t>CEFZIL</t>
  </si>
  <si>
    <t>500MG TBL FLM 10</t>
  </si>
  <si>
    <t>DROSPIRENON A ETHINYLESTRADIOL</t>
  </si>
  <si>
    <t>181993</t>
  </si>
  <si>
    <t>YOSEFINNE</t>
  </si>
  <si>
    <t>0,02MG/3MG TBL FLM 3X28(24+4)</t>
  </si>
  <si>
    <t>FLUKONAZOL</t>
  </si>
  <si>
    <t>47439</t>
  </si>
  <si>
    <t>MYCOMAX</t>
  </si>
  <si>
    <t>150MG CPS DUR 3 I</t>
  </si>
  <si>
    <t>16285</t>
  </si>
  <si>
    <t>STILNOX</t>
  </si>
  <si>
    <t>10MG TBL FLM 10</t>
  </si>
  <si>
    <t>SODNÁ SŮL LEVOTHYROXINU</t>
  </si>
  <si>
    <t>187427</t>
  </si>
  <si>
    <t>LETROX</t>
  </si>
  <si>
    <t>100MCG TBL NOB 100</t>
  </si>
  <si>
    <t>STŘÍBRNÁ SŮL SULFADIAZINU, KOMBINACE</t>
  </si>
  <si>
    <t>14877</t>
  </si>
  <si>
    <t>IALUGEN PLUS</t>
  </si>
  <si>
    <t>2MG/G+10MG/G CRM 60G</t>
  </si>
  <si>
    <t>Jiná</t>
  </si>
  <si>
    <t>*2998</t>
  </si>
  <si>
    <t>Jiný</t>
  </si>
  <si>
    <t>Ambulance odd.lékařské genetiky</t>
  </si>
  <si>
    <t>P</t>
  </si>
  <si>
    <t>Preskripce a záchyt receptů a poukazů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</si>
  <si>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</si>
  <si>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</si>
  <si>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</si>
  <si>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</si>
  <si>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</si>
  <si>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</si>
  <si>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</si>
  <si>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</si>
  <si>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</si>
  <si>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sterilní odběrový Flogswab nylon v plastové tubě bal. á 100 ks 552C</t>
  </si>
  <si>
    <t>50115050</t>
  </si>
  <si>
    <t>obvazový materiál (Z502)</t>
  </si>
  <si>
    <t>ZA411</t>
  </si>
  <si>
    <t>GĂˇza pĹ™Ă­Ĺ™ezy 28 cm x 32 cm 17 nitĂ­ 07004</t>
  </si>
  <si>
    <t>ZA557</t>
  </si>
  <si>
    <t>Kompresa gĂˇza 10 x 20 cm/5 ks sterilnĂ­ 26013</t>
  </si>
  <si>
    <t>ZI558</t>
  </si>
  <si>
    <t>NĂˇplast curapor   7 x   5 cm 32912  (22120,  nĂˇhrada za cosmopor )</t>
  </si>
  <si>
    <t>ZD104</t>
  </si>
  <si>
    <t>NĂˇplast omniplast 10,0 cm x 10,0 m 9004472 (900535)</t>
  </si>
  <si>
    <t>Náplast curapor   7 x   5 cm 32912  (22120,  náhrada za cosmopor )</t>
  </si>
  <si>
    <t>ZI599</t>
  </si>
  <si>
    <t>Náplast curapor 10 x   8 cm 32913 ( 22121,  náhrada za cosmopor )</t>
  </si>
  <si>
    <t>ZQ116</t>
  </si>
  <si>
    <t>Náplast transparentní Airoplast cívka 1,25 cm x 9,14 m (náhrada za transpore) P-AIRO1291</t>
  </si>
  <si>
    <t>ZQ117</t>
  </si>
  <si>
    <t>Náplast transparentní Airoplast cívka 2,5 cm x 9,14 m (náhrada za transpore) P-AIRO2591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</si>
  <si>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</si>
  <si>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</si>
  <si>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</si>
  <si>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</si>
  <si>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Vata buničitá dělená cellin 2 role / 500 ks 40 x 50 mm 1230206310</t>
  </si>
  <si>
    <t>Vata buničitá přířezy 20 x 30 cm 1230200129</t>
  </si>
  <si>
    <t>50115060</t>
  </si>
  <si>
    <t>ZPr - ostatní (Z503)</t>
  </si>
  <si>
    <t>ZB771</t>
  </si>
  <si>
    <t>DrĹľĂˇk jehly zĂˇkladnĂ­ 450201</t>
  </si>
  <si>
    <t>Držák jehly základní 450201</t>
  </si>
  <si>
    <t>ZN206</t>
  </si>
  <si>
    <t>Lopatka ústní dřevěná lékařská sterilní 150 x 17 mm bal. á 5 x 100 ks 4002/SG/CS/L</t>
  </si>
  <si>
    <t>ZE159</t>
  </si>
  <si>
    <t>NĂˇdoba na kontaminovanĂ˝ odpad 2 l 15-0003</t>
  </si>
  <si>
    <t>ZF192</t>
  </si>
  <si>
    <t>NĂˇdoba na kontaminovanĂ˝ odpad 4 l 15-0004</t>
  </si>
  <si>
    <t>ZO930</t>
  </si>
  <si>
    <t>Nádoba 100 ml PP 72/62 mm s přiloženým uzávěrem bílé víčko sterilní na tekutý materiál 75.562.105</t>
  </si>
  <si>
    <t>Nádoba na kontaminovaný odpad 2 l 15-0003</t>
  </si>
  <si>
    <t>ZA789</t>
  </si>
  <si>
    <t>StĹ™Ă­kaÄŤka injekÄŤnĂ­ 2-dĂ­lnĂˇ 2 ml L Inject Solo 4606027V - nahrazuje ZR395</t>
  </si>
  <si>
    <t>ZB066</t>
  </si>
  <si>
    <t>Stříkačka janett 3-dílná 100 ml sterilní vyplachovací adaptér TS-100ML( PLS1710)</t>
  </si>
  <si>
    <t>ZA964</t>
  </si>
  <si>
    <t>Stříkačka janett 3-dílná 60 ml sterilní vyplachovací 050ML3CZ-CEW (MRG564)</t>
  </si>
  <si>
    <t>ZB755</t>
  </si>
  <si>
    <t>Zkumavka 1,0 ml K3 edta fialová 454034</t>
  </si>
  <si>
    <t>ZB756</t>
  </si>
  <si>
    <t>Zkumavka 3 ml K3 edta fialová 454086</t>
  </si>
  <si>
    <t>ZB758</t>
  </si>
  <si>
    <t>Zkumavka 9 ml K3 edta NR 455036</t>
  </si>
  <si>
    <t>ZB777</t>
  </si>
  <si>
    <t>Zkumavka ÄŤervenĂˇ 3,5 ml gel 454071</t>
  </si>
  <si>
    <t>ZB759</t>
  </si>
  <si>
    <t>Zkumavka ÄŤervenĂˇ 8 ml gel 455071</t>
  </si>
  <si>
    <t>Zkumavka červená 3,5 ml gel 454071</t>
  </si>
  <si>
    <t>ZB761</t>
  </si>
  <si>
    <t>Zkumavka červená 4 ml 454092</t>
  </si>
  <si>
    <t>ZB763</t>
  </si>
  <si>
    <t>Zkumavka červená 9 ml 455092</t>
  </si>
  <si>
    <t>ZB775</t>
  </si>
  <si>
    <t>Zkumavka koagulace modrá Quick 4 ml modrá 454329</t>
  </si>
  <si>
    <t>Zkumavka koagulace modrĂˇ Quick 4 ml modrĂˇ 454329</t>
  </si>
  <si>
    <t>ZE949</t>
  </si>
  <si>
    <t>Zkumavka na moč 9,5 ml 455028</t>
  </si>
  <si>
    <t>ZA817</t>
  </si>
  <si>
    <t>Zkumavka PS 10 ml sterilnĂ­ modrĂˇ zĂˇtka bal. Ăˇ 20 ks 400914 - pouze pro SoudnĂ­ + DMP + NEU + Genetika</t>
  </si>
  <si>
    <t>ZB764</t>
  </si>
  <si>
    <t>Zkumavka zelená 4 ml 454051</t>
  </si>
  <si>
    <t>Zkumavka zelenĂˇ 4 ml 454051</t>
  </si>
  <si>
    <t>50115065</t>
  </si>
  <si>
    <t>ZPr - vpichovací materiál (Z530)</t>
  </si>
  <si>
    <t>ZA832</t>
  </si>
  <si>
    <t>Jehla injekÄŤnĂ­ 0,9 x 40 mm ĹľlutĂˇ 4657519</t>
  </si>
  <si>
    <t>ZA834</t>
  </si>
  <si>
    <t>Jehla injekční 0,7 x 40 mm černá 4660021</t>
  </si>
  <si>
    <t>Jehla injekční 0,9 x 40 mm žlutá 4657519</t>
  </si>
  <si>
    <t>ZB768</t>
  </si>
  <si>
    <t>Jehla vakuová 216/38 mm zelená 450076</t>
  </si>
  <si>
    <t>Jehla vakuovĂˇ 216/38 mm zelenĂˇ 450076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</si>
  <si>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</si>
  <si>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</si>
  <si>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</si>
  <si>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</si>
  <si>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</si>
  <si>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</si>
  <si>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</si>
  <si>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</si>
  <si>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</si>
  <si>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</si>
  <si>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</si>
  <si>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ZI758</t>
  </si>
  <si>
    <t>Rukavice vyšetřovací vinyl bez pudru nesterilní M á 100 ks EFEKTVR03</t>
  </si>
  <si>
    <t>50115020</t>
  </si>
  <si>
    <t>laboratorní diagnostika-LEK (Z501)</t>
  </si>
  <si>
    <t>DG387</t>
  </si>
  <si>
    <t>AM Pure XP 60ml (agencourt)</t>
  </si>
  <si>
    <t>DE260</t>
  </si>
  <si>
    <t>AmnioGrow CE IVD</t>
  </si>
  <si>
    <t>DG227</t>
  </si>
  <si>
    <t>BENZEN p.a., 1L</t>
  </si>
  <si>
    <t>DH007</t>
  </si>
  <si>
    <t>BigDye XTerminator Purif kit 20ml</t>
  </si>
  <si>
    <t>DE667</t>
  </si>
  <si>
    <t>COLLAGENASE TYPE IA-S</t>
  </si>
  <si>
    <t>DD691</t>
  </si>
  <si>
    <t>CZECANCA panel Target Capture Enrichment for NGS</t>
  </si>
  <si>
    <t>DD322</t>
  </si>
  <si>
    <t>ddPCR Supermix for probes (No dUTP) 2 ml</t>
  </si>
  <si>
    <t>DH088</t>
  </si>
  <si>
    <t>Devyser CFTR core</t>
  </si>
  <si>
    <t>DD007</t>
  </si>
  <si>
    <t>DG32 AutoDG Cartridges 60/PK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</si>
  <si>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</si>
  <si>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</si>
  <si>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</si>
  <si>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</si>
  <si>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</si>
  <si>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</si>
  <si>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DG393</t>
  </si>
  <si>
    <t>Ethanol 96%</t>
  </si>
  <si>
    <t>DA210</t>
  </si>
  <si>
    <t>FastAB Thermosens. Alk. Phosphatase 1000 u</t>
  </si>
  <si>
    <t>DE929</t>
  </si>
  <si>
    <t>FETAL BOVINE SERUM  pro TK, 500 ml</t>
  </si>
  <si>
    <t>DD060</t>
  </si>
  <si>
    <t>FG,HI-DI FORMAMIDE 25 ml</t>
  </si>
  <si>
    <t>DE452</t>
  </si>
  <si>
    <t>Flushing medium, 500 ml,CFLM-500</t>
  </si>
  <si>
    <t>DA996</t>
  </si>
  <si>
    <t>GeneScan 500 LIZ Size Standard</t>
  </si>
  <si>
    <t>DG208</t>
  </si>
  <si>
    <t>GIEMSA-ROMANOWSKI</t>
  </si>
  <si>
    <t>DA181</t>
  </si>
  <si>
    <t>Hank's balanced salt solution (HBSS), 500 ml</t>
  </si>
  <si>
    <t>801335</t>
  </si>
  <si>
    <t>-HCl 0,1 M 1000 ml, 500 ml</t>
  </si>
  <si>
    <t>DA982</t>
  </si>
  <si>
    <t>Chromosome Synchro P</t>
  </si>
  <si>
    <t>DH972</t>
  </si>
  <si>
    <t>Investigator Argus X-12 QS kit (100)</t>
  </si>
  <si>
    <t>DI573</t>
  </si>
  <si>
    <t>ION AMPLISEQ FOR ION CHEF, dl8</t>
  </si>
  <si>
    <t>DG230</t>
  </si>
  <si>
    <t>ISOPROPYLALKOHOL P.A.</t>
  </si>
  <si>
    <t>DE997</t>
  </si>
  <si>
    <t>KAPA HyperPlus kit - 96 rxn</t>
  </si>
  <si>
    <t>DD434</t>
  </si>
  <si>
    <t>KaryoMAX Giemsa 100 ml</t>
  </si>
  <si>
    <t>DD659</t>
  </si>
  <si>
    <t>kyselina octová p.a.</t>
  </si>
  <si>
    <t>DG143</t>
  </si>
  <si>
    <t>kyselina SĂŤROVĂ P.A.</t>
  </si>
  <si>
    <t>DG229</t>
  </si>
  <si>
    <t>METHANOL P.A.</t>
  </si>
  <si>
    <t>DG637</t>
  </si>
  <si>
    <t>MiSeq Reagent Kit v3 (150 cycles)</t>
  </si>
  <si>
    <t>920003</t>
  </si>
  <si>
    <t>-PBS PUFR 20X KONC,250ML (GEN) 250 ml</t>
  </si>
  <si>
    <t>DC938</t>
  </si>
  <si>
    <t>Pepsin porcine 1 g</t>
  </si>
  <si>
    <t>DC341</t>
  </si>
  <si>
    <t>PHYTOHAEMAGLUTININ REAGENT</t>
  </si>
  <si>
    <t>DC981</t>
  </si>
  <si>
    <t>Pierceable foil heat seal</t>
  </si>
  <si>
    <t>DC578</t>
  </si>
  <si>
    <t>Pipet Tips for Auto DG, 40/PK with buffer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</si>
  <si>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</si>
  <si>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</si>
  <si>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</si>
  <si>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</si>
  <si>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</si>
  <si>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</si>
  <si>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</si>
  <si>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ProteinĂˇza K 500 mg</t>
  </si>
  <si>
    <t>Proteináza K 500 mg</t>
  </si>
  <si>
    <t>500886</t>
  </si>
  <si>
    <t>-Roztok kolchicinu 0,2% (GEN) 100 ml</t>
  </si>
  <si>
    <t>920002</t>
  </si>
  <si>
    <t xml:space="preserve">-ROZTOK VERSENU 1L (GEN) </t>
  </si>
  <si>
    <t>DE371</t>
  </si>
  <si>
    <t>RPMI-1640 medium,w glutamine and sodium bicarbonate 100 ml</t>
  </si>
  <si>
    <t>DD567</t>
  </si>
  <si>
    <t>Running buffer w/EDTA 10x, 25ml</t>
  </si>
  <si>
    <t>DI406</t>
  </si>
  <si>
    <t>SALSA MLPA  P323,25 r</t>
  </si>
  <si>
    <t>DG939</t>
  </si>
  <si>
    <t>SALSA MLPA EK5 reagent kit- 500 reactions (5x6 vials) - FAM</t>
  </si>
  <si>
    <t>DG933</t>
  </si>
  <si>
    <t>SALSA MLPA ME030 BWS/RSS probemix – 50 rxn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</si>
  <si>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</si>
  <si>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</si>
  <si>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</si>
  <si>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</si>
  <si>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</si>
  <si>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</si>
  <si>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DG938</t>
  </si>
  <si>
    <t>SALSA MLPA P018-F1 SHOX-100rxn</t>
  </si>
  <si>
    <t>DG404</t>
  </si>
  <si>
    <t>SALSA MLPA P018-F1 SHOX-50rxn</t>
  </si>
  <si>
    <t>DG295</t>
  </si>
  <si>
    <t>SALSA MLPA P036 Hu Telomere-3 probemix 50rxn</t>
  </si>
  <si>
    <t>DI565</t>
  </si>
  <si>
    <t>SALSA Mlpa P043 APC 25 reakcĂ­</t>
  </si>
  <si>
    <t>DI227</t>
  </si>
  <si>
    <t>SALSA MLPA P045-c1 BRCA/CHEK 2 -50R</t>
  </si>
  <si>
    <t>DH424</t>
  </si>
  <si>
    <t>SALSA MLPA P046-C1 TSC2 -25 r</t>
  </si>
  <si>
    <t>DG815</t>
  </si>
  <si>
    <t>SALSA MLPA P070 Hu Telomere-5 probemix 50rxn</t>
  </si>
  <si>
    <t>DI125</t>
  </si>
  <si>
    <t>SALSA MLPA P072 - C1 MSH6  25 r</t>
  </si>
  <si>
    <t>DD359</t>
  </si>
  <si>
    <t>SALSA MLPA P083 CDH1 25 r</t>
  </si>
  <si>
    <t>DI128</t>
  </si>
  <si>
    <t>SALSA MLPA P087 - BRCA1  25 r</t>
  </si>
  <si>
    <t>DG399</t>
  </si>
  <si>
    <t>SALSA MLPA P250 DiGeorge probemix-25R</t>
  </si>
  <si>
    <t>DA811</t>
  </si>
  <si>
    <t>SALSA MLPA P311 CHD probemix - 25 reactions</t>
  </si>
  <si>
    <t>DA810</t>
  </si>
  <si>
    <t>SALSA MLPA P343 Autism-1 probemix - 25 reactions</t>
  </si>
  <si>
    <t>DI454</t>
  </si>
  <si>
    <t>SALSA MLPA probemix P017 MEN 1,25 r</t>
  </si>
  <si>
    <t>DG931</t>
  </si>
  <si>
    <t>SALSA MLPA probemix P060-SMA 100rxn</t>
  </si>
  <si>
    <t>DI370</t>
  </si>
  <si>
    <t>SALSA MLPA probemix P124-C3 TSC1,25 rxn</t>
  </si>
  <si>
    <t>DI375</t>
  </si>
  <si>
    <t>SALSA MLPA probemix P165-C HSP,25 r</t>
  </si>
  <si>
    <t>DI549</t>
  </si>
  <si>
    <t>SALSA MLPA probemix P201-C3 CHARGE 25 testů</t>
  </si>
  <si>
    <t>DI379</t>
  </si>
  <si>
    <t>SALSA Mlpa probemix P208-C2 Human Telomere-6, 25 reakcí</t>
  </si>
  <si>
    <t>DG930</t>
  </si>
  <si>
    <t>SALSA MS-MLPA probemix ME032-UPD7/UPD14 25rxn</t>
  </si>
  <si>
    <t>DI521</t>
  </si>
  <si>
    <t>Smith-Magenis+Miller-Dieker - 5 tests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</si>
  <si>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</si>
  <si>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</si>
  <si>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</si>
  <si>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</si>
  <si>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</si>
  <si>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</si>
  <si>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DI435</t>
  </si>
  <si>
    <t>SureFISH 8q21.13 HEY1 DF 774kb GR</t>
  </si>
  <si>
    <t>DI520</t>
  </si>
  <si>
    <t>Telomere probe 17p Green - 5 tests</t>
  </si>
  <si>
    <t>920006</t>
  </si>
  <si>
    <t xml:space="preserve">-TRYPS/EDTA V HBSS/M 250ml (GEN) </t>
  </si>
  <si>
    <t>DF133</t>
  </si>
  <si>
    <t>TRYPSIN 1:250 100g</t>
  </si>
  <si>
    <t>DC579</t>
  </si>
  <si>
    <t>Waste bins for Auto DG 10/PK</t>
  </si>
  <si>
    <t>DG534</t>
  </si>
  <si>
    <t>Xa Yc dual label  10 tests</t>
  </si>
  <si>
    <t>ZO336</t>
  </si>
  <si>
    <t>Destička 96 jamek k analyzátoru ABI3500 MicroAmp Optical 96 well Reaction Plate bal. á 20 ks 4306737</t>
  </si>
  <si>
    <t>ZB070</t>
  </si>
  <si>
    <t>Filtr tips 1000ul (1024) 990352</t>
  </si>
  <si>
    <t>ZP028</t>
  </si>
  <si>
    <t>Kádinka nízká s výlevkou SIMAX 250 ml (KAVA632417010250) VTRB632417010250</t>
  </si>
  <si>
    <t>ZE157</t>
  </si>
  <si>
    <t>Ĺ piÄŤka epDualfilter Tips 0,1-10 ul M bal. Ăˇ 960 ks 0030077512</t>
  </si>
  <si>
    <t>ZI560</t>
  </si>
  <si>
    <t>Ĺ piÄŤka ĹľlutĂˇ dlouhĂˇ manĹľeta gilson 1 - 200 ul FLME28063</t>
  </si>
  <si>
    <t>ZG352</t>
  </si>
  <si>
    <t>Ĺ piÄŤka pipetovacĂ­ 0.5-20ul nesterilnĂ­ bez filtru bal. Ăˇ 1000 ks BUN001E-MR</t>
  </si>
  <si>
    <t>ZB000</t>
  </si>
  <si>
    <t>Ĺ piÄŤka s filtrem 1000 ul bal. Ăˇ 480 ks (96.10298.9.01- konÄŤĂ­) 96.11194.9.01</t>
  </si>
  <si>
    <t>ZB788</t>
  </si>
  <si>
    <t>Ĺ piÄŤka s filtrem 20 ul bal. Ăˇ 480 ks 96.11190.9.01 (starĂ©.k.ÄŤ. 96.10296.9.01)</t>
  </si>
  <si>
    <t>ZA793</t>
  </si>
  <si>
    <t>Ĺ piÄŤka s filtrem 200 ul bal. Ăˇ 480 ks (96.9263.9.01) 96.11193.9.01</t>
  </si>
  <si>
    <t>ZL046</t>
  </si>
  <si>
    <t>Microtubes Clear 1.5 ml  bal. á 500 ks  5101500</t>
  </si>
  <si>
    <t>Microtubes Clear 1.5 ml  bal. Ăˇ 500 ks  5101500</t>
  </si>
  <si>
    <t>ZE908</t>
  </si>
  <si>
    <t>Mikrozkumavka PCR individual Tube Domed Cap 0,2 ml bal. á 1000 ks 4Ti-0795</t>
  </si>
  <si>
    <t>Mikrozkumavka PCR individual Tube Domed Cap 0,2 ml bal. Ăˇ 1000 ks 4Ti-0795</t>
  </si>
  <si>
    <t>ZF245</t>
  </si>
  <si>
    <t>SC Adapter S0101 bal á 100 ks S0120-100</t>
  </si>
  <si>
    <t>ZC831</t>
  </si>
  <si>
    <t>Sklo podloĹľnĂ­ mat. okraj bal. Ăˇ 50 ks AA00000112E (2501)</t>
  </si>
  <si>
    <t>Sklo podložní mat. okraj bal. á 50 ks AA00000112E (2501)</t>
  </si>
  <si>
    <t>ZO833</t>
  </si>
  <si>
    <t>Špička Capp Expellplus 1000ul bez filtru FT bal. á 768 ks 5130140</t>
  </si>
  <si>
    <t>ZI771</t>
  </si>
  <si>
    <t>Špička Capp ExpellPlus 20ul FT bal. 10 x 96 ks 5030062</t>
  </si>
  <si>
    <t>ZB605</t>
  </si>
  <si>
    <t>Špička modrá krátká manžeta 1108</t>
  </si>
  <si>
    <t>ZE719</t>
  </si>
  <si>
    <t>Špička pipetovací 0.5-10ul á 1000 ks (BUN001P-BP) 5130010</t>
  </si>
  <si>
    <t>Špička pipetovací 0.5-20ul nesterilní bez filtru bal. á 1000 ks BUN001E-MR</t>
  </si>
  <si>
    <t>Špička s filtrem 1000 ul bal. á 480 ks (96.10298.9.01- končí) 96.11194.9.01</t>
  </si>
  <si>
    <t>Špička s filtrem 20 ul bal. á 480 ks 96.11190.9.01 (staré.k.č. 96.10296.9.01)</t>
  </si>
  <si>
    <t>Špička s filtrem 200 ul bal. á 480 ks (96.9263.9.01) 96.11193.9.01</t>
  </si>
  <si>
    <t>Špička žlutá dlouhá manžeta gilson 1 - 200 ul FLME28063</t>
  </si>
  <si>
    <t>ZF195</t>
  </si>
  <si>
    <t>Válec odměrný vysoký sklo 250 ml VTRB632432111238</t>
  </si>
  <si>
    <t>Gáza přířezy 28 cm x 32 cm 17 nití 07004</t>
  </si>
  <si>
    <t>Kompresa gáza 10 x 20 cm/5 ks sterilní 26013</t>
  </si>
  <si>
    <t>ZF370</t>
  </si>
  <si>
    <t>Filtr syringe 0,22 um, pr. 33 mm á 200 ks 99722</t>
  </si>
  <si>
    <t>ZH686</t>
  </si>
  <si>
    <t>Krabička čiré pro 50 mikrozkumavek 1,5 ml (U553000) U552100</t>
  </si>
  <si>
    <t>ZM042</t>
  </si>
  <si>
    <t>Mikrozkumavka s víčkem 500 ul Qubit Assay Tubes bal. á 500 ks Q32856</t>
  </si>
  <si>
    <t>Nádoba na kontaminovaný odpad 4 l 15-0004</t>
  </si>
  <si>
    <t>ZA813</t>
  </si>
  <si>
    <t>Rotor adapters (10 x 24) elution tubes (1,5 ml) bal. á 240 ks 990394</t>
  </si>
  <si>
    <t>Rotor adapters (10 x 24) elution tubes (1,5 ml) bal. Ăˇ 240 ks 990394</t>
  </si>
  <si>
    <t>ZE210</t>
  </si>
  <si>
    <t>Skalpel jednorázový cutfix sterilní bal. á 10 ks R099871</t>
  </si>
  <si>
    <t>StĹ™Ă­kaÄŤka injekÄŤnĂ­ 2-dĂ­lnĂˇ 2 ml L Inject Solo 4606027V</t>
  </si>
  <si>
    <t>ZH680</t>
  </si>
  <si>
    <t>Stojan kombi čtyři v jednom žlutý R009471.Y</t>
  </si>
  <si>
    <t>ZG222</t>
  </si>
  <si>
    <t>Stojan na mikrozkumavky blokové R377522</t>
  </si>
  <si>
    <t>ZP869</t>
  </si>
  <si>
    <t>Stojánek PCR chladící IsoFreeze PCR 95.984</t>
  </si>
  <si>
    <t>Stříkačka injekční 2-dílná 2 ml L Inject Solo 4606027V</t>
  </si>
  <si>
    <t>ZA788</t>
  </si>
  <si>
    <t>Stříkačka injekční 2-dílná 20 ml L Inject Solo 4606205V</t>
  </si>
  <si>
    <t>ZJ278</t>
  </si>
  <si>
    <t>Zkumavka PP 10 ml sterilní bal. á 200 ks FLME21150</t>
  </si>
  <si>
    <t>ZC082</t>
  </si>
  <si>
    <t>Zkumavka UH moÄŤovĂˇ bez vĂ­ÄŤka 12 ml FLME25062</t>
  </si>
  <si>
    <t>Zkumavka UH močová bez víčka 12 ml FLME25062</t>
  </si>
  <si>
    <t>ZC305</t>
  </si>
  <si>
    <t>Jehla injekční 0,4 x 20 mm šedá 4657705</t>
  </si>
  <si>
    <t>ZK475</t>
  </si>
  <si>
    <t>Rukavice operační latex s pudrem sterilní ansell, vasco surgical powderet vel. 7 6035526 (303504EU)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</si>
  <si>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</si>
  <si>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</si>
  <si>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</si>
  <si>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</si>
  <si>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</si>
  <si>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</si>
  <si>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</si>
  <si>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</si>
  <si>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</si>
  <si>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</si>
  <si>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</si>
  <si>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</si>
  <si>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</si>
  <si>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</si>
  <si>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</si>
  <si>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</si>
  <si>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</si>
  <si>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</si>
  <si>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</si>
  <si>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</si>
  <si>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</si>
  <si>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</si>
  <si>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</si>
  <si>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</si>
  <si>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</si>
  <si>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</si>
  <si>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107 - Pracoviště kardiologie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</si>
  <si>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</si>
  <si>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</si>
  <si>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</si>
  <si>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</si>
  <si>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</si>
  <si>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</si>
  <si>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</si>
  <si>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</si>
  <si>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</si>
  <si>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</si>
  <si>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107</t>
  </si>
  <si>
    <t>V</t>
  </si>
  <si>
    <t>09511</t>
  </si>
  <si>
    <t>MINIMÁLNÍ KONTAKT LÉKAŘE S PACIENTEM</t>
  </si>
  <si>
    <t>208</t>
  </si>
  <si>
    <t>09117</t>
  </si>
  <si>
    <t>ODBĚR KRVE ZE ŽÍLY U DÍTĚTĚ DO 10 LET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</si>
  <si>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</si>
  <si>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</si>
  <si>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</si>
  <si>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</si>
  <si>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</si>
  <si>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</si>
  <si>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</si>
  <si>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</si>
  <si>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</si>
  <si>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</si>
  <si>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</si>
  <si>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</si>
  <si>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</si>
  <si>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</si>
  <si>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</si>
  <si>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</si>
  <si>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G0001</t>
  </si>
  <si>
    <t>94948</t>
  </si>
  <si>
    <t>(VZP) SIGNÁLNÍ VÝKON - DOVYŠETŘENÍ PACIENTA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</si>
  <si>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</si>
  <si>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</si>
  <si>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</si>
  <si>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</si>
  <si>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</si>
  <si>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</si>
  <si>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94119</t>
  </si>
  <si>
    <t>94115</t>
  </si>
  <si>
    <t>IN SITU HYBRIDIZACE LIDSKÉ DNA SE ZNAČENOU SONDOU</t>
  </si>
  <si>
    <t>94199</t>
  </si>
  <si>
    <t>94123</t>
  </si>
  <si>
    <t>94195</t>
  </si>
  <si>
    <t>SYNTÉZA cDNA REVERZNÍ TRANSKRIPCÍ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</si>
  <si>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</si>
  <si>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</si>
  <si>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</si>
  <si>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</si>
  <si>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</si>
  <si>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</si>
  <si>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</si>
  <si>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</si>
  <si>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</si>
  <si>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</si>
  <si>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</si>
  <si>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</si>
  <si>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</si>
  <si>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</si>
  <si>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</si>
  <si>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</si>
  <si>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94295</t>
  </si>
  <si>
    <t>94976</t>
  </si>
  <si>
    <t>94296</t>
  </si>
  <si>
    <t>94977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</si>
  <si>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</si>
  <si>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</si>
  <si>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</si>
  <si>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</si>
  <si>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</si>
  <si>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</si>
  <si>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</si>
  <si>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</si>
  <si>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</si>
  <si>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</si>
  <si>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</si>
  <si>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</si>
  <si>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</si>
  <si>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</si>
  <si>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</si>
  <si>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</si>
  <si>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</si>
  <si>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</si>
  <si>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</si>
  <si>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</si>
  <si>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</si>
  <si>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</si>
  <si>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</si>
  <si>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</si>
  <si>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</si>
  <si>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</si>
  <si>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</si>
  <si>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</si>
  <si>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</si>
  <si>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</si>
  <si>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</si>
  <si>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</si>
  <si>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</si>
  <si>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</si>
  <si>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</si>
  <si>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</si>
  <si>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</si>
  <si>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</si>
  <si>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</si>
  <si>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94151</t>
  </si>
  <si>
    <t>RUTINNÍ VYŠETŘENÍ CHROMOZOMŮ Z FETÁLNÍ KRVE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</si>
  <si>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</si>
  <si>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</si>
  <si>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</si>
  <si>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03 - 3IK: III. Interní klinika-nefrol.revm.a endokrin.</t>
  </si>
  <si>
    <t>04 - 1CHIR: I. Chirurgická klinika</t>
  </si>
  <si>
    <t>06 - NCHIR: Neurochirurgická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</si>
  <si>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</si>
  <si>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</si>
  <si>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</si>
  <si>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</si>
  <si>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</si>
  <si>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</si>
  <si>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</si>
  <si>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</si>
  <si>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02</t>
  </si>
  <si>
    <t>03</t>
  </si>
  <si>
    <t>04</t>
  </si>
  <si>
    <t>08</t>
  </si>
  <si>
    <t>10</t>
  </si>
  <si>
    <t>17</t>
  </si>
  <si>
    <t>18</t>
  </si>
  <si>
    <t>20</t>
  </si>
  <si>
    <t>21</t>
  </si>
  <si>
    <t>26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</si>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</sst>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07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69" xfId="53" applyNumberFormat="1" applyFont="1" applyFill="1" applyBorder="1"/>
    <xf numFmtId="9" fontId="3" fillId="0" borderId="69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1" xfId="0" applyFont="1" applyFill="1" applyBorder="1" applyAlignment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7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32" fillId="2" borderId="52" xfId="0" applyFont="1" applyFill="1" applyBorder="1" applyAlignment="1">
      <alignment horizontal="center"/>
    </xf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59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6" xfId="0" applyNumberFormat="1" applyFont="1" applyFill="1" applyBorder="1"/>
    <xf numFmtId="9" fontId="40" fillId="2" borderId="60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58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7" xfId="74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79" xfId="81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6" xfId="0" applyFont="1" applyFill="1" applyBorder="1"/>
    <xf numFmtId="0" fontId="33" fillId="0" borderId="87" xfId="0" applyFont="1" applyBorder="1" applyAlignment="1"/>
    <xf numFmtId="9" fontId="33" fillId="0" borderId="85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5" xfId="0" quotePrefix="1" applyNumberFormat="1" applyFont="1" applyFill="1" applyBorder="1" applyAlignment="1">
      <alignment horizontal="center" vertical="center"/>
    </xf>
    <xf numFmtId="0" fontId="26" fillId="4" borderId="83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4" xfId="0" applyFont="1" applyBorder="1"/>
    <xf numFmtId="0" fontId="32" fillId="2" borderId="74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6" xfId="0" applyNumberFormat="1" applyFont="1" applyBorder="1" applyAlignment="1">
      <alignment horizontal="right" vertical="center"/>
    </xf>
    <xf numFmtId="9" fontId="40" fillId="0" borderId="104" xfId="0" applyNumberFormat="1" applyFont="1" applyBorder="1" applyAlignment="1">
      <alignment horizontal="right" vertical="center"/>
    </xf>
    <xf numFmtId="173" fontId="40" fillId="0" borderId="104" xfId="0" applyNumberFormat="1" applyFont="1" applyBorder="1" applyAlignment="1">
      <alignment horizontal="right" vertical="center"/>
    </xf>
    <xf numFmtId="173" fontId="40" fillId="0" borderId="72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vertical="center"/>
    </xf>
    <xf numFmtId="173" fontId="40" fillId="0" borderId="105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3" fontId="40" fillId="0" borderId="72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4" fontId="40" fillId="0" borderId="107" xfId="0" applyNumberFormat="1" applyFont="1" applyBorder="1" applyAlignment="1">
      <alignment vertical="center"/>
    </xf>
    <xf numFmtId="174" fontId="40" fillId="0" borderId="104" xfId="0" applyNumberFormat="1" applyFont="1" applyBorder="1" applyAlignment="1">
      <alignment vertical="center"/>
    </xf>
    <xf numFmtId="174" fontId="40" fillId="0" borderId="72" xfId="0" applyNumberFormat="1" applyFont="1" applyBorder="1" applyAlignment="1">
      <alignment vertical="center"/>
    </xf>
    <xf numFmtId="168" fontId="40" fillId="0" borderId="98" xfId="0" applyNumberFormat="1" applyFont="1" applyBorder="1" applyAlignment="1">
      <alignment vertical="center"/>
    </xf>
    <xf numFmtId="0" fontId="33" fillId="0" borderId="105" xfId="0" applyFont="1" applyBorder="1" applyAlignment="1">
      <alignment horizontal="center" vertical="center"/>
    </xf>
    <xf numFmtId="166" fontId="40" fillId="2" borderId="72" xfId="0" applyNumberFormat="1" applyFont="1" applyFill="1" applyBorder="1" applyAlignment="1">
      <alignment horizontal="center" vertical="center"/>
    </xf>
    <xf numFmtId="173" fontId="40" fillId="0" borderId="81" xfId="0" applyNumberFormat="1" applyFont="1" applyBorder="1" applyAlignment="1">
      <alignment horizontal="right" vertical="center"/>
    </xf>
    <xf numFmtId="175" fontId="40" fillId="0" borderId="80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6" fontId="40" fillId="0" borderId="7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5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3" xfId="0" applyNumberFormat="1" applyFont="1" applyFill="1" applyBorder="1"/>
    <xf numFmtId="3" fontId="0" fillId="7" borderId="73" xfId="0" applyNumberFormat="1" applyFont="1" applyFill="1" applyBorder="1"/>
    <xf numFmtId="0" fontId="0" fillId="0" borderId="114" xfId="0" applyNumberFormat="1" applyFont="1" applyBorder="1"/>
    <xf numFmtId="3" fontId="0" fillId="0" borderId="115" xfId="0" applyNumberFormat="1" applyFont="1" applyBorder="1"/>
    <xf numFmtId="0" fontId="0" fillId="7" borderId="114" xfId="0" applyNumberFormat="1" applyFont="1" applyFill="1" applyBorder="1"/>
    <xf numFmtId="3" fontId="0" fillId="7" borderId="115" xfId="0" applyNumberFormat="1" applyFont="1" applyFill="1" applyBorder="1"/>
    <xf numFmtId="0" fontId="54" fillId="8" borderId="114" xfId="0" applyNumberFormat="1" applyFont="1" applyFill="1" applyBorder="1"/>
    <xf numFmtId="3" fontId="54" fillId="8" borderId="115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1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5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90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/>
    <xf numFmtId="9" fontId="3" fillId="2" borderId="10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99" xfId="80" applyNumberFormat="1" applyFont="1" applyFill="1" applyBorder="1" applyAlignment="1">
      <alignment horizontal="left"/>
    </xf>
    <xf numFmtId="3" fontId="3" fillId="2" borderId="92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5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3" xfId="53" applyFont="1" applyFill="1" applyBorder="1" applyAlignment="1">
      <alignment horizontal="right"/>
    </xf>
    <xf numFmtId="0" fontId="5" fillId="2" borderId="64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5" xfId="79" applyFont="1" applyFill="1" applyBorder="1" applyAlignment="1">
      <alignment horizontal="left"/>
    </xf>
    <xf numFmtId="166" fontId="40" fillId="2" borderId="79" xfId="0" applyNumberFormat="1" applyFont="1" applyFill="1" applyBorder="1" applyAlignment="1">
      <alignment horizontal="center" vertical="center"/>
    </xf>
    <xf numFmtId="0" fontId="33" fillId="0" borderId="108" xfId="0" applyFont="1" applyBorder="1" applyAlignment="1">
      <alignment horizontal="center" vertical="center"/>
    </xf>
    <xf numFmtId="0" fontId="56" fillId="4" borderId="101" xfId="0" applyFont="1" applyFill="1" applyBorder="1" applyAlignment="1">
      <alignment horizontal="center" vertical="center" wrapText="1"/>
    </xf>
    <xf numFmtId="0" fontId="56" fillId="4" borderId="109" xfId="0" applyFont="1" applyFill="1" applyBorder="1" applyAlignment="1">
      <alignment horizontal="center" vertical="center" wrapText="1"/>
    </xf>
    <xf numFmtId="0" fontId="56" fillId="4" borderId="88" xfId="0" applyFont="1" applyFill="1" applyBorder="1" applyAlignment="1">
      <alignment horizontal="center" vertical="center" wrapText="1"/>
    </xf>
    <xf numFmtId="0" fontId="56" fillId="4" borderId="102" xfId="0" applyFont="1" applyFill="1" applyBorder="1" applyAlignment="1">
      <alignment horizontal="center" vertical="center" wrapText="1"/>
    </xf>
    <xf numFmtId="0" fontId="56" fillId="4" borderId="89" xfId="0" applyFont="1" applyFill="1" applyBorder="1" applyAlignment="1">
      <alignment horizontal="center" vertical="center" wrapText="1"/>
    </xf>
    <xf numFmtId="0" fontId="56" fillId="4" borderId="103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1" xfId="0" applyNumberFormat="1" applyFont="1" applyFill="1" applyBorder="1" applyAlignment="1">
      <alignment horizontal="center" vertical="center" wrapText="1"/>
    </xf>
    <xf numFmtId="168" fontId="56" fillId="2" borderId="109" xfId="0" applyNumberFormat="1" applyFont="1" applyFill="1" applyBorder="1" applyAlignment="1">
      <alignment horizontal="center" vertical="center" wrapText="1"/>
    </xf>
    <xf numFmtId="0" fontId="56" fillId="2" borderId="88" xfId="0" applyFont="1" applyFill="1" applyBorder="1" applyAlignment="1">
      <alignment horizontal="center" vertical="center" wrapText="1"/>
    </xf>
    <xf numFmtId="0" fontId="56" fillId="2" borderId="102" xfId="0" applyFont="1" applyFill="1" applyBorder="1" applyAlignment="1">
      <alignment horizontal="center" vertical="center" wrapText="1"/>
    </xf>
    <xf numFmtId="0" fontId="56" fillId="2" borderId="89" xfId="0" applyFont="1" applyFill="1" applyBorder="1" applyAlignment="1">
      <alignment horizontal="center" vertical="center" wrapText="1"/>
    </xf>
    <xf numFmtId="0" fontId="56" fillId="2" borderId="10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88" xfId="0" applyNumberFormat="1" applyFont="1" applyFill="1" applyBorder="1" applyAlignment="1">
      <alignment horizontal="center" vertical="center"/>
    </xf>
    <xf numFmtId="3" fontId="56" fillId="4" borderId="102" xfId="0" applyNumberFormat="1" applyFont="1" applyFill="1" applyBorder="1" applyAlignment="1">
      <alignment horizontal="center" vertical="center"/>
    </xf>
    <xf numFmtId="9" fontId="56" fillId="4" borderId="88" xfId="0" applyNumberFormat="1" applyFont="1" applyFill="1" applyBorder="1" applyAlignment="1">
      <alignment horizontal="center" vertical="center"/>
    </xf>
    <xf numFmtId="9" fontId="56" fillId="4" borderId="102" xfId="0" applyNumberFormat="1" applyFont="1" applyFill="1" applyBorder="1" applyAlignment="1">
      <alignment horizontal="center" vertical="center"/>
    </xf>
    <xf numFmtId="3" fontId="56" fillId="4" borderId="89" xfId="0" applyNumberFormat="1" applyFont="1" applyFill="1" applyBorder="1" applyAlignment="1">
      <alignment horizontal="center" vertical="center" wrapText="1"/>
    </xf>
    <xf numFmtId="3" fontId="56" fillId="4" borderId="103" xfId="0" applyNumberFormat="1" applyFont="1" applyFill="1" applyBorder="1" applyAlignment="1">
      <alignment horizontal="center" vertical="center" wrapText="1"/>
    </xf>
    <xf numFmtId="0" fontId="40" fillId="2" borderId="110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6" fillId="9" borderId="112" xfId="0" applyFont="1" applyFill="1" applyBorder="1" applyAlignment="1">
      <alignment horizontal="center"/>
    </xf>
    <xf numFmtId="0" fontId="56" fillId="9" borderId="111" xfId="0" applyFont="1" applyFill="1" applyBorder="1" applyAlignment="1">
      <alignment horizontal="center"/>
    </xf>
    <xf numFmtId="0" fontId="56" fillId="9" borderId="87" xfId="0" applyFont="1" applyFill="1" applyBorder="1" applyAlignment="1">
      <alignment horizontal="center"/>
    </xf>
    <xf numFmtId="0" fontId="40" fillId="4" borderId="98" xfId="0" applyFont="1" applyFill="1" applyBorder="1" applyAlignment="1">
      <alignment horizontal="center" vertical="center" wrapText="1"/>
    </xf>
    <xf numFmtId="0" fontId="40" fillId="4" borderId="75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5" xfId="0" applyFont="1" applyFill="1" applyBorder="1" applyAlignment="1">
      <alignment horizontal="center"/>
    </xf>
    <xf numFmtId="0" fontId="60" fillId="2" borderId="82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7" xfId="0" applyFont="1" applyFill="1" applyBorder="1" applyAlignment="1">
      <alignment horizontal="center"/>
    </xf>
    <xf numFmtId="0" fontId="60" fillId="4" borderId="78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7" xfId="0" applyFont="1" applyFill="1" applyBorder="1" applyAlignment="1">
      <alignment horizontal="center"/>
    </xf>
    <xf numFmtId="0" fontId="60" fillId="2" borderId="78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0" xfId="0" applyFont="1" applyFill="1" applyBorder="1" applyAlignment="1">
      <alignment vertical="center"/>
    </xf>
    <xf numFmtId="3" fontId="32" fillId="2" borderId="62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5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2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4" xfId="0" applyNumberFormat="1" applyFont="1" applyFill="1" applyBorder="1" applyAlignment="1">
      <alignment horizontal="center" vertical="top"/>
    </xf>
    <xf numFmtId="0" fontId="32" fillId="2" borderId="74" xfId="0" applyFont="1" applyFill="1" applyBorder="1" applyAlignment="1">
      <alignment horizontal="center" vertical="top" wrapText="1"/>
    </xf>
    <xf numFmtId="0" fontId="32" fillId="2" borderId="62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3" fontId="34" fillId="10" borderId="117" xfId="0" applyNumberFormat="1" applyFont="1" applyFill="1" applyBorder="1" applyAlignment="1">
      <alignment horizontal="right" vertical="top"/>
    </xf>
    <xf numFmtId="3" fontId="34" fillId="10" borderId="118" xfId="0" applyNumberFormat="1" applyFont="1" applyFill="1" applyBorder="1" applyAlignment="1">
      <alignment horizontal="right" vertical="top"/>
    </xf>
    <xf numFmtId="177" fontId="34" fillId="10" borderId="119" xfId="0" applyNumberFormat="1" applyFont="1" applyFill="1" applyBorder="1" applyAlignment="1">
      <alignment horizontal="right" vertical="top"/>
    </xf>
    <xf numFmtId="3" fontId="34" fillId="0" borderId="117" xfId="0" applyNumberFormat="1" applyFont="1" applyBorder="1" applyAlignment="1">
      <alignment horizontal="right" vertical="top"/>
    </xf>
    <xf numFmtId="177" fontId="34" fillId="10" borderId="120" xfId="0" applyNumberFormat="1" applyFont="1" applyFill="1" applyBorder="1" applyAlignment="1">
      <alignment horizontal="right" vertical="top"/>
    </xf>
    <xf numFmtId="3" fontId="36" fillId="10" borderId="122" xfId="0" applyNumberFormat="1" applyFont="1" applyFill="1" applyBorder="1" applyAlignment="1">
      <alignment horizontal="right" vertical="top"/>
    </xf>
    <xf numFmtId="3" fontId="36" fillId="10" borderId="123" xfId="0" applyNumberFormat="1" applyFont="1" applyFill="1" applyBorder="1" applyAlignment="1">
      <alignment horizontal="right" vertical="top"/>
    </xf>
    <xf numFmtId="0" fontId="36" fillId="10" borderId="124" xfId="0" applyFont="1" applyFill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0" fontId="36" fillId="10" borderId="125" xfId="0" applyFont="1" applyFill="1" applyBorder="1" applyAlignment="1">
      <alignment horizontal="right" vertical="top"/>
    </xf>
    <xf numFmtId="0" fontId="34" fillId="10" borderId="119" xfId="0" applyFont="1" applyFill="1" applyBorder="1" applyAlignment="1">
      <alignment horizontal="right" vertical="top"/>
    </xf>
    <xf numFmtId="0" fontId="34" fillId="10" borderId="120" xfId="0" applyFont="1" applyFill="1" applyBorder="1" applyAlignment="1">
      <alignment horizontal="right" vertical="top"/>
    </xf>
    <xf numFmtId="177" fontId="36" fillId="10" borderId="124" xfId="0" applyNumberFormat="1" applyFont="1" applyFill="1" applyBorder="1" applyAlignment="1">
      <alignment horizontal="right" vertical="top"/>
    </xf>
    <xf numFmtId="177" fontId="36" fillId="10" borderId="125" xfId="0" applyNumberFormat="1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3" fontId="36" fillId="0" borderId="127" xfId="0" applyNumberFormat="1" applyFont="1" applyBorder="1" applyAlignment="1">
      <alignment horizontal="right" vertical="top"/>
    </xf>
    <xf numFmtId="3" fontId="36" fillId="0" borderId="128" xfId="0" applyNumberFormat="1" applyFont="1" applyBorder="1" applyAlignment="1">
      <alignment horizontal="right" vertical="top"/>
    </xf>
    <xf numFmtId="177" fontId="36" fillId="10" borderId="129" xfId="0" applyNumberFormat="1" applyFont="1" applyFill="1" applyBorder="1" applyAlignment="1">
      <alignment horizontal="right" vertical="top"/>
    </xf>
    <xf numFmtId="0" fontId="38" fillId="11" borderId="116" xfId="0" applyFont="1" applyFill="1" applyBorder="1" applyAlignment="1">
      <alignment vertical="top"/>
    </xf>
    <xf numFmtId="0" fontId="38" fillId="11" borderId="116" xfId="0" applyFont="1" applyFill="1" applyBorder="1" applyAlignment="1">
      <alignment vertical="top" indent="2"/>
    </xf>
    <xf numFmtId="0" fontId="38" fillId="11" borderId="116" xfId="0" applyFont="1" applyFill="1" applyBorder="1" applyAlignment="1">
      <alignment vertical="top" indent="4"/>
    </xf>
    <xf numFmtId="0" fontId="39" fillId="11" borderId="121" xfId="0" applyFont="1" applyFill="1" applyBorder="1" applyAlignment="1">
      <alignment vertical="top" indent="6"/>
    </xf>
    <xf numFmtId="0" fontId="38" fillId="11" borderId="116" xfId="0" applyFont="1" applyFill="1" applyBorder="1" applyAlignment="1">
      <alignment vertical="top" indent="8"/>
    </xf>
    <xf numFmtId="0" fontId="39" fillId="11" borderId="121" xfId="0" applyFont="1" applyFill="1" applyBorder="1" applyAlignment="1">
      <alignment vertical="top" indent="2"/>
    </xf>
    <xf numFmtId="0" fontId="38" fillId="11" borderId="116" xfId="0" applyFont="1" applyFill="1" applyBorder="1" applyAlignment="1">
      <alignment vertical="top" indent="6"/>
    </xf>
    <xf numFmtId="0" fontId="39" fillId="11" borderId="121" xfId="0" applyFont="1" applyFill="1" applyBorder="1" applyAlignment="1">
      <alignment vertical="top" indent="4"/>
    </xf>
    <xf numFmtId="0" fontId="33" fillId="11" borderId="116" xfId="0" applyFont="1" applyFill="1" applyBorder="1"/>
    <xf numFmtId="0" fontId="39" fillId="11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06" xfId="53" applyNumberFormat="1" applyFont="1" applyFill="1" applyBorder="1" applyAlignment="1">
      <alignment horizontal="left"/>
    </xf>
    <xf numFmtId="164" fontId="32" fillId="2" borderId="130" xfId="53" applyNumberFormat="1" applyFont="1" applyFill="1" applyBorder="1" applyAlignment="1">
      <alignment horizontal="left"/>
    </xf>
    <xf numFmtId="0" fontId="32" fillId="2" borderId="130" xfId="53" applyNumberFormat="1" applyFont="1" applyFill="1" applyBorder="1" applyAlignment="1">
      <alignment horizontal="left"/>
    </xf>
    <xf numFmtId="164" fontId="32" fillId="2" borderId="104" xfId="53" applyNumberFormat="1" applyFont="1" applyFill="1" applyBorder="1" applyAlignment="1">
      <alignment horizontal="left"/>
    </xf>
    <xf numFmtId="3" fontId="32" fillId="2" borderId="104" xfId="53" applyNumberFormat="1" applyFont="1" applyFill="1" applyBorder="1" applyAlignment="1">
      <alignment horizontal="left"/>
    </xf>
    <xf numFmtId="3" fontId="32" fillId="2" borderId="66" xfId="53" applyNumberFormat="1" applyFont="1" applyFill="1" applyBorder="1" applyAlignment="1">
      <alignment horizontal="left"/>
    </xf>
    <xf numFmtId="0" fontId="33" fillId="0" borderId="76" xfId="0" applyFont="1" applyFill="1" applyBorder="1"/>
    <xf numFmtId="0" fontId="33" fillId="0" borderId="77" xfId="0" applyFont="1" applyFill="1" applyBorder="1"/>
    <xf numFmtId="164" fontId="33" fillId="0" borderId="77" xfId="0" applyNumberFormat="1" applyFont="1" applyFill="1" applyBorder="1"/>
    <xf numFmtId="164" fontId="33" fillId="0" borderId="77" xfId="0" applyNumberFormat="1" applyFont="1" applyFill="1" applyBorder="1" applyAlignment="1">
      <alignment horizontal="right"/>
    </xf>
    <xf numFmtId="0" fontId="33" fillId="0" borderId="77" xfId="0" applyNumberFormat="1" applyFont="1" applyFill="1" applyBorder="1"/>
    <xf numFmtId="3" fontId="33" fillId="0" borderId="77" xfId="0" applyNumberFormat="1" applyFont="1" applyFill="1" applyBorder="1"/>
    <xf numFmtId="3" fontId="33" fillId="0" borderId="78" xfId="0" applyNumberFormat="1" applyFont="1" applyFill="1" applyBorder="1"/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79" xfId="0" applyFont="1" applyFill="1" applyBorder="1"/>
    <xf numFmtId="0" fontId="33" fillId="0" borderId="80" xfId="0" applyFont="1" applyFill="1" applyBorder="1"/>
    <xf numFmtId="164" fontId="33" fillId="0" borderId="80" xfId="0" applyNumberFormat="1" applyFont="1" applyFill="1" applyBorder="1"/>
    <xf numFmtId="164" fontId="33" fillId="0" borderId="80" xfId="0" applyNumberFormat="1" applyFont="1" applyFill="1" applyBorder="1" applyAlignment="1">
      <alignment horizontal="right"/>
    </xf>
    <xf numFmtId="0" fontId="33" fillId="0" borderId="80" xfId="0" applyNumberFormat="1" applyFont="1" applyFill="1" applyBorder="1"/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" fillId="2" borderId="106" xfId="79" applyFont="1" applyFill="1" applyBorder="1" applyAlignment="1">
      <alignment horizontal="left"/>
    </xf>
    <xf numFmtId="3" fontId="3" fillId="2" borderId="88" xfId="80" applyNumberFormat="1" applyFont="1" applyFill="1" applyBorder="1"/>
    <xf numFmtId="3" fontId="3" fillId="2" borderId="89" xfId="80" applyNumberFormat="1" applyFont="1" applyFill="1" applyBorder="1"/>
    <xf numFmtId="9" fontId="3" fillId="2" borderId="131" xfId="80" applyNumberFormat="1" applyFont="1" applyFill="1" applyBorder="1"/>
    <xf numFmtId="9" fontId="3" fillId="2" borderId="88" xfId="80" applyNumberFormat="1" applyFont="1" applyFill="1" applyBorder="1"/>
    <xf numFmtId="9" fontId="3" fillId="2" borderId="89" xfId="80" applyNumberFormat="1" applyFont="1" applyFill="1" applyBorder="1"/>
    <xf numFmtId="9" fontId="33" fillId="0" borderId="77" xfId="0" applyNumberFormat="1" applyFont="1" applyFill="1" applyBorder="1"/>
    <xf numFmtId="9" fontId="33" fillId="0" borderId="78" xfId="0" applyNumberFormat="1" applyFont="1" applyFill="1" applyBorder="1"/>
    <xf numFmtId="9" fontId="33" fillId="0" borderId="85" xfId="0" applyNumberFormat="1" applyFont="1" applyFill="1" applyBorder="1"/>
    <xf numFmtId="9" fontId="33" fillId="0" borderId="86" xfId="0" applyNumberFormat="1" applyFont="1" applyFill="1" applyBorder="1"/>
    <xf numFmtId="9" fontId="33" fillId="0" borderId="80" xfId="0" applyNumberFormat="1" applyFont="1" applyFill="1" applyBorder="1"/>
    <xf numFmtId="9" fontId="33" fillId="0" borderId="81" xfId="0" applyNumberFormat="1" applyFont="1" applyFill="1" applyBorder="1"/>
    <xf numFmtId="0" fontId="40" fillId="0" borderId="97" xfId="0" applyFont="1" applyFill="1" applyBorder="1"/>
    <xf numFmtId="0" fontId="40" fillId="0" borderId="112" xfId="0" applyFont="1" applyFill="1" applyBorder="1" applyAlignment="1">
      <alignment horizontal="left" indent="1"/>
    </xf>
    <xf numFmtId="0" fontId="40" fillId="0" borderId="96" xfId="0" applyFont="1" applyFill="1" applyBorder="1" applyAlignment="1">
      <alignment horizontal="left" indent="1"/>
    </xf>
    <xf numFmtId="9" fontId="33" fillId="0" borderId="132" xfId="0" applyNumberFormat="1" applyFont="1" applyFill="1" applyBorder="1"/>
    <xf numFmtId="9" fontId="33" fillId="0" borderId="87" xfId="0" applyNumberFormat="1" applyFont="1" applyFill="1" applyBorder="1"/>
    <xf numFmtId="9" fontId="33" fillId="0" borderId="91" xfId="0" applyNumberFormat="1" applyFont="1" applyFill="1" applyBorder="1"/>
    <xf numFmtId="3" fontId="33" fillId="0" borderId="76" xfId="0" applyNumberFormat="1" applyFont="1" applyFill="1" applyBorder="1"/>
    <xf numFmtId="3" fontId="33" fillId="0" borderId="84" xfId="0" applyNumberFormat="1" applyFont="1" applyFill="1" applyBorder="1"/>
    <xf numFmtId="3" fontId="33" fillId="0" borderId="79" xfId="0" applyNumberFormat="1" applyFont="1" applyFill="1" applyBorder="1"/>
    <xf numFmtId="9" fontId="33" fillId="0" borderId="133" xfId="0" applyNumberFormat="1" applyFont="1" applyFill="1" applyBorder="1"/>
    <xf numFmtId="9" fontId="33" fillId="0" borderId="94" xfId="0" applyNumberFormat="1" applyFont="1" applyFill="1" applyBorder="1"/>
    <xf numFmtId="9" fontId="33" fillId="0" borderId="108" xfId="0" applyNumberFormat="1" applyFont="1" applyFill="1" applyBorder="1"/>
    <xf numFmtId="9" fontId="30" fillId="0" borderId="0" xfId="0" applyNumberFormat="1" applyFont="1" applyFill="1" applyBorder="1"/>
    <xf numFmtId="0" fontId="61" fillId="0" borderId="0" xfId="0" applyFont="1" applyFill="1"/>
    <xf numFmtId="0" fontId="62" fillId="0" borderId="0" xfId="0" applyFont="1" applyFill="1"/>
    <xf numFmtId="0" fontId="40" fillId="11" borderId="97" xfId="0" applyFont="1" applyFill="1" applyBorder="1"/>
    <xf numFmtId="0" fontId="40" fillId="11" borderId="112" xfId="0" applyFont="1" applyFill="1" applyBorder="1"/>
    <xf numFmtId="0" fontId="40" fillId="11" borderId="96" xfId="0" applyFont="1" applyFill="1" applyBorder="1"/>
    <xf numFmtId="0" fontId="3" fillId="2" borderId="88" xfId="80" applyFont="1" applyFill="1" applyBorder="1"/>
    <xf numFmtId="3" fontId="33" fillId="0" borderId="133" xfId="0" applyNumberFormat="1" applyFont="1" applyFill="1" applyBorder="1"/>
    <xf numFmtId="3" fontId="33" fillId="0" borderId="94" xfId="0" applyNumberFormat="1" applyFont="1" applyFill="1" applyBorder="1"/>
    <xf numFmtId="3" fontId="33" fillId="0" borderId="108" xfId="0" applyNumberFormat="1" applyFont="1" applyFill="1" applyBorder="1"/>
    <xf numFmtId="0" fontId="33" fillId="0" borderId="97" xfId="0" applyFont="1" applyFill="1" applyBorder="1"/>
    <xf numFmtId="0" fontId="33" fillId="0" borderId="112" xfId="0" applyFont="1" applyFill="1" applyBorder="1"/>
    <xf numFmtId="0" fontId="33" fillId="0" borderId="96" xfId="0" applyFont="1" applyFill="1" applyBorder="1"/>
    <xf numFmtId="3" fontId="33" fillId="0" borderId="132" xfId="0" applyNumberFormat="1" applyFont="1" applyFill="1" applyBorder="1"/>
    <xf numFmtId="3" fontId="33" fillId="0" borderId="87" xfId="0" applyNumberFormat="1" applyFont="1" applyFill="1" applyBorder="1"/>
    <xf numFmtId="3" fontId="33" fillId="0" borderId="91" xfId="0" applyNumberFormat="1" applyFont="1" applyFill="1" applyBorder="1"/>
    <xf numFmtId="0" fontId="3" fillId="2" borderId="134" xfId="79" applyFont="1" applyFill="1" applyBorder="1" applyAlignment="1">
      <alignment horizontal="left"/>
    </xf>
    <xf numFmtId="0" fontId="3" fillId="2" borderId="135" xfId="79" applyFont="1" applyFill="1" applyBorder="1" applyAlignment="1">
      <alignment horizontal="left"/>
    </xf>
    <xf numFmtId="0" fontId="3" fillId="2" borderId="136" xfId="80" applyFont="1" applyFill="1" applyBorder="1" applyAlignment="1">
      <alignment horizontal="left"/>
    </xf>
    <xf numFmtId="0" fontId="3" fillId="2" borderId="136" xfId="79" applyFont="1" applyFill="1" applyBorder="1" applyAlignment="1">
      <alignment horizontal="left"/>
    </xf>
    <xf numFmtId="0" fontId="3" fillId="2" borderId="137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85" xfId="0" applyFont="1" applyFill="1" applyBorder="1" applyAlignment="1">
      <alignment horizontal="right"/>
    </xf>
    <xf numFmtId="0" fontId="33" fillId="0" borderId="85" xfId="0" applyFont="1" applyFill="1" applyBorder="1" applyAlignment="1">
      <alignment horizontal="left"/>
    </xf>
    <xf numFmtId="165" fontId="33" fillId="0" borderId="85" xfId="0" applyNumberFormat="1" applyFont="1" applyFill="1" applyBorder="1"/>
    <xf numFmtId="0" fontId="33" fillId="0" borderId="80" xfId="0" applyFont="1" applyFill="1" applyBorder="1" applyAlignment="1">
      <alignment horizontal="right"/>
    </xf>
    <xf numFmtId="0" fontId="33" fillId="0" borderId="80" xfId="0" applyFont="1" applyFill="1" applyBorder="1" applyAlignment="1">
      <alignment horizontal="left"/>
    </xf>
    <xf numFmtId="165" fontId="33" fillId="0" borderId="80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6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3" fontId="33" fillId="0" borderId="26" xfId="0" applyNumberFormat="1" applyFont="1" applyFill="1" applyBorder="1"/>
    <xf numFmtId="0" fontId="33" fillId="2" borderId="66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85" xfId="0" applyNumberFormat="1" applyBorder="1"/>
    <xf numFmtId="9" fontId="0" fillId="0" borderId="85" xfId="0" applyNumberFormat="1" applyBorder="1"/>
    <xf numFmtId="9" fontId="0" fillId="0" borderId="86" xfId="0" applyNumberFormat="1" applyBorder="1"/>
    <xf numFmtId="169" fontId="0" fillId="0" borderId="80" xfId="0" applyNumberFormat="1" applyBorder="1"/>
    <xf numFmtId="9" fontId="0" fillId="0" borderId="80" xfId="0" applyNumberFormat="1" applyBorder="1"/>
    <xf numFmtId="9" fontId="0" fillId="0" borderId="81" xfId="0" applyNumberFormat="1" applyBorder="1"/>
    <xf numFmtId="0" fontId="60" fillId="0" borderId="84" xfId="0" applyFont="1" applyBorder="1" applyAlignment="1">
      <alignment horizontal="left" indent="1"/>
    </xf>
    <xf numFmtId="0" fontId="60" fillId="0" borderId="79" xfId="0" applyFont="1" applyBorder="1" applyAlignment="1">
      <alignment horizontal="left" indent="1"/>
    </xf>
    <xf numFmtId="0" fontId="60" fillId="4" borderId="84" xfId="0" applyFont="1" applyFill="1" applyBorder="1" applyAlignment="1">
      <alignment horizontal="left"/>
    </xf>
    <xf numFmtId="169" fontId="60" fillId="4" borderId="85" xfId="0" applyNumberFormat="1" applyFont="1" applyFill="1" applyBorder="1"/>
    <xf numFmtId="9" fontId="60" fillId="4" borderId="85" xfId="0" applyNumberFormat="1" applyFont="1" applyFill="1" applyBorder="1"/>
    <xf numFmtId="9" fontId="60" fillId="4" borderId="86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80" xfId="0" applyNumberFormat="1" applyFont="1" applyFill="1" applyBorder="1"/>
    <xf numFmtId="169" fontId="33" fillId="0" borderId="81" xfId="0" applyNumberFormat="1" applyFont="1" applyFill="1" applyBorder="1"/>
    <xf numFmtId="0" fontId="40" fillId="0" borderId="25" xfId="0" applyFont="1" applyFill="1" applyBorder="1"/>
    <xf numFmtId="0" fontId="40" fillId="0" borderId="79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85" xfId="0" applyNumberFormat="1" applyFont="1" applyFill="1" applyBorder="1"/>
    <xf numFmtId="0" fontId="40" fillId="0" borderId="8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10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TableStyleMedium2 2" pivot="0" count="7" xr9:uid="{00000000-0011-0000-FFFF-FFFF01000000}">
      <tableStyleElement type="wholeTable" dxfId="94"/>
      <tableStyleElement type="headerRow" dxfId="93"/>
      <tableStyleElement type="totalRow" dxfId="92"/>
      <tableStyleElement type="firstColumn" dxfId="91"/>
      <tableStyleElement type="lastColumn" dxfId="90"/>
      <tableStyleElement type="firstRowStripe" dxfId="89"/>
      <tableStyleElement type="firstColumnStripe" dxfId="8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2.0408482113497013</c:v>
                </c:pt>
                <c:pt idx="1">
                  <c:v>2.1235153454194795</c:v>
                </c:pt>
                <c:pt idx="2">
                  <c:v>1.970642407579519</c:v>
                </c:pt>
                <c:pt idx="3">
                  <c:v>1.9889428456076297</c:v>
                </c:pt>
                <c:pt idx="4">
                  <c:v>2.0264420604710969</c:v>
                </c:pt>
                <c:pt idx="5">
                  <c:v>1.9471314057541067</c:v>
                </c:pt>
                <c:pt idx="6">
                  <c:v>1.8367594255314841</c:v>
                </c:pt>
                <c:pt idx="7">
                  <c:v>1.7926934816540454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1.3351881082925796</c:v>
                </c:pt>
                <c:pt idx="1">
                  <c:v>1.3351881082925796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87" tableBorderDxfId="86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85"/>
    <tableColumn id="2" xr3:uid="{00000000-0010-0000-0000-000002000000}" name="popis" dataDxfId="84"/>
    <tableColumn id="3" xr3:uid="{00000000-0010-0000-0000-000003000000}" name="01 uv_sk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6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35" totalsRowShown="0">
  <autoFilter ref="C3:S13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8" bestFit="1" customWidth="1"/>
    <col min="2" max="2" width="102.28515625" style="118" bestFit="1" customWidth="1"/>
    <col min="3" max="3" width="16.140625" style="42" hidden="1" customWidth="1"/>
    <col min="4" max="16384" width="8.85546875" style="118"/>
  </cols>
  <sheetData>
    <row r="1" spans="1:3" ht="18.600000000000001" customHeight="1" thickBot="1" x14ac:dyDescent="0.35">
      <c r="A1" s="318" t="s">
        <v>107</v>
      </c>
      <c r="B1" s="318"/>
    </row>
    <row r="2" spans="1:3" ht="14.45" customHeight="1" thickBot="1" x14ac:dyDescent="0.25">
      <c r="A2" s="221" t="s">
        <v>256</v>
      </c>
      <c r="B2" s="41"/>
    </row>
    <row r="3" spans="1:3" ht="14.45" customHeight="1" thickBot="1" x14ac:dyDescent="0.25">
      <c r="A3" s="314" t="s">
        <v>133</v>
      </c>
      <c r="B3" s="315"/>
    </row>
    <row r="4" spans="1:3" ht="14.45" customHeight="1" x14ac:dyDescent="0.2">
      <c r="A4" s="133" t="str">
        <f t="shared" ref="A4:A8" si="0">HYPERLINK("#'"&amp;C4&amp;"'!A1",C4)</f>
        <v>Motivace</v>
      </c>
      <c r="B4" s="78" t="s">
        <v>120</v>
      </c>
      <c r="C4" s="42" t="s">
        <v>121</v>
      </c>
    </row>
    <row r="5" spans="1:3" ht="14.45" customHeight="1" x14ac:dyDescent="0.2">
      <c r="A5" s="134" t="str">
        <f t="shared" si="0"/>
        <v>HI</v>
      </c>
      <c r="B5" s="79" t="s">
        <v>129</v>
      </c>
      <c r="C5" s="42" t="s">
        <v>110</v>
      </c>
    </row>
    <row r="6" spans="1:3" ht="14.45" customHeight="1" x14ac:dyDescent="0.2">
      <c r="A6" s="135" t="str">
        <f t="shared" si="0"/>
        <v>HI Graf</v>
      </c>
      <c r="B6" s="80" t="s">
        <v>103</v>
      </c>
      <c r="C6" s="42" t="s">
        <v>111</v>
      </c>
    </row>
    <row r="7" spans="1:3" ht="14.45" customHeight="1" x14ac:dyDescent="0.2">
      <c r="A7" s="135" t="str">
        <f t="shared" si="0"/>
        <v>Man Tab</v>
      </c>
      <c r="B7" s="80" t="s">
        <v>258</v>
      </c>
      <c r="C7" s="42" t="s">
        <v>112</v>
      </c>
    </row>
    <row r="8" spans="1:3" ht="14.45" customHeight="1" thickBot="1" x14ac:dyDescent="0.25">
      <c r="A8" s="136" t="str">
        <f t="shared" si="0"/>
        <v>HV</v>
      </c>
      <c r="B8" s="81" t="s">
        <v>61</v>
      </c>
      <c r="C8" s="42" t="s">
        <v>66</v>
      </c>
    </row>
    <row r="9" spans="1:3" ht="14.45" customHeight="1" thickBot="1" x14ac:dyDescent="0.25">
      <c r="A9" s="82"/>
      <c r="B9" s="82"/>
    </row>
    <row r="10" spans="1:3" ht="14.45" customHeight="1" thickBot="1" x14ac:dyDescent="0.25">
      <c r="A10" s="316" t="s">
        <v>108</v>
      </c>
      <c r="B10" s="315"/>
    </row>
    <row r="11" spans="1:3" ht="14.45" customHeight="1" x14ac:dyDescent="0.2">
      <c r="A11" s="137" t="str">
        <f t="shared" ref="A11" si="1">HYPERLINK("#'"&amp;C11&amp;"'!A1",C11)</f>
        <v>Léky Žádanky</v>
      </c>
      <c r="B11" s="79" t="s">
        <v>130</v>
      </c>
      <c r="C11" s="42" t="s">
        <v>113</v>
      </c>
    </row>
    <row r="12" spans="1:3" ht="14.45" customHeight="1" x14ac:dyDescent="0.2">
      <c r="A12" s="135" t="str">
        <f t="shared" ref="A12:A19" si="2">HYPERLINK("#'"&amp;C12&amp;"'!A1",C12)</f>
        <v>LŽ Detail</v>
      </c>
      <c r="B12" s="80" t="s">
        <v>151</v>
      </c>
      <c r="C12" s="42" t="s">
        <v>114</v>
      </c>
    </row>
    <row r="13" spans="1:3" ht="14.45" customHeight="1" x14ac:dyDescent="0.2">
      <c r="A13" s="135" t="str">
        <f t="shared" si="2"/>
        <v>LŽ Statim</v>
      </c>
      <c r="B13" s="243" t="s">
        <v>182</v>
      </c>
      <c r="C13" s="42" t="s">
        <v>192</v>
      </c>
    </row>
    <row r="14" spans="1:3" ht="14.45" customHeight="1" x14ac:dyDescent="0.2">
      <c r="A14" s="135" t="str">
        <f t="shared" si="2"/>
        <v>Léky Recepty</v>
      </c>
      <c r="B14" s="80" t="s">
        <v>131</v>
      </c>
      <c r="C14" s="42" t="s">
        <v>115</v>
      </c>
    </row>
    <row r="15" spans="1:3" ht="14.45" customHeight="1" x14ac:dyDescent="0.2">
      <c r="A15" s="135" t="str">
        <f t="shared" si="2"/>
        <v>LRp Lékaři</v>
      </c>
      <c r="B15" s="80" t="s">
        <v>137</v>
      </c>
      <c r="C15" s="42" t="s">
        <v>138</v>
      </c>
    </row>
    <row r="16" spans="1:3" ht="14.45" customHeight="1" x14ac:dyDescent="0.2">
      <c r="A16" s="135" t="str">
        <f t="shared" si="2"/>
        <v>LRp Detail</v>
      </c>
      <c r="B16" s="80" t="s">
        <v>640</v>
      </c>
      <c r="C16" s="42" t="s">
        <v>116</v>
      </c>
    </row>
    <row r="17" spans="1:3" ht="14.45" customHeight="1" x14ac:dyDescent="0.2">
      <c r="A17" s="137" t="str">
        <f t="shared" ref="A17" si="3">HYPERLINK("#'"&amp;C17&amp;"'!A1",C17)</f>
        <v>Materiál Žádanky</v>
      </c>
      <c r="B17" s="80" t="s">
        <v>132</v>
      </c>
      <c r="C17" s="42" t="s">
        <v>117</v>
      </c>
    </row>
    <row r="18" spans="1:3" ht="14.45" customHeight="1" x14ac:dyDescent="0.2">
      <c r="A18" s="135" t="str">
        <f t="shared" si="2"/>
        <v>MŽ Detail</v>
      </c>
      <c r="B18" s="80" t="s">
        <v>982</v>
      </c>
      <c r="C18" s="42" t="s">
        <v>118</v>
      </c>
    </row>
    <row r="19" spans="1:3" ht="14.45" customHeight="1" thickBot="1" x14ac:dyDescent="0.25">
      <c r="A19" s="137" t="str">
        <f t="shared" si="2"/>
        <v>Osobní náklady</v>
      </c>
      <c r="B19" s="80" t="s">
        <v>105</v>
      </c>
      <c r="C19" s="42" t="s">
        <v>119</v>
      </c>
    </row>
    <row r="20" spans="1:3" ht="14.45" customHeight="1" thickBot="1" x14ac:dyDescent="0.25">
      <c r="A20" s="83"/>
      <c r="B20" s="83"/>
    </row>
    <row r="21" spans="1:3" ht="14.45" customHeight="1" thickBot="1" x14ac:dyDescent="0.25">
      <c r="A21" s="317" t="s">
        <v>109</v>
      </c>
      <c r="B21" s="315"/>
    </row>
    <row r="22" spans="1:3" ht="14.45" customHeight="1" x14ac:dyDescent="0.2">
      <c r="A22" s="138" t="str">
        <f t="shared" ref="A22:A27" si="4">HYPERLINK("#'"&amp;C22&amp;"'!A1",C22)</f>
        <v>ZV Vykáz.-A</v>
      </c>
      <c r="B22" s="79" t="s">
        <v>1011</v>
      </c>
      <c r="C22" s="42" t="s">
        <v>122</v>
      </c>
    </row>
    <row r="23" spans="1:3" ht="14.45" customHeight="1" x14ac:dyDescent="0.2">
      <c r="A23" s="135" t="str">
        <f t="shared" ref="A23" si="5">HYPERLINK("#'"&amp;C23&amp;"'!A1",C23)</f>
        <v>ZV Vykáz.-A Lékaři</v>
      </c>
      <c r="B23" s="80" t="s">
        <v>1017</v>
      </c>
      <c r="C23" s="42" t="s">
        <v>195</v>
      </c>
    </row>
    <row r="24" spans="1:3" ht="14.45" customHeight="1" x14ac:dyDescent="0.2">
      <c r="A24" s="135" t="str">
        <f t="shared" si="4"/>
        <v>ZV Vykáz.-A Detail</v>
      </c>
      <c r="B24" s="80" t="s">
        <v>1119</v>
      </c>
      <c r="C24" s="42" t="s">
        <v>123</v>
      </c>
    </row>
    <row r="25" spans="1:3" ht="14.45" customHeight="1" x14ac:dyDescent="0.25">
      <c r="A25" s="256" t="str">
        <f>HYPERLINK("#'"&amp;C25&amp;"'!A1",C25)</f>
        <v>ZV Vykáz.-A Det.Lék.</v>
      </c>
      <c r="B25" s="80" t="s">
        <v>1120</v>
      </c>
      <c r="C25" s="42" t="s">
        <v>199</v>
      </c>
    </row>
    <row r="26" spans="1:3" ht="14.45" customHeight="1" x14ac:dyDescent="0.2">
      <c r="A26" s="135" t="str">
        <f t="shared" si="4"/>
        <v>ZV Vykáz.-H</v>
      </c>
      <c r="B26" s="80" t="s">
        <v>126</v>
      </c>
      <c r="C26" s="42" t="s">
        <v>124</v>
      </c>
    </row>
    <row r="27" spans="1:3" ht="14.45" customHeight="1" x14ac:dyDescent="0.2">
      <c r="A27" s="135" t="str">
        <f t="shared" si="4"/>
        <v>ZV Vykáz.-H Detail</v>
      </c>
      <c r="B27" s="80" t="s">
        <v>1143</v>
      </c>
      <c r="C27" s="42" t="s">
        <v>125</v>
      </c>
    </row>
  </sheetData>
  <mergeCells count="4">
    <mergeCell ref="A3:B3"/>
    <mergeCell ref="A10:B10"/>
    <mergeCell ref="A21:B21"/>
    <mergeCell ref="A1:B1"/>
  </mergeCells>
  <hyperlinks>
    <hyperlink ref="A2" location="Obsah!A1" display="Zpět na Obsah  KL 01  1.-4.měsíc" xr:uid="{3369F5C2-6B7B-4E55-A5B8-B3428405DF4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8" customWidth="1"/>
    <col min="2" max="2" width="34.28515625" style="118" customWidth="1"/>
    <col min="3" max="3" width="11.140625" style="118" bestFit="1" customWidth="1"/>
    <col min="4" max="4" width="7.28515625" style="118" bestFit="1" customWidth="1"/>
    <col min="5" max="5" width="11.140625" style="118" bestFit="1" customWidth="1"/>
    <col min="6" max="6" width="5.28515625" style="118" customWidth="1"/>
    <col min="7" max="7" width="7.28515625" style="118" bestFit="1" customWidth="1"/>
    <col min="8" max="8" width="5.28515625" style="118" customWidth="1"/>
    <col min="9" max="9" width="11.140625" style="118" customWidth="1"/>
    <col min="10" max="10" width="5.28515625" style="118" customWidth="1"/>
    <col min="11" max="11" width="7.28515625" style="118" customWidth="1"/>
    <col min="12" max="12" width="5.28515625" style="118" customWidth="1"/>
    <col min="13" max="13" width="0" style="118" hidden="1" customWidth="1"/>
    <col min="14" max="16384" width="8.85546875" style="118"/>
  </cols>
  <sheetData>
    <row r="1" spans="1:14" ht="18.600000000000001" customHeight="1" thickBot="1" x14ac:dyDescent="0.35">
      <c r="A1" s="356" t="s">
        <v>131</v>
      </c>
      <c r="B1" s="356"/>
      <c r="C1" s="356"/>
      <c r="D1" s="356"/>
      <c r="E1" s="356"/>
      <c r="F1" s="356"/>
      <c r="G1" s="356"/>
      <c r="H1" s="356"/>
      <c r="I1" s="319"/>
      <c r="J1" s="319"/>
      <c r="K1" s="319"/>
      <c r="L1" s="319"/>
    </row>
    <row r="2" spans="1:14" ht="14.45" customHeight="1" thickBot="1" x14ac:dyDescent="0.25">
      <c r="A2" s="221" t="s">
        <v>256</v>
      </c>
      <c r="B2" s="195"/>
      <c r="C2" s="195"/>
      <c r="D2" s="195"/>
      <c r="E2" s="195"/>
      <c r="F2" s="195"/>
      <c r="G2" s="195"/>
      <c r="H2" s="195"/>
    </row>
    <row r="3" spans="1:14" ht="14.45" customHeight="1" thickBot="1" x14ac:dyDescent="0.25">
      <c r="A3" s="132"/>
      <c r="B3" s="132"/>
      <c r="C3" s="364" t="s">
        <v>15</v>
      </c>
      <c r="D3" s="363"/>
      <c r="E3" s="363" t="s">
        <v>16</v>
      </c>
      <c r="F3" s="363"/>
      <c r="G3" s="363"/>
      <c r="H3" s="363"/>
      <c r="I3" s="363" t="s">
        <v>136</v>
      </c>
      <c r="J3" s="363"/>
      <c r="K3" s="363"/>
      <c r="L3" s="365"/>
    </row>
    <row r="4" spans="1:14" ht="14.45" customHeight="1" thickBot="1" x14ac:dyDescent="0.25">
      <c r="A4" s="71" t="s">
        <v>17</v>
      </c>
      <c r="B4" s="72" t="s">
        <v>18</v>
      </c>
      <c r="C4" s="73" t="s">
        <v>19</v>
      </c>
      <c r="D4" s="73" t="s">
        <v>20</v>
      </c>
      <c r="E4" s="73" t="s">
        <v>19</v>
      </c>
      <c r="F4" s="73" t="s">
        <v>2</v>
      </c>
      <c r="G4" s="73" t="s">
        <v>20</v>
      </c>
      <c r="H4" s="73" t="s">
        <v>2</v>
      </c>
      <c r="I4" s="73" t="s">
        <v>19</v>
      </c>
      <c r="J4" s="73" t="s">
        <v>2</v>
      </c>
      <c r="K4" s="73" t="s">
        <v>20</v>
      </c>
      <c r="L4" s="74" t="s">
        <v>2</v>
      </c>
    </row>
    <row r="5" spans="1:14" ht="14.45" customHeight="1" x14ac:dyDescent="0.2">
      <c r="A5" s="466">
        <v>28</v>
      </c>
      <c r="B5" s="467" t="s">
        <v>476</v>
      </c>
      <c r="C5" s="470">
        <v>9146.2800000000007</v>
      </c>
      <c r="D5" s="470">
        <v>35</v>
      </c>
      <c r="E5" s="470">
        <v>7848.9100000000008</v>
      </c>
      <c r="F5" s="522">
        <v>0.85815326012324133</v>
      </c>
      <c r="G5" s="470">
        <v>27</v>
      </c>
      <c r="H5" s="522">
        <v>0.77142857142857146</v>
      </c>
      <c r="I5" s="470">
        <v>1297.3700000000001</v>
      </c>
      <c r="J5" s="522">
        <v>0.14184673987675864</v>
      </c>
      <c r="K5" s="470">
        <v>8</v>
      </c>
      <c r="L5" s="522">
        <v>0.22857142857142856</v>
      </c>
      <c r="M5" s="470" t="s">
        <v>68</v>
      </c>
      <c r="N5" s="139"/>
    </row>
    <row r="6" spans="1:14" ht="14.45" customHeight="1" x14ac:dyDescent="0.2">
      <c r="A6" s="466">
        <v>28</v>
      </c>
      <c r="B6" s="467" t="s">
        <v>477</v>
      </c>
      <c r="C6" s="470">
        <v>9146.2800000000007</v>
      </c>
      <c r="D6" s="470">
        <v>34</v>
      </c>
      <c r="E6" s="470">
        <v>7848.9100000000008</v>
      </c>
      <c r="F6" s="522">
        <v>0.85815326012324133</v>
      </c>
      <c r="G6" s="470">
        <v>27</v>
      </c>
      <c r="H6" s="522">
        <v>0.79411764705882348</v>
      </c>
      <c r="I6" s="470">
        <v>1297.3700000000001</v>
      </c>
      <c r="J6" s="522">
        <v>0.14184673987675864</v>
      </c>
      <c r="K6" s="470">
        <v>7</v>
      </c>
      <c r="L6" s="522">
        <v>0.20588235294117646</v>
      </c>
      <c r="M6" s="470" t="s">
        <v>1</v>
      </c>
      <c r="N6" s="139"/>
    </row>
    <row r="7" spans="1:14" ht="14.45" customHeight="1" x14ac:dyDescent="0.2">
      <c r="A7" s="466">
        <v>28</v>
      </c>
      <c r="B7" s="467" t="s">
        <v>478</v>
      </c>
      <c r="C7" s="470">
        <v>0</v>
      </c>
      <c r="D7" s="470">
        <v>1</v>
      </c>
      <c r="E7" s="470" t="s">
        <v>446</v>
      </c>
      <c r="F7" s="522" t="s">
        <v>446</v>
      </c>
      <c r="G7" s="470" t="s">
        <v>446</v>
      </c>
      <c r="H7" s="522">
        <v>0</v>
      </c>
      <c r="I7" s="470">
        <v>0</v>
      </c>
      <c r="J7" s="522" t="s">
        <v>446</v>
      </c>
      <c r="K7" s="470">
        <v>1</v>
      </c>
      <c r="L7" s="522">
        <v>1</v>
      </c>
      <c r="M7" s="470" t="s">
        <v>1</v>
      </c>
      <c r="N7" s="139"/>
    </row>
    <row r="8" spans="1:14" ht="14.45" customHeight="1" x14ac:dyDescent="0.2">
      <c r="A8" s="466" t="s">
        <v>444</v>
      </c>
      <c r="B8" s="467" t="s">
        <v>3</v>
      </c>
      <c r="C8" s="470">
        <v>9146.2800000000007</v>
      </c>
      <c r="D8" s="470">
        <v>35</v>
      </c>
      <c r="E8" s="470">
        <v>7848.9100000000008</v>
      </c>
      <c r="F8" s="522">
        <v>0.85815326012324133</v>
      </c>
      <c r="G8" s="470">
        <v>27</v>
      </c>
      <c r="H8" s="522">
        <v>0.77142857142857146</v>
      </c>
      <c r="I8" s="470">
        <v>1297.3700000000001</v>
      </c>
      <c r="J8" s="522">
        <v>0.14184673987675864</v>
      </c>
      <c r="K8" s="470">
        <v>8</v>
      </c>
      <c r="L8" s="522">
        <v>0.22857142857142856</v>
      </c>
      <c r="M8" s="470" t="s">
        <v>449</v>
      </c>
      <c r="N8" s="139"/>
    </row>
    <row r="10" spans="1:14" ht="14.45" customHeight="1" x14ac:dyDescent="0.2">
      <c r="A10" s="466">
        <v>28</v>
      </c>
      <c r="B10" s="467" t="s">
        <v>476</v>
      </c>
      <c r="C10" s="470" t="s">
        <v>446</v>
      </c>
      <c r="D10" s="470" t="s">
        <v>446</v>
      </c>
      <c r="E10" s="470" t="s">
        <v>446</v>
      </c>
      <c r="F10" s="522" t="s">
        <v>446</v>
      </c>
      <c r="G10" s="470" t="s">
        <v>446</v>
      </c>
      <c r="H10" s="522" t="s">
        <v>446</v>
      </c>
      <c r="I10" s="470" t="s">
        <v>446</v>
      </c>
      <c r="J10" s="522" t="s">
        <v>446</v>
      </c>
      <c r="K10" s="470" t="s">
        <v>446</v>
      </c>
      <c r="L10" s="522" t="s">
        <v>446</v>
      </c>
      <c r="M10" s="470" t="s">
        <v>68</v>
      </c>
      <c r="N10" s="139"/>
    </row>
    <row r="11" spans="1:14" ht="14.45" customHeight="1" x14ac:dyDescent="0.2">
      <c r="A11" s="466" t="s">
        <v>479</v>
      </c>
      <c r="B11" s="467" t="s">
        <v>477</v>
      </c>
      <c r="C11" s="470">
        <v>9146.2800000000007</v>
      </c>
      <c r="D11" s="470">
        <v>34</v>
      </c>
      <c r="E11" s="470">
        <v>7848.9100000000008</v>
      </c>
      <c r="F11" s="522">
        <v>0.85815326012324133</v>
      </c>
      <c r="G11" s="470">
        <v>27</v>
      </c>
      <c r="H11" s="522">
        <v>0.79411764705882348</v>
      </c>
      <c r="I11" s="470">
        <v>1297.3700000000001</v>
      </c>
      <c r="J11" s="522">
        <v>0.14184673987675864</v>
      </c>
      <c r="K11" s="470">
        <v>7</v>
      </c>
      <c r="L11" s="522">
        <v>0.20588235294117646</v>
      </c>
      <c r="M11" s="470" t="s">
        <v>1</v>
      </c>
      <c r="N11" s="139"/>
    </row>
    <row r="12" spans="1:14" ht="14.45" customHeight="1" x14ac:dyDescent="0.2">
      <c r="A12" s="466" t="s">
        <v>479</v>
      </c>
      <c r="B12" s="467" t="s">
        <v>478</v>
      </c>
      <c r="C12" s="470">
        <v>0</v>
      </c>
      <c r="D12" s="470">
        <v>1</v>
      </c>
      <c r="E12" s="470" t="s">
        <v>446</v>
      </c>
      <c r="F12" s="522" t="s">
        <v>446</v>
      </c>
      <c r="G12" s="470" t="s">
        <v>446</v>
      </c>
      <c r="H12" s="522">
        <v>0</v>
      </c>
      <c r="I12" s="470">
        <v>0</v>
      </c>
      <c r="J12" s="522" t="s">
        <v>446</v>
      </c>
      <c r="K12" s="470">
        <v>1</v>
      </c>
      <c r="L12" s="522">
        <v>1</v>
      </c>
      <c r="M12" s="470" t="s">
        <v>1</v>
      </c>
      <c r="N12" s="139"/>
    </row>
    <row r="13" spans="1:14" ht="14.45" customHeight="1" x14ac:dyDescent="0.2">
      <c r="A13" s="466" t="s">
        <v>479</v>
      </c>
      <c r="B13" s="467" t="s">
        <v>480</v>
      </c>
      <c r="C13" s="470">
        <v>9146.2800000000007</v>
      </c>
      <c r="D13" s="470">
        <v>35</v>
      </c>
      <c r="E13" s="470">
        <v>7848.9100000000008</v>
      </c>
      <c r="F13" s="522">
        <v>0.85815326012324133</v>
      </c>
      <c r="G13" s="470">
        <v>27</v>
      </c>
      <c r="H13" s="522">
        <v>0.77142857142857146</v>
      </c>
      <c r="I13" s="470">
        <v>1297.3700000000001</v>
      </c>
      <c r="J13" s="522">
        <v>0.14184673987675864</v>
      </c>
      <c r="K13" s="470">
        <v>8</v>
      </c>
      <c r="L13" s="522">
        <v>0.22857142857142856</v>
      </c>
      <c r="M13" s="470" t="s">
        <v>453</v>
      </c>
      <c r="N13" s="139"/>
    </row>
    <row r="14" spans="1:14" ht="14.45" customHeight="1" x14ac:dyDescent="0.2">
      <c r="A14" s="466" t="s">
        <v>446</v>
      </c>
      <c r="B14" s="467" t="s">
        <v>446</v>
      </c>
      <c r="C14" s="470" t="s">
        <v>446</v>
      </c>
      <c r="D14" s="470" t="s">
        <v>446</v>
      </c>
      <c r="E14" s="470" t="s">
        <v>446</v>
      </c>
      <c r="F14" s="522" t="s">
        <v>446</v>
      </c>
      <c r="G14" s="470" t="s">
        <v>446</v>
      </c>
      <c r="H14" s="522" t="s">
        <v>446</v>
      </c>
      <c r="I14" s="470" t="s">
        <v>446</v>
      </c>
      <c r="J14" s="522" t="s">
        <v>446</v>
      </c>
      <c r="K14" s="470" t="s">
        <v>446</v>
      </c>
      <c r="L14" s="522" t="s">
        <v>446</v>
      </c>
      <c r="M14" s="470" t="s">
        <v>454</v>
      </c>
      <c r="N14" s="139"/>
    </row>
    <row r="15" spans="1:14" ht="14.45" customHeight="1" x14ac:dyDescent="0.2">
      <c r="A15" s="466" t="s">
        <v>444</v>
      </c>
      <c r="B15" s="467" t="s">
        <v>481</v>
      </c>
      <c r="C15" s="470">
        <v>9146.2800000000007</v>
      </c>
      <c r="D15" s="470">
        <v>35</v>
      </c>
      <c r="E15" s="470">
        <v>7848.9100000000008</v>
      </c>
      <c r="F15" s="522">
        <v>0.85815326012324133</v>
      </c>
      <c r="G15" s="470">
        <v>27</v>
      </c>
      <c r="H15" s="522">
        <v>0.77142857142857146</v>
      </c>
      <c r="I15" s="470">
        <v>1297.3700000000001</v>
      </c>
      <c r="J15" s="522">
        <v>0.14184673987675864</v>
      </c>
      <c r="K15" s="470">
        <v>8</v>
      </c>
      <c r="L15" s="522">
        <v>0.22857142857142856</v>
      </c>
      <c r="M15" s="470" t="s">
        <v>449</v>
      </c>
      <c r="N15" s="139"/>
    </row>
    <row r="16" spans="1:14" ht="14.45" customHeight="1" x14ac:dyDescent="0.2">
      <c r="A16" s="523" t="s">
        <v>233</v>
      </c>
    </row>
    <row r="17" spans="1:1" ht="14.45" customHeight="1" x14ac:dyDescent="0.2">
      <c r="A17" s="524" t="s">
        <v>482</v>
      </c>
    </row>
    <row r="18" spans="1:1" ht="14.45" customHeight="1" x14ac:dyDescent="0.2">
      <c r="A18" s="523" t="s">
        <v>483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4" priority="15" stopIfTrue="1" operator="lessThan">
      <formula>0.6</formula>
    </cfRule>
  </conditionalFormatting>
  <conditionalFormatting sqref="B5:B8">
    <cfRule type="expression" dxfId="33" priority="10">
      <formula>AND(LEFT(M5,6)&lt;&gt;"mezera",M5&lt;&gt;"")</formula>
    </cfRule>
  </conditionalFormatting>
  <conditionalFormatting sqref="A5:A8">
    <cfRule type="expression" dxfId="32" priority="8">
      <formula>AND(M5&lt;&gt;"",M5&lt;&gt;"mezeraKL")</formula>
    </cfRule>
  </conditionalFormatting>
  <conditionalFormatting sqref="F5:F8">
    <cfRule type="cellIs" dxfId="31" priority="7" operator="lessThan">
      <formula>0.6</formula>
    </cfRule>
  </conditionalFormatting>
  <conditionalFormatting sqref="B5:L8">
    <cfRule type="expression" dxfId="30" priority="9">
      <formula>OR($M5="KL",$M5="SumaKL")</formula>
    </cfRule>
    <cfRule type="expression" dxfId="29" priority="11">
      <formula>$M5="SumaNS"</formula>
    </cfRule>
  </conditionalFormatting>
  <conditionalFormatting sqref="A5:L8">
    <cfRule type="expression" dxfId="28" priority="12">
      <formula>$M5&lt;&gt;""</formula>
    </cfRule>
  </conditionalFormatting>
  <conditionalFormatting sqref="B10:B15">
    <cfRule type="expression" dxfId="27" priority="4">
      <formula>AND(LEFT(M10,6)&lt;&gt;"mezera",M10&lt;&gt;"")</formula>
    </cfRule>
  </conditionalFormatting>
  <conditionalFormatting sqref="A10:A15">
    <cfRule type="expression" dxfId="26" priority="2">
      <formula>AND(M10&lt;&gt;"",M10&lt;&gt;"mezeraKL")</formula>
    </cfRule>
  </conditionalFormatting>
  <conditionalFormatting sqref="F10:F15">
    <cfRule type="cellIs" dxfId="25" priority="1" operator="lessThan">
      <formula>0.6</formula>
    </cfRule>
  </conditionalFormatting>
  <conditionalFormatting sqref="B10:L15">
    <cfRule type="expression" dxfId="24" priority="3">
      <formula>OR($M10="KL",$M10="SumaKL")</formula>
    </cfRule>
    <cfRule type="expression" dxfId="23" priority="5">
      <formula>$M10="SumaNS"</formula>
    </cfRule>
  </conditionalFormatting>
  <conditionalFormatting sqref="A10:L15">
    <cfRule type="expression" dxfId="22" priority="6">
      <formula>$M10&lt;&gt;""</formula>
    </cfRule>
  </conditionalFormatting>
  <hyperlinks>
    <hyperlink ref="A2" location="Obsah!A1" display="Zpět na Obsah  KL 01  1.-4.měsíc" xr:uid="{B59E2331-5B99-4F03-82BD-AA54BFA55989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8" customWidth="1"/>
    <col min="2" max="2" width="11.140625" style="196" bestFit="1" customWidth="1"/>
    <col min="3" max="3" width="11.140625" style="118" hidden="1" customWidth="1"/>
    <col min="4" max="4" width="7.28515625" style="196" bestFit="1" customWidth="1"/>
    <col min="5" max="5" width="7.28515625" style="118" hidden="1" customWidth="1"/>
    <col min="6" max="6" width="11.140625" style="196" bestFit="1" customWidth="1"/>
    <col min="7" max="7" width="5.28515625" style="199" customWidth="1"/>
    <col min="8" max="8" width="7.28515625" style="196" bestFit="1" customWidth="1"/>
    <col min="9" max="9" width="5.28515625" style="199" customWidth="1"/>
    <col min="10" max="10" width="11.140625" style="196" customWidth="1"/>
    <col min="11" max="11" width="5.28515625" style="199" customWidth="1"/>
    <col min="12" max="12" width="7.28515625" style="196" customWidth="1"/>
    <col min="13" max="13" width="5.28515625" style="199" customWidth="1"/>
    <col min="14" max="14" width="0" style="118" hidden="1" customWidth="1"/>
    <col min="15" max="16384" width="8.85546875" style="118"/>
  </cols>
  <sheetData>
    <row r="1" spans="1:13" ht="18.600000000000001" customHeight="1" thickBot="1" x14ac:dyDescent="0.35">
      <c r="A1" s="356" t="s">
        <v>137</v>
      </c>
      <c r="B1" s="356"/>
      <c r="C1" s="356"/>
      <c r="D1" s="356"/>
      <c r="E1" s="356"/>
      <c r="F1" s="356"/>
      <c r="G1" s="356"/>
      <c r="H1" s="356"/>
      <c r="I1" s="356"/>
      <c r="J1" s="319"/>
      <c r="K1" s="319"/>
      <c r="L1" s="319"/>
      <c r="M1" s="319"/>
    </row>
    <row r="2" spans="1:13" ht="14.45" customHeight="1" thickBot="1" x14ac:dyDescent="0.25">
      <c r="A2" s="221" t="s">
        <v>256</v>
      </c>
      <c r="B2" s="203"/>
      <c r="C2" s="195"/>
      <c r="D2" s="203"/>
      <c r="E2" s="195"/>
      <c r="F2" s="203"/>
      <c r="G2" s="204"/>
      <c r="H2" s="203"/>
      <c r="I2" s="204"/>
    </row>
    <row r="3" spans="1:13" ht="14.45" customHeight="1" thickBot="1" x14ac:dyDescent="0.25">
      <c r="A3" s="132"/>
      <c r="B3" s="364" t="s">
        <v>15</v>
      </c>
      <c r="C3" s="366"/>
      <c r="D3" s="363"/>
      <c r="E3" s="131"/>
      <c r="F3" s="363" t="s">
        <v>16</v>
      </c>
      <c r="G3" s="363"/>
      <c r="H3" s="363"/>
      <c r="I3" s="363"/>
      <c r="J3" s="363" t="s">
        <v>136</v>
      </c>
      <c r="K3" s="363"/>
      <c r="L3" s="363"/>
      <c r="M3" s="365"/>
    </row>
    <row r="4" spans="1:13" ht="14.45" customHeight="1" thickBot="1" x14ac:dyDescent="0.25">
      <c r="A4" s="498" t="s">
        <v>128</v>
      </c>
      <c r="B4" s="499" t="s">
        <v>19</v>
      </c>
      <c r="C4" s="528"/>
      <c r="D4" s="499" t="s">
        <v>20</v>
      </c>
      <c r="E4" s="528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x14ac:dyDescent="0.2">
      <c r="A5" s="525" t="s">
        <v>484</v>
      </c>
      <c r="B5" s="516">
        <v>154.36000000000001</v>
      </c>
      <c r="C5" s="478">
        <v>1</v>
      </c>
      <c r="D5" s="529">
        <v>2</v>
      </c>
      <c r="E5" s="532" t="s">
        <v>484</v>
      </c>
      <c r="F5" s="516"/>
      <c r="G5" s="504">
        <v>0</v>
      </c>
      <c r="H5" s="482"/>
      <c r="I5" s="505">
        <v>0</v>
      </c>
      <c r="J5" s="535">
        <v>154.36000000000001</v>
      </c>
      <c r="K5" s="504">
        <v>1</v>
      </c>
      <c r="L5" s="482">
        <v>2</v>
      </c>
      <c r="M5" s="505">
        <v>1</v>
      </c>
    </row>
    <row r="6" spans="1:13" ht="14.45" customHeight="1" x14ac:dyDescent="0.2">
      <c r="A6" s="526" t="s">
        <v>485</v>
      </c>
      <c r="B6" s="517">
        <v>1068.25</v>
      </c>
      <c r="C6" s="485">
        <v>1</v>
      </c>
      <c r="D6" s="530">
        <v>3</v>
      </c>
      <c r="E6" s="533" t="s">
        <v>485</v>
      </c>
      <c r="F6" s="517">
        <v>483.18</v>
      </c>
      <c r="G6" s="506">
        <v>0.45230985256260237</v>
      </c>
      <c r="H6" s="489">
        <v>2</v>
      </c>
      <c r="I6" s="507">
        <v>0.66666666666666663</v>
      </c>
      <c r="J6" s="536">
        <v>585.06999999999994</v>
      </c>
      <c r="K6" s="506">
        <v>0.54769014743739752</v>
      </c>
      <c r="L6" s="489">
        <v>1</v>
      </c>
      <c r="M6" s="507">
        <v>0.33333333333333331</v>
      </c>
    </row>
    <row r="7" spans="1:13" ht="14.45" customHeight="1" x14ac:dyDescent="0.2">
      <c r="A7" s="526" t="s">
        <v>486</v>
      </c>
      <c r="B7" s="517">
        <v>1786.07</v>
      </c>
      <c r="C7" s="485">
        <v>1</v>
      </c>
      <c r="D7" s="530">
        <v>7</v>
      </c>
      <c r="E7" s="533" t="s">
        <v>486</v>
      </c>
      <c r="F7" s="517">
        <v>1607.8899999999999</v>
      </c>
      <c r="G7" s="506">
        <v>0.90023907237678247</v>
      </c>
      <c r="H7" s="489">
        <v>4</v>
      </c>
      <c r="I7" s="507">
        <v>0.5714285714285714</v>
      </c>
      <c r="J7" s="536">
        <v>178.18</v>
      </c>
      <c r="K7" s="506">
        <v>9.9760927623217463E-2</v>
      </c>
      <c r="L7" s="489">
        <v>3</v>
      </c>
      <c r="M7" s="507">
        <v>0.42857142857142855</v>
      </c>
    </row>
    <row r="8" spans="1:13" ht="14.45" customHeight="1" x14ac:dyDescent="0.2">
      <c r="A8" s="526" t="s">
        <v>487</v>
      </c>
      <c r="B8" s="517">
        <v>255.82</v>
      </c>
      <c r="C8" s="485">
        <v>1</v>
      </c>
      <c r="D8" s="530">
        <v>1</v>
      </c>
      <c r="E8" s="533" t="s">
        <v>487</v>
      </c>
      <c r="F8" s="517"/>
      <c r="G8" s="506">
        <v>0</v>
      </c>
      <c r="H8" s="489"/>
      <c r="I8" s="507">
        <v>0</v>
      </c>
      <c r="J8" s="536">
        <v>255.82</v>
      </c>
      <c r="K8" s="506">
        <v>1</v>
      </c>
      <c r="L8" s="489">
        <v>1</v>
      </c>
      <c r="M8" s="507">
        <v>1</v>
      </c>
    </row>
    <row r="9" spans="1:13" ht="14.45" customHeight="1" thickBot="1" x14ac:dyDescent="0.25">
      <c r="A9" s="527" t="s">
        <v>488</v>
      </c>
      <c r="B9" s="518">
        <v>5881.78</v>
      </c>
      <c r="C9" s="492">
        <v>1</v>
      </c>
      <c r="D9" s="531">
        <v>22</v>
      </c>
      <c r="E9" s="534" t="s">
        <v>488</v>
      </c>
      <c r="F9" s="518">
        <v>5757.84</v>
      </c>
      <c r="G9" s="508">
        <v>0.97892814760157643</v>
      </c>
      <c r="H9" s="496">
        <v>21</v>
      </c>
      <c r="I9" s="509">
        <v>0.95454545454545459</v>
      </c>
      <c r="J9" s="537">
        <v>123.94</v>
      </c>
      <c r="K9" s="508">
        <v>2.1071852398423609E-2</v>
      </c>
      <c r="L9" s="496">
        <v>1</v>
      </c>
      <c r="M9" s="509">
        <v>4.5454545454545456E-2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ABF742A6-C69F-4B74-AFB8-EB19FD29770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5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8" hidden="1" customWidth="1" outlineLevel="1"/>
    <col min="2" max="2" width="28.28515625" style="118" hidden="1" customWidth="1" outlineLevel="1"/>
    <col min="3" max="3" width="9" style="118" customWidth="1" collapsed="1"/>
    <col min="4" max="4" width="18.7109375" style="207" customWidth="1"/>
    <col min="5" max="5" width="13.5703125" style="197" customWidth="1"/>
    <col min="6" max="6" width="6" style="118" bestFit="1" customWidth="1"/>
    <col min="7" max="7" width="8.7109375" style="118" customWidth="1"/>
    <col min="8" max="8" width="5" style="118" bestFit="1" customWidth="1"/>
    <col min="9" max="9" width="8.5703125" style="118" hidden="1" customWidth="1" outlineLevel="1"/>
    <col min="10" max="10" width="25.7109375" style="118" customWidth="1" collapsed="1"/>
    <col min="11" max="11" width="8.7109375" style="118" customWidth="1"/>
    <col min="12" max="12" width="7.7109375" style="198" customWidth="1"/>
    <col min="13" max="13" width="11.140625" style="198" customWidth="1"/>
    <col min="14" max="14" width="7.7109375" style="118" customWidth="1"/>
    <col min="15" max="15" width="7.7109375" style="208" customWidth="1"/>
    <col min="16" max="16" width="11.140625" style="198" customWidth="1"/>
    <col min="17" max="17" width="5.42578125" style="199" bestFit="1" customWidth="1"/>
    <col min="18" max="18" width="7.7109375" style="118" customWidth="1"/>
    <col min="19" max="19" width="5.42578125" style="199" bestFit="1" customWidth="1"/>
    <col min="20" max="20" width="7.7109375" style="208" customWidth="1"/>
    <col min="21" max="21" width="5.42578125" style="199" bestFit="1" customWidth="1"/>
    <col min="22" max="16384" width="8.85546875" style="118"/>
  </cols>
  <sheetData>
    <row r="1" spans="1:21" ht="18.600000000000001" customHeight="1" thickBot="1" x14ac:dyDescent="0.35">
      <c r="A1" s="348" t="s">
        <v>640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4.45" customHeight="1" thickBot="1" x14ac:dyDescent="0.25">
      <c r="A2" s="221" t="s">
        <v>256</v>
      </c>
      <c r="B2" s="205"/>
      <c r="C2" s="195"/>
      <c r="D2" s="195"/>
      <c r="E2" s="206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ht="14.45" customHeight="1" thickBot="1" x14ac:dyDescent="0.25">
      <c r="A3" s="370"/>
      <c r="B3" s="371"/>
      <c r="C3" s="371"/>
      <c r="D3" s="371"/>
      <c r="E3" s="371"/>
      <c r="F3" s="371"/>
      <c r="G3" s="371"/>
      <c r="H3" s="371"/>
      <c r="I3" s="371"/>
      <c r="J3" s="371"/>
      <c r="K3" s="372" t="s">
        <v>127</v>
      </c>
      <c r="L3" s="373"/>
      <c r="M3" s="58">
        <f>SUBTOTAL(9,M7:M1048576)</f>
        <v>9146.2800000000007</v>
      </c>
      <c r="N3" s="58">
        <f>SUBTOTAL(9,N7:N1048576)</f>
        <v>94</v>
      </c>
      <c r="O3" s="58">
        <f>SUBTOTAL(9,O7:O1048576)</f>
        <v>35</v>
      </c>
      <c r="P3" s="58">
        <f>SUBTOTAL(9,P7:P1048576)</f>
        <v>7848.91</v>
      </c>
      <c r="Q3" s="59">
        <f>IF(M3=0,0,P3/M3)</f>
        <v>0.85815326012324133</v>
      </c>
      <c r="R3" s="58">
        <f>SUBTOTAL(9,R7:R1048576)</f>
        <v>81</v>
      </c>
      <c r="S3" s="59">
        <f>IF(N3=0,0,R3/N3)</f>
        <v>0.86170212765957444</v>
      </c>
      <c r="T3" s="58">
        <f>SUBTOTAL(9,T7:T1048576)</f>
        <v>27</v>
      </c>
      <c r="U3" s="60">
        <f>IF(O3=0,0,T3/O3)</f>
        <v>0.77142857142857146</v>
      </c>
    </row>
    <row r="4" spans="1:21" ht="14.45" customHeight="1" x14ac:dyDescent="0.2">
      <c r="A4" s="61"/>
      <c r="B4" s="62"/>
      <c r="C4" s="62"/>
      <c r="D4" s="63"/>
      <c r="E4" s="132"/>
      <c r="F4" s="62"/>
      <c r="G4" s="62"/>
      <c r="H4" s="62"/>
      <c r="I4" s="62"/>
      <c r="J4" s="62"/>
      <c r="K4" s="62"/>
      <c r="L4" s="62"/>
      <c r="M4" s="374" t="s">
        <v>15</v>
      </c>
      <c r="N4" s="375"/>
      <c r="O4" s="375"/>
      <c r="P4" s="376" t="s">
        <v>21</v>
      </c>
      <c r="Q4" s="375"/>
      <c r="R4" s="375"/>
      <c r="S4" s="375"/>
      <c r="T4" s="375"/>
      <c r="U4" s="377"/>
    </row>
    <row r="5" spans="1:21" ht="14.45" customHeight="1" thickBot="1" x14ac:dyDescent="0.25">
      <c r="A5" s="64"/>
      <c r="B5" s="65"/>
      <c r="C5" s="62"/>
      <c r="D5" s="63"/>
      <c r="E5" s="132"/>
      <c r="F5" s="62"/>
      <c r="G5" s="62"/>
      <c r="H5" s="62"/>
      <c r="I5" s="62"/>
      <c r="J5" s="62"/>
      <c r="K5" s="62"/>
      <c r="L5" s="62"/>
      <c r="M5" s="75" t="s">
        <v>22</v>
      </c>
      <c r="N5" s="76" t="s">
        <v>13</v>
      </c>
      <c r="O5" s="76" t="s">
        <v>20</v>
      </c>
      <c r="P5" s="367" t="s">
        <v>22</v>
      </c>
      <c r="Q5" s="368"/>
      <c r="R5" s="367" t="s">
        <v>13</v>
      </c>
      <c r="S5" s="368"/>
      <c r="T5" s="367" t="s">
        <v>20</v>
      </c>
      <c r="U5" s="369"/>
    </row>
    <row r="6" spans="1:21" s="197" customFormat="1" ht="14.45" customHeight="1" thickBot="1" x14ac:dyDescent="0.25">
      <c r="A6" s="538" t="s">
        <v>23</v>
      </c>
      <c r="B6" s="539" t="s">
        <v>5</v>
      </c>
      <c r="C6" s="538" t="s">
        <v>24</v>
      </c>
      <c r="D6" s="539" t="s">
        <v>6</v>
      </c>
      <c r="E6" s="539" t="s">
        <v>139</v>
      </c>
      <c r="F6" s="539" t="s">
        <v>25</v>
      </c>
      <c r="G6" s="539" t="s">
        <v>26</v>
      </c>
      <c r="H6" s="539" t="s">
        <v>8</v>
      </c>
      <c r="I6" s="539" t="s">
        <v>10</v>
      </c>
      <c r="J6" s="539" t="s">
        <v>11</v>
      </c>
      <c r="K6" s="539" t="s">
        <v>12</v>
      </c>
      <c r="L6" s="539" t="s">
        <v>27</v>
      </c>
      <c r="M6" s="540" t="s">
        <v>14</v>
      </c>
      <c r="N6" s="541" t="s">
        <v>28</v>
      </c>
      <c r="O6" s="541" t="s">
        <v>28</v>
      </c>
      <c r="P6" s="541" t="s">
        <v>14</v>
      </c>
      <c r="Q6" s="541" t="s">
        <v>2</v>
      </c>
      <c r="R6" s="541" t="s">
        <v>28</v>
      </c>
      <c r="S6" s="541" t="s">
        <v>2</v>
      </c>
      <c r="T6" s="541" t="s">
        <v>28</v>
      </c>
      <c r="U6" s="542" t="s">
        <v>2</v>
      </c>
    </row>
    <row r="7" spans="1:21" ht="14.45" customHeight="1" x14ac:dyDescent="0.2">
      <c r="A7" s="543">
        <v>28</v>
      </c>
      <c r="B7" s="544" t="s">
        <v>476</v>
      </c>
      <c r="C7" s="544" t="s">
        <v>479</v>
      </c>
      <c r="D7" s="545" t="s">
        <v>638</v>
      </c>
      <c r="E7" s="546" t="s">
        <v>485</v>
      </c>
      <c r="F7" s="544" t="s">
        <v>477</v>
      </c>
      <c r="G7" s="544" t="s">
        <v>489</v>
      </c>
      <c r="H7" s="544" t="s">
        <v>446</v>
      </c>
      <c r="I7" s="544" t="s">
        <v>490</v>
      </c>
      <c r="J7" s="544" t="s">
        <v>491</v>
      </c>
      <c r="K7" s="544" t="s">
        <v>492</v>
      </c>
      <c r="L7" s="547">
        <v>263.26</v>
      </c>
      <c r="M7" s="547">
        <v>263.26</v>
      </c>
      <c r="N7" s="544">
        <v>1</v>
      </c>
      <c r="O7" s="548">
        <v>0.5</v>
      </c>
      <c r="P7" s="547"/>
      <c r="Q7" s="549">
        <v>0</v>
      </c>
      <c r="R7" s="544"/>
      <c r="S7" s="549">
        <v>0</v>
      </c>
      <c r="T7" s="548"/>
      <c r="U7" s="111">
        <v>0</v>
      </c>
    </row>
    <row r="8" spans="1:21" ht="14.45" customHeight="1" x14ac:dyDescent="0.2">
      <c r="A8" s="484">
        <v>28</v>
      </c>
      <c r="B8" s="485" t="s">
        <v>476</v>
      </c>
      <c r="C8" s="485" t="s">
        <v>479</v>
      </c>
      <c r="D8" s="550" t="s">
        <v>638</v>
      </c>
      <c r="E8" s="551" t="s">
        <v>485</v>
      </c>
      <c r="F8" s="485" t="s">
        <v>477</v>
      </c>
      <c r="G8" s="485" t="s">
        <v>493</v>
      </c>
      <c r="H8" s="485" t="s">
        <v>446</v>
      </c>
      <c r="I8" s="485" t="s">
        <v>494</v>
      </c>
      <c r="J8" s="485" t="s">
        <v>495</v>
      </c>
      <c r="K8" s="485" t="s">
        <v>496</v>
      </c>
      <c r="L8" s="486">
        <v>91.78</v>
      </c>
      <c r="M8" s="486">
        <v>183.56</v>
      </c>
      <c r="N8" s="485">
        <v>2</v>
      </c>
      <c r="O8" s="552">
        <v>1</v>
      </c>
      <c r="P8" s="486">
        <v>183.56</v>
      </c>
      <c r="Q8" s="506">
        <v>1</v>
      </c>
      <c r="R8" s="485">
        <v>2</v>
      </c>
      <c r="S8" s="506">
        <v>1</v>
      </c>
      <c r="T8" s="552">
        <v>1</v>
      </c>
      <c r="U8" s="507">
        <v>1</v>
      </c>
    </row>
    <row r="9" spans="1:21" ht="14.45" customHeight="1" x14ac:dyDescent="0.2">
      <c r="A9" s="484">
        <v>28</v>
      </c>
      <c r="B9" s="485" t="s">
        <v>476</v>
      </c>
      <c r="C9" s="485" t="s">
        <v>479</v>
      </c>
      <c r="D9" s="550" t="s">
        <v>638</v>
      </c>
      <c r="E9" s="551" t="s">
        <v>485</v>
      </c>
      <c r="F9" s="485" t="s">
        <v>477</v>
      </c>
      <c r="G9" s="485" t="s">
        <v>497</v>
      </c>
      <c r="H9" s="485" t="s">
        <v>446</v>
      </c>
      <c r="I9" s="485" t="s">
        <v>498</v>
      </c>
      <c r="J9" s="485" t="s">
        <v>499</v>
      </c>
      <c r="K9" s="485" t="s">
        <v>500</v>
      </c>
      <c r="L9" s="486">
        <v>42.54</v>
      </c>
      <c r="M9" s="486">
        <v>85.08</v>
      </c>
      <c r="N9" s="485">
        <v>2</v>
      </c>
      <c r="O9" s="552">
        <v>0.5</v>
      </c>
      <c r="P9" s="486">
        <v>85.08</v>
      </c>
      <c r="Q9" s="506">
        <v>1</v>
      </c>
      <c r="R9" s="485">
        <v>2</v>
      </c>
      <c r="S9" s="506">
        <v>1</v>
      </c>
      <c r="T9" s="552">
        <v>0.5</v>
      </c>
      <c r="U9" s="507">
        <v>1</v>
      </c>
    </row>
    <row r="10" spans="1:21" ht="14.45" customHeight="1" x14ac:dyDescent="0.2">
      <c r="A10" s="484">
        <v>28</v>
      </c>
      <c r="B10" s="485" t="s">
        <v>476</v>
      </c>
      <c r="C10" s="485" t="s">
        <v>479</v>
      </c>
      <c r="D10" s="550" t="s">
        <v>638</v>
      </c>
      <c r="E10" s="551" t="s">
        <v>485</v>
      </c>
      <c r="F10" s="485" t="s">
        <v>477</v>
      </c>
      <c r="G10" s="485" t="s">
        <v>501</v>
      </c>
      <c r="H10" s="485" t="s">
        <v>446</v>
      </c>
      <c r="I10" s="485" t="s">
        <v>502</v>
      </c>
      <c r="J10" s="485" t="s">
        <v>503</v>
      </c>
      <c r="K10" s="485" t="s">
        <v>504</v>
      </c>
      <c r="L10" s="486">
        <v>107.27</v>
      </c>
      <c r="M10" s="486">
        <v>214.54</v>
      </c>
      <c r="N10" s="485">
        <v>2</v>
      </c>
      <c r="O10" s="552">
        <v>0.5</v>
      </c>
      <c r="P10" s="486">
        <v>214.54</v>
      </c>
      <c r="Q10" s="506">
        <v>1</v>
      </c>
      <c r="R10" s="485">
        <v>2</v>
      </c>
      <c r="S10" s="506">
        <v>1</v>
      </c>
      <c r="T10" s="552">
        <v>0.5</v>
      </c>
      <c r="U10" s="507">
        <v>1</v>
      </c>
    </row>
    <row r="11" spans="1:21" ht="14.45" customHeight="1" x14ac:dyDescent="0.2">
      <c r="A11" s="484">
        <v>28</v>
      </c>
      <c r="B11" s="485" t="s">
        <v>476</v>
      </c>
      <c r="C11" s="485" t="s">
        <v>479</v>
      </c>
      <c r="D11" s="550" t="s">
        <v>638</v>
      </c>
      <c r="E11" s="551" t="s">
        <v>485</v>
      </c>
      <c r="F11" s="485" t="s">
        <v>477</v>
      </c>
      <c r="G11" s="485" t="s">
        <v>501</v>
      </c>
      <c r="H11" s="485" t="s">
        <v>446</v>
      </c>
      <c r="I11" s="485" t="s">
        <v>505</v>
      </c>
      <c r="J11" s="485" t="s">
        <v>503</v>
      </c>
      <c r="K11" s="485" t="s">
        <v>504</v>
      </c>
      <c r="L11" s="486">
        <v>107.27</v>
      </c>
      <c r="M11" s="486">
        <v>321.81</v>
      </c>
      <c r="N11" s="485">
        <v>3</v>
      </c>
      <c r="O11" s="552">
        <v>0.5</v>
      </c>
      <c r="P11" s="486"/>
      <c r="Q11" s="506">
        <v>0</v>
      </c>
      <c r="R11" s="485"/>
      <c r="S11" s="506">
        <v>0</v>
      </c>
      <c r="T11" s="552"/>
      <c r="U11" s="507">
        <v>0</v>
      </c>
    </row>
    <row r="12" spans="1:21" ht="14.45" customHeight="1" x14ac:dyDescent="0.2">
      <c r="A12" s="484">
        <v>28</v>
      </c>
      <c r="B12" s="485" t="s">
        <v>476</v>
      </c>
      <c r="C12" s="485" t="s">
        <v>479</v>
      </c>
      <c r="D12" s="550" t="s">
        <v>638</v>
      </c>
      <c r="E12" s="551" t="s">
        <v>487</v>
      </c>
      <c r="F12" s="485" t="s">
        <v>477</v>
      </c>
      <c r="G12" s="485" t="s">
        <v>506</v>
      </c>
      <c r="H12" s="485" t="s">
        <v>446</v>
      </c>
      <c r="I12" s="485" t="s">
        <v>507</v>
      </c>
      <c r="J12" s="485" t="s">
        <v>508</v>
      </c>
      <c r="K12" s="485" t="s">
        <v>509</v>
      </c>
      <c r="L12" s="486">
        <v>127.91</v>
      </c>
      <c r="M12" s="486">
        <v>255.82</v>
      </c>
      <c r="N12" s="485">
        <v>2</v>
      </c>
      <c r="O12" s="552">
        <v>1</v>
      </c>
      <c r="P12" s="486"/>
      <c r="Q12" s="506">
        <v>0</v>
      </c>
      <c r="R12" s="485"/>
      <c r="S12" s="506">
        <v>0</v>
      </c>
      <c r="T12" s="552"/>
      <c r="U12" s="507">
        <v>0</v>
      </c>
    </row>
    <row r="13" spans="1:21" ht="14.45" customHeight="1" x14ac:dyDescent="0.2">
      <c r="A13" s="484">
        <v>28</v>
      </c>
      <c r="B13" s="485" t="s">
        <v>476</v>
      </c>
      <c r="C13" s="485" t="s">
        <v>479</v>
      </c>
      <c r="D13" s="550" t="s">
        <v>638</v>
      </c>
      <c r="E13" s="551" t="s">
        <v>488</v>
      </c>
      <c r="F13" s="485" t="s">
        <v>477</v>
      </c>
      <c r="G13" s="485" t="s">
        <v>510</v>
      </c>
      <c r="H13" s="485" t="s">
        <v>446</v>
      </c>
      <c r="I13" s="485" t="s">
        <v>511</v>
      </c>
      <c r="J13" s="485" t="s">
        <v>512</v>
      </c>
      <c r="K13" s="485" t="s">
        <v>513</v>
      </c>
      <c r="L13" s="486">
        <v>62.04</v>
      </c>
      <c r="M13" s="486">
        <v>124.08</v>
      </c>
      <c r="N13" s="485">
        <v>2</v>
      </c>
      <c r="O13" s="552">
        <v>0.5</v>
      </c>
      <c r="P13" s="486">
        <v>124.08</v>
      </c>
      <c r="Q13" s="506">
        <v>1</v>
      </c>
      <c r="R13" s="485">
        <v>2</v>
      </c>
      <c r="S13" s="506">
        <v>1</v>
      </c>
      <c r="T13" s="552">
        <v>0.5</v>
      </c>
      <c r="U13" s="507">
        <v>1</v>
      </c>
    </row>
    <row r="14" spans="1:21" ht="14.45" customHeight="1" x14ac:dyDescent="0.2">
      <c r="A14" s="484">
        <v>28</v>
      </c>
      <c r="B14" s="485" t="s">
        <v>476</v>
      </c>
      <c r="C14" s="485" t="s">
        <v>479</v>
      </c>
      <c r="D14" s="550" t="s">
        <v>638</v>
      </c>
      <c r="E14" s="551" t="s">
        <v>488</v>
      </c>
      <c r="F14" s="485" t="s">
        <v>477</v>
      </c>
      <c r="G14" s="485" t="s">
        <v>514</v>
      </c>
      <c r="H14" s="485" t="s">
        <v>446</v>
      </c>
      <c r="I14" s="485" t="s">
        <v>515</v>
      </c>
      <c r="J14" s="485" t="s">
        <v>516</v>
      </c>
      <c r="K14" s="485" t="s">
        <v>517</v>
      </c>
      <c r="L14" s="486">
        <v>80.23</v>
      </c>
      <c r="M14" s="486">
        <v>80.23</v>
      </c>
      <c r="N14" s="485">
        <v>1</v>
      </c>
      <c r="O14" s="552">
        <v>0.5</v>
      </c>
      <c r="P14" s="486">
        <v>80.23</v>
      </c>
      <c r="Q14" s="506">
        <v>1</v>
      </c>
      <c r="R14" s="485">
        <v>1</v>
      </c>
      <c r="S14" s="506">
        <v>1</v>
      </c>
      <c r="T14" s="552">
        <v>0.5</v>
      </c>
      <c r="U14" s="507">
        <v>1</v>
      </c>
    </row>
    <row r="15" spans="1:21" ht="14.45" customHeight="1" x14ac:dyDescent="0.2">
      <c r="A15" s="484">
        <v>28</v>
      </c>
      <c r="B15" s="485" t="s">
        <v>476</v>
      </c>
      <c r="C15" s="485" t="s">
        <v>479</v>
      </c>
      <c r="D15" s="550" t="s">
        <v>638</v>
      </c>
      <c r="E15" s="551" t="s">
        <v>488</v>
      </c>
      <c r="F15" s="485" t="s">
        <v>477</v>
      </c>
      <c r="G15" s="485" t="s">
        <v>518</v>
      </c>
      <c r="H15" s="485" t="s">
        <v>639</v>
      </c>
      <c r="I15" s="485" t="s">
        <v>519</v>
      </c>
      <c r="J15" s="485" t="s">
        <v>520</v>
      </c>
      <c r="K15" s="485" t="s">
        <v>521</v>
      </c>
      <c r="L15" s="486">
        <v>119.7</v>
      </c>
      <c r="M15" s="486">
        <v>239.4</v>
      </c>
      <c r="N15" s="485">
        <v>2</v>
      </c>
      <c r="O15" s="552">
        <v>0.5</v>
      </c>
      <c r="P15" s="486">
        <v>239.4</v>
      </c>
      <c r="Q15" s="506">
        <v>1</v>
      </c>
      <c r="R15" s="485">
        <v>2</v>
      </c>
      <c r="S15" s="506">
        <v>1</v>
      </c>
      <c r="T15" s="552">
        <v>0.5</v>
      </c>
      <c r="U15" s="507">
        <v>1</v>
      </c>
    </row>
    <row r="16" spans="1:21" ht="14.45" customHeight="1" x14ac:dyDescent="0.2">
      <c r="A16" s="484">
        <v>28</v>
      </c>
      <c r="B16" s="485" t="s">
        <v>476</v>
      </c>
      <c r="C16" s="485" t="s">
        <v>479</v>
      </c>
      <c r="D16" s="550" t="s">
        <v>638</v>
      </c>
      <c r="E16" s="551" t="s">
        <v>488</v>
      </c>
      <c r="F16" s="485" t="s">
        <v>477</v>
      </c>
      <c r="G16" s="485" t="s">
        <v>522</v>
      </c>
      <c r="H16" s="485" t="s">
        <v>639</v>
      </c>
      <c r="I16" s="485" t="s">
        <v>523</v>
      </c>
      <c r="J16" s="485" t="s">
        <v>524</v>
      </c>
      <c r="K16" s="485" t="s">
        <v>525</v>
      </c>
      <c r="L16" s="486">
        <v>117.55</v>
      </c>
      <c r="M16" s="486">
        <v>117.55</v>
      </c>
      <c r="N16" s="485">
        <v>1</v>
      </c>
      <c r="O16" s="552">
        <v>0.5</v>
      </c>
      <c r="P16" s="486">
        <v>117.55</v>
      </c>
      <c r="Q16" s="506">
        <v>1</v>
      </c>
      <c r="R16" s="485">
        <v>1</v>
      </c>
      <c r="S16" s="506">
        <v>1</v>
      </c>
      <c r="T16" s="552">
        <v>0.5</v>
      </c>
      <c r="U16" s="507">
        <v>1</v>
      </c>
    </row>
    <row r="17" spans="1:21" ht="14.45" customHeight="1" x14ac:dyDescent="0.2">
      <c r="A17" s="484">
        <v>28</v>
      </c>
      <c r="B17" s="485" t="s">
        <v>476</v>
      </c>
      <c r="C17" s="485" t="s">
        <v>479</v>
      </c>
      <c r="D17" s="550" t="s">
        <v>638</v>
      </c>
      <c r="E17" s="551" t="s">
        <v>488</v>
      </c>
      <c r="F17" s="485" t="s">
        <v>477</v>
      </c>
      <c r="G17" s="485" t="s">
        <v>526</v>
      </c>
      <c r="H17" s="485" t="s">
        <v>446</v>
      </c>
      <c r="I17" s="485" t="s">
        <v>527</v>
      </c>
      <c r="J17" s="485" t="s">
        <v>528</v>
      </c>
      <c r="K17" s="485" t="s">
        <v>529</v>
      </c>
      <c r="L17" s="486">
        <v>147.85</v>
      </c>
      <c r="M17" s="486">
        <v>147.85</v>
      </c>
      <c r="N17" s="485">
        <v>1</v>
      </c>
      <c r="O17" s="552">
        <v>0.5</v>
      </c>
      <c r="P17" s="486">
        <v>147.85</v>
      </c>
      <c r="Q17" s="506">
        <v>1</v>
      </c>
      <c r="R17" s="485">
        <v>1</v>
      </c>
      <c r="S17" s="506">
        <v>1</v>
      </c>
      <c r="T17" s="552">
        <v>0.5</v>
      </c>
      <c r="U17" s="507">
        <v>1</v>
      </c>
    </row>
    <row r="18" spans="1:21" ht="14.45" customHeight="1" x14ac:dyDescent="0.2">
      <c r="A18" s="484">
        <v>28</v>
      </c>
      <c r="B18" s="485" t="s">
        <v>476</v>
      </c>
      <c r="C18" s="485" t="s">
        <v>479</v>
      </c>
      <c r="D18" s="550" t="s">
        <v>638</v>
      </c>
      <c r="E18" s="551" t="s">
        <v>488</v>
      </c>
      <c r="F18" s="485" t="s">
        <v>477</v>
      </c>
      <c r="G18" s="485" t="s">
        <v>530</v>
      </c>
      <c r="H18" s="485" t="s">
        <v>446</v>
      </c>
      <c r="I18" s="485" t="s">
        <v>531</v>
      </c>
      <c r="J18" s="485" t="s">
        <v>532</v>
      </c>
      <c r="K18" s="485" t="s">
        <v>533</v>
      </c>
      <c r="L18" s="486">
        <v>52.87</v>
      </c>
      <c r="M18" s="486">
        <v>105.74</v>
      </c>
      <c r="N18" s="485">
        <v>2</v>
      </c>
      <c r="O18" s="552">
        <v>0.5</v>
      </c>
      <c r="P18" s="486">
        <v>105.74</v>
      </c>
      <c r="Q18" s="506">
        <v>1</v>
      </c>
      <c r="R18" s="485">
        <v>2</v>
      </c>
      <c r="S18" s="506">
        <v>1</v>
      </c>
      <c r="T18" s="552">
        <v>0.5</v>
      </c>
      <c r="U18" s="507">
        <v>1</v>
      </c>
    </row>
    <row r="19" spans="1:21" ht="14.45" customHeight="1" x14ac:dyDescent="0.2">
      <c r="A19" s="484">
        <v>28</v>
      </c>
      <c r="B19" s="485" t="s">
        <v>476</v>
      </c>
      <c r="C19" s="485" t="s">
        <v>479</v>
      </c>
      <c r="D19" s="550" t="s">
        <v>638</v>
      </c>
      <c r="E19" s="551" t="s">
        <v>488</v>
      </c>
      <c r="F19" s="485" t="s">
        <v>477</v>
      </c>
      <c r="G19" s="485" t="s">
        <v>530</v>
      </c>
      <c r="H19" s="485" t="s">
        <v>446</v>
      </c>
      <c r="I19" s="485" t="s">
        <v>534</v>
      </c>
      <c r="J19" s="485" t="s">
        <v>535</v>
      </c>
      <c r="K19" s="485" t="s">
        <v>536</v>
      </c>
      <c r="L19" s="486">
        <v>58.74</v>
      </c>
      <c r="M19" s="486">
        <v>176.22</v>
      </c>
      <c r="N19" s="485">
        <v>3</v>
      </c>
      <c r="O19" s="552">
        <v>1.5</v>
      </c>
      <c r="P19" s="486">
        <v>176.22</v>
      </c>
      <c r="Q19" s="506">
        <v>1</v>
      </c>
      <c r="R19" s="485">
        <v>3</v>
      </c>
      <c r="S19" s="506">
        <v>1</v>
      </c>
      <c r="T19" s="552">
        <v>1.5</v>
      </c>
      <c r="U19" s="507">
        <v>1</v>
      </c>
    </row>
    <row r="20" spans="1:21" ht="14.45" customHeight="1" x14ac:dyDescent="0.2">
      <c r="A20" s="484">
        <v>28</v>
      </c>
      <c r="B20" s="485" t="s">
        <v>476</v>
      </c>
      <c r="C20" s="485" t="s">
        <v>479</v>
      </c>
      <c r="D20" s="550" t="s">
        <v>638</v>
      </c>
      <c r="E20" s="551" t="s">
        <v>488</v>
      </c>
      <c r="F20" s="485" t="s">
        <v>477</v>
      </c>
      <c r="G20" s="485" t="s">
        <v>537</v>
      </c>
      <c r="H20" s="485" t="s">
        <v>446</v>
      </c>
      <c r="I20" s="485" t="s">
        <v>538</v>
      </c>
      <c r="J20" s="485" t="s">
        <v>539</v>
      </c>
      <c r="K20" s="485" t="s">
        <v>540</v>
      </c>
      <c r="L20" s="486">
        <v>91.11</v>
      </c>
      <c r="M20" s="486">
        <v>91.11</v>
      </c>
      <c r="N20" s="485">
        <v>1</v>
      </c>
      <c r="O20" s="552">
        <v>0.5</v>
      </c>
      <c r="P20" s="486">
        <v>91.11</v>
      </c>
      <c r="Q20" s="506">
        <v>1</v>
      </c>
      <c r="R20" s="485">
        <v>1</v>
      </c>
      <c r="S20" s="506">
        <v>1</v>
      </c>
      <c r="T20" s="552">
        <v>0.5</v>
      </c>
      <c r="U20" s="507">
        <v>1</v>
      </c>
    </row>
    <row r="21" spans="1:21" ht="14.45" customHeight="1" x14ac:dyDescent="0.2">
      <c r="A21" s="484">
        <v>28</v>
      </c>
      <c r="B21" s="485" t="s">
        <v>476</v>
      </c>
      <c r="C21" s="485" t="s">
        <v>479</v>
      </c>
      <c r="D21" s="550" t="s">
        <v>638</v>
      </c>
      <c r="E21" s="551" t="s">
        <v>488</v>
      </c>
      <c r="F21" s="485" t="s">
        <v>477</v>
      </c>
      <c r="G21" s="485" t="s">
        <v>541</v>
      </c>
      <c r="H21" s="485" t="s">
        <v>446</v>
      </c>
      <c r="I21" s="485" t="s">
        <v>542</v>
      </c>
      <c r="J21" s="485" t="s">
        <v>543</v>
      </c>
      <c r="K21" s="485" t="s">
        <v>544</v>
      </c>
      <c r="L21" s="486">
        <v>93.49</v>
      </c>
      <c r="M21" s="486">
        <v>280.46999999999997</v>
      </c>
      <c r="N21" s="485">
        <v>3</v>
      </c>
      <c r="O21" s="552">
        <v>1</v>
      </c>
      <c r="P21" s="486">
        <v>280.46999999999997</v>
      </c>
      <c r="Q21" s="506">
        <v>1</v>
      </c>
      <c r="R21" s="485">
        <v>3</v>
      </c>
      <c r="S21" s="506">
        <v>1</v>
      </c>
      <c r="T21" s="552">
        <v>1</v>
      </c>
      <c r="U21" s="507">
        <v>1</v>
      </c>
    </row>
    <row r="22" spans="1:21" ht="14.45" customHeight="1" x14ac:dyDescent="0.2">
      <c r="A22" s="484">
        <v>28</v>
      </c>
      <c r="B22" s="485" t="s">
        <v>476</v>
      </c>
      <c r="C22" s="485" t="s">
        <v>479</v>
      </c>
      <c r="D22" s="550" t="s">
        <v>638</v>
      </c>
      <c r="E22" s="551" t="s">
        <v>488</v>
      </c>
      <c r="F22" s="485" t="s">
        <v>477</v>
      </c>
      <c r="G22" s="485" t="s">
        <v>545</v>
      </c>
      <c r="H22" s="485" t="s">
        <v>446</v>
      </c>
      <c r="I22" s="485" t="s">
        <v>546</v>
      </c>
      <c r="J22" s="485" t="s">
        <v>547</v>
      </c>
      <c r="K22" s="485" t="s">
        <v>548</v>
      </c>
      <c r="L22" s="486">
        <v>159.71</v>
      </c>
      <c r="M22" s="486">
        <v>319.42</v>
      </c>
      <c r="N22" s="485">
        <v>2</v>
      </c>
      <c r="O22" s="552">
        <v>0.5</v>
      </c>
      <c r="P22" s="486">
        <v>319.42</v>
      </c>
      <c r="Q22" s="506">
        <v>1</v>
      </c>
      <c r="R22" s="485">
        <v>2</v>
      </c>
      <c r="S22" s="506">
        <v>1</v>
      </c>
      <c r="T22" s="552">
        <v>0.5</v>
      </c>
      <c r="U22" s="507">
        <v>1</v>
      </c>
    </row>
    <row r="23" spans="1:21" ht="14.45" customHeight="1" x14ac:dyDescent="0.2">
      <c r="A23" s="484">
        <v>28</v>
      </c>
      <c r="B23" s="485" t="s">
        <v>476</v>
      </c>
      <c r="C23" s="485" t="s">
        <v>479</v>
      </c>
      <c r="D23" s="550" t="s">
        <v>638</v>
      </c>
      <c r="E23" s="551" t="s">
        <v>488</v>
      </c>
      <c r="F23" s="485" t="s">
        <v>477</v>
      </c>
      <c r="G23" s="485" t="s">
        <v>549</v>
      </c>
      <c r="H23" s="485" t="s">
        <v>446</v>
      </c>
      <c r="I23" s="485" t="s">
        <v>550</v>
      </c>
      <c r="J23" s="485" t="s">
        <v>551</v>
      </c>
      <c r="K23" s="485" t="s">
        <v>552</v>
      </c>
      <c r="L23" s="486">
        <v>35.25</v>
      </c>
      <c r="M23" s="486">
        <v>35.25</v>
      </c>
      <c r="N23" s="485">
        <v>1</v>
      </c>
      <c r="O23" s="552">
        <v>0.5</v>
      </c>
      <c r="P23" s="486">
        <v>35.25</v>
      </c>
      <c r="Q23" s="506">
        <v>1</v>
      </c>
      <c r="R23" s="485">
        <v>1</v>
      </c>
      <c r="S23" s="506">
        <v>1</v>
      </c>
      <c r="T23" s="552">
        <v>0.5</v>
      </c>
      <c r="U23" s="507">
        <v>1</v>
      </c>
    </row>
    <row r="24" spans="1:21" ht="14.45" customHeight="1" x14ac:dyDescent="0.2">
      <c r="A24" s="484">
        <v>28</v>
      </c>
      <c r="B24" s="485" t="s">
        <v>476</v>
      </c>
      <c r="C24" s="485" t="s">
        <v>479</v>
      </c>
      <c r="D24" s="550" t="s">
        <v>638</v>
      </c>
      <c r="E24" s="551" t="s">
        <v>488</v>
      </c>
      <c r="F24" s="485" t="s">
        <v>477</v>
      </c>
      <c r="G24" s="485" t="s">
        <v>553</v>
      </c>
      <c r="H24" s="485" t="s">
        <v>446</v>
      </c>
      <c r="I24" s="485" t="s">
        <v>554</v>
      </c>
      <c r="J24" s="485" t="s">
        <v>555</v>
      </c>
      <c r="K24" s="485" t="s">
        <v>556</v>
      </c>
      <c r="L24" s="486">
        <v>48.09</v>
      </c>
      <c r="M24" s="486">
        <v>48.09</v>
      </c>
      <c r="N24" s="485">
        <v>1</v>
      </c>
      <c r="O24" s="552">
        <v>0.5</v>
      </c>
      <c r="P24" s="486">
        <v>48.09</v>
      </c>
      <c r="Q24" s="506">
        <v>1</v>
      </c>
      <c r="R24" s="485">
        <v>1</v>
      </c>
      <c r="S24" s="506">
        <v>1</v>
      </c>
      <c r="T24" s="552">
        <v>0.5</v>
      </c>
      <c r="U24" s="507">
        <v>1</v>
      </c>
    </row>
    <row r="25" spans="1:21" ht="14.45" customHeight="1" x14ac:dyDescent="0.2">
      <c r="A25" s="484">
        <v>28</v>
      </c>
      <c r="B25" s="485" t="s">
        <v>476</v>
      </c>
      <c r="C25" s="485" t="s">
        <v>479</v>
      </c>
      <c r="D25" s="550" t="s">
        <v>638</v>
      </c>
      <c r="E25" s="551" t="s">
        <v>488</v>
      </c>
      <c r="F25" s="485" t="s">
        <v>477</v>
      </c>
      <c r="G25" s="485" t="s">
        <v>553</v>
      </c>
      <c r="H25" s="485" t="s">
        <v>446</v>
      </c>
      <c r="I25" s="485" t="s">
        <v>554</v>
      </c>
      <c r="J25" s="485" t="s">
        <v>555</v>
      </c>
      <c r="K25" s="485" t="s">
        <v>556</v>
      </c>
      <c r="L25" s="486">
        <v>42.14</v>
      </c>
      <c r="M25" s="486">
        <v>42.14</v>
      </c>
      <c r="N25" s="485">
        <v>1</v>
      </c>
      <c r="O25" s="552">
        <v>0.5</v>
      </c>
      <c r="P25" s="486">
        <v>42.14</v>
      </c>
      <c r="Q25" s="506">
        <v>1</v>
      </c>
      <c r="R25" s="485">
        <v>1</v>
      </c>
      <c r="S25" s="506">
        <v>1</v>
      </c>
      <c r="T25" s="552">
        <v>0.5</v>
      </c>
      <c r="U25" s="507">
        <v>1</v>
      </c>
    </row>
    <row r="26" spans="1:21" ht="14.45" customHeight="1" x14ac:dyDescent="0.2">
      <c r="A26" s="484">
        <v>28</v>
      </c>
      <c r="B26" s="485" t="s">
        <v>476</v>
      </c>
      <c r="C26" s="485" t="s">
        <v>479</v>
      </c>
      <c r="D26" s="550" t="s">
        <v>638</v>
      </c>
      <c r="E26" s="551" t="s">
        <v>488</v>
      </c>
      <c r="F26" s="485" t="s">
        <v>477</v>
      </c>
      <c r="G26" s="485" t="s">
        <v>553</v>
      </c>
      <c r="H26" s="485" t="s">
        <v>446</v>
      </c>
      <c r="I26" s="485" t="s">
        <v>557</v>
      </c>
      <c r="J26" s="485" t="s">
        <v>555</v>
      </c>
      <c r="K26" s="485" t="s">
        <v>558</v>
      </c>
      <c r="L26" s="486">
        <v>64.36</v>
      </c>
      <c r="M26" s="486">
        <v>64.36</v>
      </c>
      <c r="N26" s="485">
        <v>1</v>
      </c>
      <c r="O26" s="552">
        <v>1</v>
      </c>
      <c r="P26" s="486">
        <v>64.36</v>
      </c>
      <c r="Q26" s="506">
        <v>1</v>
      </c>
      <c r="R26" s="485">
        <v>1</v>
      </c>
      <c r="S26" s="506">
        <v>1</v>
      </c>
      <c r="T26" s="552">
        <v>1</v>
      </c>
      <c r="U26" s="507">
        <v>1</v>
      </c>
    </row>
    <row r="27" spans="1:21" ht="14.45" customHeight="1" x14ac:dyDescent="0.2">
      <c r="A27" s="484">
        <v>28</v>
      </c>
      <c r="B27" s="485" t="s">
        <v>476</v>
      </c>
      <c r="C27" s="485" t="s">
        <v>479</v>
      </c>
      <c r="D27" s="550" t="s">
        <v>638</v>
      </c>
      <c r="E27" s="551" t="s">
        <v>488</v>
      </c>
      <c r="F27" s="485" t="s">
        <v>477</v>
      </c>
      <c r="G27" s="485" t="s">
        <v>553</v>
      </c>
      <c r="H27" s="485" t="s">
        <v>446</v>
      </c>
      <c r="I27" s="485" t="s">
        <v>559</v>
      </c>
      <c r="J27" s="485" t="s">
        <v>560</v>
      </c>
      <c r="K27" s="485" t="s">
        <v>561</v>
      </c>
      <c r="L27" s="486">
        <v>89.91</v>
      </c>
      <c r="M27" s="486">
        <v>89.91</v>
      </c>
      <c r="N27" s="485">
        <v>1</v>
      </c>
      <c r="O27" s="552">
        <v>0.5</v>
      </c>
      <c r="P27" s="486">
        <v>89.91</v>
      </c>
      <c r="Q27" s="506">
        <v>1</v>
      </c>
      <c r="R27" s="485">
        <v>1</v>
      </c>
      <c r="S27" s="506">
        <v>1</v>
      </c>
      <c r="T27" s="552">
        <v>0.5</v>
      </c>
      <c r="U27" s="507">
        <v>1</v>
      </c>
    </row>
    <row r="28" spans="1:21" ht="14.45" customHeight="1" x14ac:dyDescent="0.2">
      <c r="A28" s="484">
        <v>28</v>
      </c>
      <c r="B28" s="485" t="s">
        <v>476</v>
      </c>
      <c r="C28" s="485" t="s">
        <v>479</v>
      </c>
      <c r="D28" s="550" t="s">
        <v>638</v>
      </c>
      <c r="E28" s="551" t="s">
        <v>488</v>
      </c>
      <c r="F28" s="485" t="s">
        <v>477</v>
      </c>
      <c r="G28" s="485" t="s">
        <v>562</v>
      </c>
      <c r="H28" s="485" t="s">
        <v>446</v>
      </c>
      <c r="I28" s="485" t="s">
        <v>563</v>
      </c>
      <c r="J28" s="485" t="s">
        <v>564</v>
      </c>
      <c r="K28" s="485" t="s">
        <v>565</v>
      </c>
      <c r="L28" s="486">
        <v>111.72</v>
      </c>
      <c r="M28" s="486">
        <v>223.44</v>
      </c>
      <c r="N28" s="485">
        <v>2</v>
      </c>
      <c r="O28" s="552">
        <v>0.5</v>
      </c>
      <c r="P28" s="486">
        <v>223.44</v>
      </c>
      <c r="Q28" s="506">
        <v>1</v>
      </c>
      <c r="R28" s="485">
        <v>2</v>
      </c>
      <c r="S28" s="506">
        <v>1</v>
      </c>
      <c r="T28" s="552">
        <v>0.5</v>
      </c>
      <c r="U28" s="507">
        <v>1</v>
      </c>
    </row>
    <row r="29" spans="1:21" ht="14.45" customHeight="1" x14ac:dyDescent="0.2">
      <c r="A29" s="484">
        <v>28</v>
      </c>
      <c r="B29" s="485" t="s">
        <v>476</v>
      </c>
      <c r="C29" s="485" t="s">
        <v>479</v>
      </c>
      <c r="D29" s="550" t="s">
        <v>638</v>
      </c>
      <c r="E29" s="551" t="s">
        <v>488</v>
      </c>
      <c r="F29" s="485" t="s">
        <v>477</v>
      </c>
      <c r="G29" s="485" t="s">
        <v>566</v>
      </c>
      <c r="H29" s="485" t="s">
        <v>446</v>
      </c>
      <c r="I29" s="485" t="s">
        <v>567</v>
      </c>
      <c r="J29" s="485" t="s">
        <v>568</v>
      </c>
      <c r="K29" s="485" t="s">
        <v>517</v>
      </c>
      <c r="L29" s="486">
        <v>61.97</v>
      </c>
      <c r="M29" s="486">
        <v>61.97</v>
      </c>
      <c r="N29" s="485">
        <v>1</v>
      </c>
      <c r="O29" s="552">
        <v>0.5</v>
      </c>
      <c r="P29" s="486"/>
      <c r="Q29" s="506">
        <v>0</v>
      </c>
      <c r="R29" s="485"/>
      <c r="S29" s="506">
        <v>0</v>
      </c>
      <c r="T29" s="552"/>
      <c r="U29" s="507">
        <v>0</v>
      </c>
    </row>
    <row r="30" spans="1:21" ht="14.45" customHeight="1" x14ac:dyDescent="0.2">
      <c r="A30" s="484">
        <v>28</v>
      </c>
      <c r="B30" s="485" t="s">
        <v>476</v>
      </c>
      <c r="C30" s="485" t="s">
        <v>479</v>
      </c>
      <c r="D30" s="550" t="s">
        <v>638</v>
      </c>
      <c r="E30" s="551" t="s">
        <v>488</v>
      </c>
      <c r="F30" s="485" t="s">
        <v>477</v>
      </c>
      <c r="G30" s="485" t="s">
        <v>569</v>
      </c>
      <c r="H30" s="485" t="s">
        <v>446</v>
      </c>
      <c r="I30" s="485" t="s">
        <v>570</v>
      </c>
      <c r="J30" s="485" t="s">
        <v>571</v>
      </c>
      <c r="K30" s="485" t="s">
        <v>572</v>
      </c>
      <c r="L30" s="486">
        <v>86.43</v>
      </c>
      <c r="M30" s="486">
        <v>86.43</v>
      </c>
      <c r="N30" s="485">
        <v>1</v>
      </c>
      <c r="O30" s="552">
        <v>0.5</v>
      </c>
      <c r="P30" s="486">
        <v>86.43</v>
      </c>
      <c r="Q30" s="506">
        <v>1</v>
      </c>
      <c r="R30" s="485">
        <v>1</v>
      </c>
      <c r="S30" s="506">
        <v>1</v>
      </c>
      <c r="T30" s="552">
        <v>0.5</v>
      </c>
      <c r="U30" s="507">
        <v>1</v>
      </c>
    </row>
    <row r="31" spans="1:21" ht="14.45" customHeight="1" x14ac:dyDescent="0.2">
      <c r="A31" s="484">
        <v>28</v>
      </c>
      <c r="B31" s="485" t="s">
        <v>476</v>
      </c>
      <c r="C31" s="485" t="s">
        <v>479</v>
      </c>
      <c r="D31" s="550" t="s">
        <v>638</v>
      </c>
      <c r="E31" s="551" t="s">
        <v>488</v>
      </c>
      <c r="F31" s="485" t="s">
        <v>477</v>
      </c>
      <c r="G31" s="485" t="s">
        <v>573</v>
      </c>
      <c r="H31" s="485" t="s">
        <v>446</v>
      </c>
      <c r="I31" s="485" t="s">
        <v>574</v>
      </c>
      <c r="J31" s="485" t="s">
        <v>462</v>
      </c>
      <c r="K31" s="485" t="s">
        <v>575</v>
      </c>
      <c r="L31" s="486">
        <v>17.62</v>
      </c>
      <c r="M31" s="486">
        <v>17.62</v>
      </c>
      <c r="N31" s="485">
        <v>1</v>
      </c>
      <c r="O31" s="552">
        <v>0.5</v>
      </c>
      <c r="P31" s="486">
        <v>17.62</v>
      </c>
      <c r="Q31" s="506">
        <v>1</v>
      </c>
      <c r="R31" s="485">
        <v>1</v>
      </c>
      <c r="S31" s="506">
        <v>1</v>
      </c>
      <c r="T31" s="552">
        <v>0.5</v>
      </c>
      <c r="U31" s="507">
        <v>1</v>
      </c>
    </row>
    <row r="32" spans="1:21" ht="14.45" customHeight="1" x14ac:dyDescent="0.2">
      <c r="A32" s="484">
        <v>28</v>
      </c>
      <c r="B32" s="485" t="s">
        <v>476</v>
      </c>
      <c r="C32" s="485" t="s">
        <v>479</v>
      </c>
      <c r="D32" s="550" t="s">
        <v>638</v>
      </c>
      <c r="E32" s="551" t="s">
        <v>488</v>
      </c>
      <c r="F32" s="485" t="s">
        <v>477</v>
      </c>
      <c r="G32" s="485" t="s">
        <v>576</v>
      </c>
      <c r="H32" s="485" t="s">
        <v>446</v>
      </c>
      <c r="I32" s="485" t="s">
        <v>577</v>
      </c>
      <c r="J32" s="485" t="s">
        <v>578</v>
      </c>
      <c r="K32" s="485" t="s">
        <v>579</v>
      </c>
      <c r="L32" s="486">
        <v>174.59</v>
      </c>
      <c r="M32" s="486">
        <v>349.18</v>
      </c>
      <c r="N32" s="485">
        <v>2</v>
      </c>
      <c r="O32" s="552">
        <v>1</v>
      </c>
      <c r="P32" s="486">
        <v>349.18</v>
      </c>
      <c r="Q32" s="506">
        <v>1</v>
      </c>
      <c r="R32" s="485">
        <v>2</v>
      </c>
      <c r="S32" s="506">
        <v>1</v>
      </c>
      <c r="T32" s="552">
        <v>1</v>
      </c>
      <c r="U32" s="507">
        <v>1</v>
      </c>
    </row>
    <row r="33" spans="1:21" ht="14.45" customHeight="1" x14ac:dyDescent="0.2">
      <c r="A33" s="484">
        <v>28</v>
      </c>
      <c r="B33" s="485" t="s">
        <v>476</v>
      </c>
      <c r="C33" s="485" t="s">
        <v>479</v>
      </c>
      <c r="D33" s="550" t="s">
        <v>638</v>
      </c>
      <c r="E33" s="551" t="s">
        <v>488</v>
      </c>
      <c r="F33" s="485" t="s">
        <v>477</v>
      </c>
      <c r="G33" s="485" t="s">
        <v>580</v>
      </c>
      <c r="H33" s="485" t="s">
        <v>446</v>
      </c>
      <c r="I33" s="485" t="s">
        <v>581</v>
      </c>
      <c r="J33" s="485" t="s">
        <v>582</v>
      </c>
      <c r="K33" s="485" t="s">
        <v>583</v>
      </c>
      <c r="L33" s="486">
        <v>103.67</v>
      </c>
      <c r="M33" s="486">
        <v>207.34</v>
      </c>
      <c r="N33" s="485">
        <v>2</v>
      </c>
      <c r="O33" s="552">
        <v>1.5</v>
      </c>
      <c r="P33" s="486">
        <v>207.34</v>
      </c>
      <c r="Q33" s="506">
        <v>1</v>
      </c>
      <c r="R33" s="485">
        <v>2</v>
      </c>
      <c r="S33" s="506">
        <v>1</v>
      </c>
      <c r="T33" s="552">
        <v>1.5</v>
      </c>
      <c r="U33" s="507">
        <v>1</v>
      </c>
    </row>
    <row r="34" spans="1:21" ht="14.45" customHeight="1" x14ac:dyDescent="0.2">
      <c r="A34" s="484">
        <v>28</v>
      </c>
      <c r="B34" s="485" t="s">
        <v>476</v>
      </c>
      <c r="C34" s="485" t="s">
        <v>479</v>
      </c>
      <c r="D34" s="550" t="s">
        <v>638</v>
      </c>
      <c r="E34" s="551" t="s">
        <v>488</v>
      </c>
      <c r="F34" s="485" t="s">
        <v>477</v>
      </c>
      <c r="G34" s="485" t="s">
        <v>584</v>
      </c>
      <c r="H34" s="485" t="s">
        <v>446</v>
      </c>
      <c r="I34" s="485" t="s">
        <v>585</v>
      </c>
      <c r="J34" s="485" t="s">
        <v>586</v>
      </c>
      <c r="K34" s="485" t="s">
        <v>587</v>
      </c>
      <c r="L34" s="486">
        <v>87.67</v>
      </c>
      <c r="M34" s="486">
        <v>350.68</v>
      </c>
      <c r="N34" s="485">
        <v>4</v>
      </c>
      <c r="O34" s="552">
        <v>1.5</v>
      </c>
      <c r="P34" s="486">
        <v>350.68</v>
      </c>
      <c r="Q34" s="506">
        <v>1</v>
      </c>
      <c r="R34" s="485">
        <v>4</v>
      </c>
      <c r="S34" s="506">
        <v>1</v>
      </c>
      <c r="T34" s="552">
        <v>1.5</v>
      </c>
      <c r="U34" s="507">
        <v>1</v>
      </c>
    </row>
    <row r="35" spans="1:21" ht="14.45" customHeight="1" x14ac:dyDescent="0.2">
      <c r="A35" s="484">
        <v>28</v>
      </c>
      <c r="B35" s="485" t="s">
        <v>476</v>
      </c>
      <c r="C35" s="485" t="s">
        <v>479</v>
      </c>
      <c r="D35" s="550" t="s">
        <v>638</v>
      </c>
      <c r="E35" s="551" t="s">
        <v>488</v>
      </c>
      <c r="F35" s="485" t="s">
        <v>477</v>
      </c>
      <c r="G35" s="485" t="s">
        <v>588</v>
      </c>
      <c r="H35" s="485" t="s">
        <v>446</v>
      </c>
      <c r="I35" s="485" t="s">
        <v>589</v>
      </c>
      <c r="J35" s="485" t="s">
        <v>590</v>
      </c>
      <c r="K35" s="485" t="s">
        <v>591</v>
      </c>
      <c r="L35" s="486">
        <v>0</v>
      </c>
      <c r="M35" s="486">
        <v>0</v>
      </c>
      <c r="N35" s="485">
        <v>1</v>
      </c>
      <c r="O35" s="552">
        <v>0.5</v>
      </c>
      <c r="P35" s="486">
        <v>0</v>
      </c>
      <c r="Q35" s="506"/>
      <c r="R35" s="485">
        <v>1</v>
      </c>
      <c r="S35" s="506">
        <v>1</v>
      </c>
      <c r="T35" s="552">
        <v>0.5</v>
      </c>
      <c r="U35" s="507">
        <v>1</v>
      </c>
    </row>
    <row r="36" spans="1:21" ht="14.45" customHeight="1" x14ac:dyDescent="0.2">
      <c r="A36" s="484">
        <v>28</v>
      </c>
      <c r="B36" s="485" t="s">
        <v>476</v>
      </c>
      <c r="C36" s="485" t="s">
        <v>479</v>
      </c>
      <c r="D36" s="550" t="s">
        <v>638</v>
      </c>
      <c r="E36" s="551" t="s">
        <v>488</v>
      </c>
      <c r="F36" s="485" t="s">
        <v>477</v>
      </c>
      <c r="G36" s="485" t="s">
        <v>592</v>
      </c>
      <c r="H36" s="485" t="s">
        <v>639</v>
      </c>
      <c r="I36" s="485" t="s">
        <v>593</v>
      </c>
      <c r="J36" s="485" t="s">
        <v>594</v>
      </c>
      <c r="K36" s="485" t="s">
        <v>595</v>
      </c>
      <c r="L36" s="486">
        <v>63.75</v>
      </c>
      <c r="M36" s="486">
        <v>63.75</v>
      </c>
      <c r="N36" s="485">
        <v>1</v>
      </c>
      <c r="O36" s="552">
        <v>0.5</v>
      </c>
      <c r="P36" s="486">
        <v>63.75</v>
      </c>
      <c r="Q36" s="506">
        <v>1</v>
      </c>
      <c r="R36" s="485">
        <v>1</v>
      </c>
      <c r="S36" s="506">
        <v>1</v>
      </c>
      <c r="T36" s="552">
        <v>0.5</v>
      </c>
      <c r="U36" s="507">
        <v>1</v>
      </c>
    </row>
    <row r="37" spans="1:21" ht="14.45" customHeight="1" x14ac:dyDescent="0.2">
      <c r="A37" s="484">
        <v>28</v>
      </c>
      <c r="B37" s="485" t="s">
        <v>476</v>
      </c>
      <c r="C37" s="485" t="s">
        <v>479</v>
      </c>
      <c r="D37" s="550" t="s">
        <v>638</v>
      </c>
      <c r="E37" s="551" t="s">
        <v>488</v>
      </c>
      <c r="F37" s="485" t="s">
        <v>477</v>
      </c>
      <c r="G37" s="485" t="s">
        <v>596</v>
      </c>
      <c r="H37" s="485" t="s">
        <v>446</v>
      </c>
      <c r="I37" s="485" t="s">
        <v>597</v>
      </c>
      <c r="J37" s="485" t="s">
        <v>598</v>
      </c>
      <c r="K37" s="485" t="s">
        <v>599</v>
      </c>
      <c r="L37" s="486">
        <v>68.819999999999993</v>
      </c>
      <c r="M37" s="486">
        <v>137.63999999999999</v>
      </c>
      <c r="N37" s="485">
        <v>2</v>
      </c>
      <c r="O37" s="552">
        <v>1</v>
      </c>
      <c r="P37" s="486">
        <v>137.63999999999999</v>
      </c>
      <c r="Q37" s="506">
        <v>1</v>
      </c>
      <c r="R37" s="485">
        <v>2</v>
      </c>
      <c r="S37" s="506">
        <v>1</v>
      </c>
      <c r="T37" s="552">
        <v>1</v>
      </c>
      <c r="U37" s="507">
        <v>1</v>
      </c>
    </row>
    <row r="38" spans="1:21" ht="14.45" customHeight="1" x14ac:dyDescent="0.2">
      <c r="A38" s="484">
        <v>28</v>
      </c>
      <c r="B38" s="485" t="s">
        <v>476</v>
      </c>
      <c r="C38" s="485" t="s">
        <v>479</v>
      </c>
      <c r="D38" s="550" t="s">
        <v>638</v>
      </c>
      <c r="E38" s="551" t="s">
        <v>488</v>
      </c>
      <c r="F38" s="485" t="s">
        <v>477</v>
      </c>
      <c r="G38" s="485" t="s">
        <v>600</v>
      </c>
      <c r="H38" s="485" t="s">
        <v>446</v>
      </c>
      <c r="I38" s="485" t="s">
        <v>601</v>
      </c>
      <c r="J38" s="485" t="s">
        <v>602</v>
      </c>
      <c r="K38" s="485" t="s">
        <v>603</v>
      </c>
      <c r="L38" s="486">
        <v>61.97</v>
      </c>
      <c r="M38" s="486">
        <v>61.97</v>
      </c>
      <c r="N38" s="485">
        <v>1</v>
      </c>
      <c r="O38" s="552">
        <v>0.5</v>
      </c>
      <c r="P38" s="486"/>
      <c r="Q38" s="506">
        <v>0</v>
      </c>
      <c r="R38" s="485"/>
      <c r="S38" s="506">
        <v>0</v>
      </c>
      <c r="T38" s="552"/>
      <c r="U38" s="507">
        <v>0</v>
      </c>
    </row>
    <row r="39" spans="1:21" ht="14.45" customHeight="1" x14ac:dyDescent="0.2">
      <c r="A39" s="484">
        <v>28</v>
      </c>
      <c r="B39" s="485" t="s">
        <v>476</v>
      </c>
      <c r="C39" s="485" t="s">
        <v>479</v>
      </c>
      <c r="D39" s="550" t="s">
        <v>638</v>
      </c>
      <c r="E39" s="551" t="s">
        <v>488</v>
      </c>
      <c r="F39" s="485" t="s">
        <v>477</v>
      </c>
      <c r="G39" s="485" t="s">
        <v>501</v>
      </c>
      <c r="H39" s="485" t="s">
        <v>446</v>
      </c>
      <c r="I39" s="485" t="s">
        <v>502</v>
      </c>
      <c r="J39" s="485" t="s">
        <v>503</v>
      </c>
      <c r="K39" s="485" t="s">
        <v>504</v>
      </c>
      <c r="L39" s="486">
        <v>107.27</v>
      </c>
      <c r="M39" s="486">
        <v>2359.94</v>
      </c>
      <c r="N39" s="485">
        <v>22</v>
      </c>
      <c r="O39" s="552">
        <v>4</v>
      </c>
      <c r="P39" s="486">
        <v>2359.94</v>
      </c>
      <c r="Q39" s="506">
        <v>1</v>
      </c>
      <c r="R39" s="485">
        <v>22</v>
      </c>
      <c r="S39" s="506">
        <v>1</v>
      </c>
      <c r="T39" s="552">
        <v>4</v>
      </c>
      <c r="U39" s="507">
        <v>1</v>
      </c>
    </row>
    <row r="40" spans="1:21" ht="14.45" customHeight="1" x14ac:dyDescent="0.2">
      <c r="A40" s="484">
        <v>28</v>
      </c>
      <c r="B40" s="485" t="s">
        <v>476</v>
      </c>
      <c r="C40" s="485" t="s">
        <v>479</v>
      </c>
      <c r="D40" s="550" t="s">
        <v>638</v>
      </c>
      <c r="E40" s="551" t="s">
        <v>484</v>
      </c>
      <c r="F40" s="485" t="s">
        <v>477</v>
      </c>
      <c r="G40" s="485" t="s">
        <v>604</v>
      </c>
      <c r="H40" s="485" t="s">
        <v>446</v>
      </c>
      <c r="I40" s="485" t="s">
        <v>605</v>
      </c>
      <c r="J40" s="485" t="s">
        <v>606</v>
      </c>
      <c r="K40" s="485" t="s">
        <v>607</v>
      </c>
      <c r="L40" s="486">
        <v>0</v>
      </c>
      <c r="M40" s="486">
        <v>0</v>
      </c>
      <c r="N40" s="485">
        <v>1</v>
      </c>
      <c r="O40" s="552">
        <v>1</v>
      </c>
      <c r="P40" s="486"/>
      <c r="Q40" s="506"/>
      <c r="R40" s="485"/>
      <c r="S40" s="506">
        <v>0</v>
      </c>
      <c r="T40" s="552"/>
      <c r="U40" s="507">
        <v>0</v>
      </c>
    </row>
    <row r="41" spans="1:21" ht="14.45" customHeight="1" x14ac:dyDescent="0.2">
      <c r="A41" s="484">
        <v>28</v>
      </c>
      <c r="B41" s="485" t="s">
        <v>476</v>
      </c>
      <c r="C41" s="485" t="s">
        <v>479</v>
      </c>
      <c r="D41" s="550" t="s">
        <v>638</v>
      </c>
      <c r="E41" s="551" t="s">
        <v>484</v>
      </c>
      <c r="F41" s="485" t="s">
        <v>477</v>
      </c>
      <c r="G41" s="485" t="s">
        <v>608</v>
      </c>
      <c r="H41" s="485" t="s">
        <v>639</v>
      </c>
      <c r="I41" s="485" t="s">
        <v>609</v>
      </c>
      <c r="J41" s="485" t="s">
        <v>610</v>
      </c>
      <c r="K41" s="485" t="s">
        <v>611</v>
      </c>
      <c r="L41" s="486">
        <v>154.36000000000001</v>
      </c>
      <c r="M41" s="486">
        <v>154.36000000000001</v>
      </c>
      <c r="N41" s="485">
        <v>1</v>
      </c>
      <c r="O41" s="552">
        <v>1</v>
      </c>
      <c r="P41" s="486"/>
      <c r="Q41" s="506">
        <v>0</v>
      </c>
      <c r="R41" s="485"/>
      <c r="S41" s="506">
        <v>0</v>
      </c>
      <c r="T41" s="552"/>
      <c r="U41" s="507">
        <v>0</v>
      </c>
    </row>
    <row r="42" spans="1:21" ht="14.45" customHeight="1" x14ac:dyDescent="0.2">
      <c r="A42" s="484">
        <v>28</v>
      </c>
      <c r="B42" s="485" t="s">
        <v>476</v>
      </c>
      <c r="C42" s="485" t="s">
        <v>479</v>
      </c>
      <c r="D42" s="550" t="s">
        <v>638</v>
      </c>
      <c r="E42" s="551" t="s">
        <v>486</v>
      </c>
      <c r="F42" s="485" t="s">
        <v>477</v>
      </c>
      <c r="G42" s="485" t="s">
        <v>612</v>
      </c>
      <c r="H42" s="485" t="s">
        <v>446</v>
      </c>
      <c r="I42" s="485" t="s">
        <v>613</v>
      </c>
      <c r="J42" s="485" t="s">
        <v>614</v>
      </c>
      <c r="K42" s="485" t="s">
        <v>615</v>
      </c>
      <c r="L42" s="486">
        <v>96.04</v>
      </c>
      <c r="M42" s="486">
        <v>96.04</v>
      </c>
      <c r="N42" s="485">
        <v>1</v>
      </c>
      <c r="O42" s="552">
        <v>0.5</v>
      </c>
      <c r="P42" s="486">
        <v>96.04</v>
      </c>
      <c r="Q42" s="506">
        <v>1</v>
      </c>
      <c r="R42" s="485">
        <v>1</v>
      </c>
      <c r="S42" s="506">
        <v>1</v>
      </c>
      <c r="T42" s="552">
        <v>0.5</v>
      </c>
      <c r="U42" s="507">
        <v>1</v>
      </c>
    </row>
    <row r="43" spans="1:21" ht="14.45" customHeight="1" x14ac:dyDescent="0.2">
      <c r="A43" s="484">
        <v>28</v>
      </c>
      <c r="B43" s="485" t="s">
        <v>476</v>
      </c>
      <c r="C43" s="485" t="s">
        <v>479</v>
      </c>
      <c r="D43" s="550" t="s">
        <v>638</v>
      </c>
      <c r="E43" s="551" t="s">
        <v>486</v>
      </c>
      <c r="F43" s="485" t="s">
        <v>477</v>
      </c>
      <c r="G43" s="485" t="s">
        <v>616</v>
      </c>
      <c r="H43" s="485" t="s">
        <v>446</v>
      </c>
      <c r="I43" s="485" t="s">
        <v>617</v>
      </c>
      <c r="J43" s="485" t="s">
        <v>618</v>
      </c>
      <c r="K43" s="485" t="s">
        <v>619</v>
      </c>
      <c r="L43" s="486">
        <v>0</v>
      </c>
      <c r="M43" s="486">
        <v>0</v>
      </c>
      <c r="N43" s="485">
        <v>1</v>
      </c>
      <c r="O43" s="552">
        <v>0.5</v>
      </c>
      <c r="P43" s="486">
        <v>0</v>
      </c>
      <c r="Q43" s="506"/>
      <c r="R43" s="485">
        <v>1</v>
      </c>
      <c r="S43" s="506">
        <v>1</v>
      </c>
      <c r="T43" s="552">
        <v>0.5</v>
      </c>
      <c r="U43" s="507">
        <v>1</v>
      </c>
    </row>
    <row r="44" spans="1:21" ht="14.45" customHeight="1" x14ac:dyDescent="0.2">
      <c r="A44" s="484">
        <v>28</v>
      </c>
      <c r="B44" s="485" t="s">
        <v>476</v>
      </c>
      <c r="C44" s="485" t="s">
        <v>479</v>
      </c>
      <c r="D44" s="550" t="s">
        <v>638</v>
      </c>
      <c r="E44" s="551" t="s">
        <v>486</v>
      </c>
      <c r="F44" s="485" t="s">
        <v>477</v>
      </c>
      <c r="G44" s="485" t="s">
        <v>620</v>
      </c>
      <c r="H44" s="485" t="s">
        <v>446</v>
      </c>
      <c r="I44" s="485" t="s">
        <v>621</v>
      </c>
      <c r="J44" s="485" t="s">
        <v>622</v>
      </c>
      <c r="K44" s="485" t="s">
        <v>623</v>
      </c>
      <c r="L44" s="486">
        <v>136.04</v>
      </c>
      <c r="M44" s="486">
        <v>136.04</v>
      </c>
      <c r="N44" s="485">
        <v>1</v>
      </c>
      <c r="O44" s="552">
        <v>1</v>
      </c>
      <c r="P44" s="486"/>
      <c r="Q44" s="506">
        <v>0</v>
      </c>
      <c r="R44" s="485"/>
      <c r="S44" s="506">
        <v>0</v>
      </c>
      <c r="T44" s="552"/>
      <c r="U44" s="507">
        <v>0</v>
      </c>
    </row>
    <row r="45" spans="1:21" ht="14.45" customHeight="1" x14ac:dyDescent="0.2">
      <c r="A45" s="484">
        <v>28</v>
      </c>
      <c r="B45" s="485" t="s">
        <v>476</v>
      </c>
      <c r="C45" s="485" t="s">
        <v>479</v>
      </c>
      <c r="D45" s="550" t="s">
        <v>638</v>
      </c>
      <c r="E45" s="551" t="s">
        <v>486</v>
      </c>
      <c r="F45" s="485" t="s">
        <v>477</v>
      </c>
      <c r="G45" s="485" t="s">
        <v>553</v>
      </c>
      <c r="H45" s="485" t="s">
        <v>446</v>
      </c>
      <c r="I45" s="485" t="s">
        <v>554</v>
      </c>
      <c r="J45" s="485" t="s">
        <v>555</v>
      </c>
      <c r="K45" s="485" t="s">
        <v>556</v>
      </c>
      <c r="L45" s="486">
        <v>42.14</v>
      </c>
      <c r="M45" s="486">
        <v>42.14</v>
      </c>
      <c r="N45" s="485">
        <v>1</v>
      </c>
      <c r="O45" s="552">
        <v>1</v>
      </c>
      <c r="P45" s="486"/>
      <c r="Q45" s="506">
        <v>0</v>
      </c>
      <c r="R45" s="485"/>
      <c r="S45" s="506">
        <v>0</v>
      </c>
      <c r="T45" s="552"/>
      <c r="U45" s="507">
        <v>0</v>
      </c>
    </row>
    <row r="46" spans="1:21" ht="14.45" customHeight="1" x14ac:dyDescent="0.2">
      <c r="A46" s="484">
        <v>28</v>
      </c>
      <c r="B46" s="485" t="s">
        <v>476</v>
      </c>
      <c r="C46" s="485" t="s">
        <v>479</v>
      </c>
      <c r="D46" s="550" t="s">
        <v>638</v>
      </c>
      <c r="E46" s="551" t="s">
        <v>486</v>
      </c>
      <c r="F46" s="485" t="s">
        <v>477</v>
      </c>
      <c r="G46" s="485" t="s">
        <v>566</v>
      </c>
      <c r="H46" s="485" t="s">
        <v>446</v>
      </c>
      <c r="I46" s="485" t="s">
        <v>567</v>
      </c>
      <c r="J46" s="485" t="s">
        <v>568</v>
      </c>
      <c r="K46" s="485" t="s">
        <v>517</v>
      </c>
      <c r="L46" s="486">
        <v>61.97</v>
      </c>
      <c r="M46" s="486">
        <v>61.97</v>
      </c>
      <c r="N46" s="485">
        <v>1</v>
      </c>
      <c r="O46" s="552">
        <v>0.5</v>
      </c>
      <c r="P46" s="486">
        <v>61.97</v>
      </c>
      <c r="Q46" s="506">
        <v>1</v>
      </c>
      <c r="R46" s="485">
        <v>1</v>
      </c>
      <c r="S46" s="506">
        <v>1</v>
      </c>
      <c r="T46" s="552">
        <v>0.5</v>
      </c>
      <c r="U46" s="507">
        <v>1</v>
      </c>
    </row>
    <row r="47" spans="1:21" ht="14.45" customHeight="1" x14ac:dyDescent="0.2">
      <c r="A47" s="484">
        <v>28</v>
      </c>
      <c r="B47" s="485" t="s">
        <v>476</v>
      </c>
      <c r="C47" s="485" t="s">
        <v>479</v>
      </c>
      <c r="D47" s="550" t="s">
        <v>638</v>
      </c>
      <c r="E47" s="551" t="s">
        <v>486</v>
      </c>
      <c r="F47" s="485" t="s">
        <v>477</v>
      </c>
      <c r="G47" s="485" t="s">
        <v>497</v>
      </c>
      <c r="H47" s="485" t="s">
        <v>446</v>
      </c>
      <c r="I47" s="485" t="s">
        <v>498</v>
      </c>
      <c r="J47" s="485" t="s">
        <v>499</v>
      </c>
      <c r="K47" s="485" t="s">
        <v>500</v>
      </c>
      <c r="L47" s="486">
        <v>42.54</v>
      </c>
      <c r="M47" s="486">
        <v>85.08</v>
      </c>
      <c r="N47" s="485">
        <v>2</v>
      </c>
      <c r="O47" s="552">
        <v>0.5</v>
      </c>
      <c r="P47" s="486">
        <v>85.08</v>
      </c>
      <c r="Q47" s="506">
        <v>1</v>
      </c>
      <c r="R47" s="485">
        <v>2</v>
      </c>
      <c r="S47" s="506">
        <v>1</v>
      </c>
      <c r="T47" s="552">
        <v>0.5</v>
      </c>
      <c r="U47" s="507">
        <v>1</v>
      </c>
    </row>
    <row r="48" spans="1:21" ht="14.45" customHeight="1" x14ac:dyDescent="0.2">
      <c r="A48" s="484">
        <v>28</v>
      </c>
      <c r="B48" s="485" t="s">
        <v>476</v>
      </c>
      <c r="C48" s="485" t="s">
        <v>479</v>
      </c>
      <c r="D48" s="550" t="s">
        <v>638</v>
      </c>
      <c r="E48" s="551" t="s">
        <v>486</v>
      </c>
      <c r="F48" s="485" t="s">
        <v>477</v>
      </c>
      <c r="G48" s="485" t="s">
        <v>604</v>
      </c>
      <c r="H48" s="485" t="s">
        <v>446</v>
      </c>
      <c r="I48" s="485" t="s">
        <v>624</v>
      </c>
      <c r="J48" s="485" t="s">
        <v>625</v>
      </c>
      <c r="K48" s="485" t="s">
        <v>626</v>
      </c>
      <c r="L48" s="486">
        <v>0</v>
      </c>
      <c r="M48" s="486">
        <v>0</v>
      </c>
      <c r="N48" s="485">
        <v>1</v>
      </c>
      <c r="O48" s="552">
        <v>0.5</v>
      </c>
      <c r="P48" s="486">
        <v>0</v>
      </c>
      <c r="Q48" s="506"/>
      <c r="R48" s="485">
        <v>1</v>
      </c>
      <c r="S48" s="506">
        <v>1</v>
      </c>
      <c r="T48" s="552">
        <v>0.5</v>
      </c>
      <c r="U48" s="507">
        <v>1</v>
      </c>
    </row>
    <row r="49" spans="1:21" ht="14.45" customHeight="1" x14ac:dyDescent="0.2">
      <c r="A49" s="484">
        <v>28</v>
      </c>
      <c r="B49" s="485" t="s">
        <v>476</v>
      </c>
      <c r="C49" s="485" t="s">
        <v>479</v>
      </c>
      <c r="D49" s="550" t="s">
        <v>638</v>
      </c>
      <c r="E49" s="551" t="s">
        <v>486</v>
      </c>
      <c r="F49" s="485" t="s">
        <v>477</v>
      </c>
      <c r="G49" s="485" t="s">
        <v>627</v>
      </c>
      <c r="H49" s="485" t="s">
        <v>639</v>
      </c>
      <c r="I49" s="485" t="s">
        <v>628</v>
      </c>
      <c r="J49" s="485" t="s">
        <v>629</v>
      </c>
      <c r="K49" s="485" t="s">
        <v>630</v>
      </c>
      <c r="L49" s="486">
        <v>84.18</v>
      </c>
      <c r="M49" s="486">
        <v>252.54000000000002</v>
      </c>
      <c r="N49" s="485">
        <v>3</v>
      </c>
      <c r="O49" s="552">
        <v>0.5</v>
      </c>
      <c r="P49" s="486">
        <v>252.54000000000002</v>
      </c>
      <c r="Q49" s="506">
        <v>1</v>
      </c>
      <c r="R49" s="485">
        <v>3</v>
      </c>
      <c r="S49" s="506">
        <v>1</v>
      </c>
      <c r="T49" s="552">
        <v>0.5</v>
      </c>
      <c r="U49" s="507">
        <v>1</v>
      </c>
    </row>
    <row r="50" spans="1:21" ht="14.45" customHeight="1" x14ac:dyDescent="0.2">
      <c r="A50" s="484">
        <v>28</v>
      </c>
      <c r="B50" s="485" t="s">
        <v>476</v>
      </c>
      <c r="C50" s="485" t="s">
        <v>479</v>
      </c>
      <c r="D50" s="550" t="s">
        <v>638</v>
      </c>
      <c r="E50" s="551" t="s">
        <v>486</v>
      </c>
      <c r="F50" s="485" t="s">
        <v>477</v>
      </c>
      <c r="G50" s="485" t="s">
        <v>631</v>
      </c>
      <c r="H50" s="485" t="s">
        <v>446</v>
      </c>
      <c r="I50" s="485" t="s">
        <v>632</v>
      </c>
      <c r="J50" s="485" t="s">
        <v>633</v>
      </c>
      <c r="K50" s="485" t="s">
        <v>634</v>
      </c>
      <c r="L50" s="486">
        <v>299.24</v>
      </c>
      <c r="M50" s="486">
        <v>897.72</v>
      </c>
      <c r="N50" s="485">
        <v>3</v>
      </c>
      <c r="O50" s="552">
        <v>0.5</v>
      </c>
      <c r="P50" s="486">
        <v>897.72</v>
      </c>
      <c r="Q50" s="506">
        <v>1</v>
      </c>
      <c r="R50" s="485">
        <v>3</v>
      </c>
      <c r="S50" s="506">
        <v>1</v>
      </c>
      <c r="T50" s="552">
        <v>0.5</v>
      </c>
      <c r="U50" s="507">
        <v>1</v>
      </c>
    </row>
    <row r="51" spans="1:21" ht="14.45" customHeight="1" x14ac:dyDescent="0.2">
      <c r="A51" s="484">
        <v>28</v>
      </c>
      <c r="B51" s="485" t="s">
        <v>476</v>
      </c>
      <c r="C51" s="485" t="s">
        <v>479</v>
      </c>
      <c r="D51" s="550" t="s">
        <v>638</v>
      </c>
      <c r="E51" s="551" t="s">
        <v>486</v>
      </c>
      <c r="F51" s="485" t="s">
        <v>477</v>
      </c>
      <c r="G51" s="485" t="s">
        <v>501</v>
      </c>
      <c r="H51" s="485" t="s">
        <v>446</v>
      </c>
      <c r="I51" s="485" t="s">
        <v>505</v>
      </c>
      <c r="J51" s="485" t="s">
        <v>503</v>
      </c>
      <c r="K51" s="485" t="s">
        <v>504</v>
      </c>
      <c r="L51" s="486">
        <v>107.27</v>
      </c>
      <c r="M51" s="486">
        <v>214.54</v>
      </c>
      <c r="N51" s="485">
        <v>2</v>
      </c>
      <c r="O51" s="552">
        <v>0.5</v>
      </c>
      <c r="P51" s="486">
        <v>214.54</v>
      </c>
      <c r="Q51" s="506">
        <v>1</v>
      </c>
      <c r="R51" s="485">
        <v>2</v>
      </c>
      <c r="S51" s="506">
        <v>1</v>
      </c>
      <c r="T51" s="552">
        <v>0.5</v>
      </c>
      <c r="U51" s="507">
        <v>1</v>
      </c>
    </row>
    <row r="52" spans="1:21" ht="14.45" customHeight="1" thickBot="1" x14ac:dyDescent="0.25">
      <c r="A52" s="491">
        <v>28</v>
      </c>
      <c r="B52" s="492" t="s">
        <v>476</v>
      </c>
      <c r="C52" s="492" t="s">
        <v>479</v>
      </c>
      <c r="D52" s="553" t="s">
        <v>638</v>
      </c>
      <c r="E52" s="554" t="s">
        <v>486</v>
      </c>
      <c r="F52" s="492" t="s">
        <v>478</v>
      </c>
      <c r="G52" s="492" t="s">
        <v>635</v>
      </c>
      <c r="H52" s="492" t="s">
        <v>446</v>
      </c>
      <c r="I52" s="492" t="s">
        <v>636</v>
      </c>
      <c r="J52" s="492" t="s">
        <v>637</v>
      </c>
      <c r="K52" s="492"/>
      <c r="L52" s="493">
        <v>0</v>
      </c>
      <c r="M52" s="493">
        <v>0</v>
      </c>
      <c r="N52" s="492">
        <v>1</v>
      </c>
      <c r="O52" s="555">
        <v>1</v>
      </c>
      <c r="P52" s="493"/>
      <c r="Q52" s="508"/>
      <c r="R52" s="492"/>
      <c r="S52" s="508">
        <v>0</v>
      </c>
      <c r="T52" s="555"/>
      <c r="U52" s="509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033BA8C-0822-4451-8D6A-A66629EA3A6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3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132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27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444</v>
      </c>
      <c r="B5" s="467" t="s">
        <v>445</v>
      </c>
      <c r="C5" s="468" t="s">
        <v>446</v>
      </c>
      <c r="D5" s="468" t="s">
        <v>446</v>
      </c>
      <c r="E5" s="468"/>
      <c r="F5" s="468" t="s">
        <v>446</v>
      </c>
      <c r="G5" s="468" t="s">
        <v>446</v>
      </c>
      <c r="H5" s="468" t="s">
        <v>446</v>
      </c>
      <c r="I5" s="469" t="s">
        <v>446</v>
      </c>
      <c r="J5" s="470" t="s">
        <v>68</v>
      </c>
    </row>
    <row r="6" spans="1:10" ht="14.45" customHeight="1" x14ac:dyDescent="0.2">
      <c r="A6" s="466" t="s">
        <v>444</v>
      </c>
      <c r="B6" s="467" t="s">
        <v>641</v>
      </c>
      <c r="C6" s="468">
        <v>2163.4300600000001</v>
      </c>
      <c r="D6" s="468">
        <v>1826.7906699999994</v>
      </c>
      <c r="E6" s="468"/>
      <c r="F6" s="468">
        <v>1972.0001499999994</v>
      </c>
      <c r="G6" s="468">
        <v>2133.3334267578125</v>
      </c>
      <c r="H6" s="468">
        <v>-161.33327675781311</v>
      </c>
      <c r="I6" s="469">
        <v>0.92437502983159858</v>
      </c>
      <c r="J6" s="470" t="s">
        <v>1</v>
      </c>
    </row>
    <row r="7" spans="1:10" ht="14.45" customHeight="1" x14ac:dyDescent="0.2">
      <c r="A7" s="466" t="s">
        <v>444</v>
      </c>
      <c r="B7" s="467" t="s">
        <v>642</v>
      </c>
      <c r="C7" s="468">
        <v>203.76383999999993</v>
      </c>
      <c r="D7" s="468">
        <v>110.81853999999996</v>
      </c>
      <c r="E7" s="468"/>
      <c r="F7" s="468">
        <v>110.57326999999999</v>
      </c>
      <c r="G7" s="468">
        <v>133.33332812500001</v>
      </c>
      <c r="H7" s="468">
        <v>-22.760058125000015</v>
      </c>
      <c r="I7" s="469">
        <v>0.82929955739451389</v>
      </c>
      <c r="J7" s="470" t="s">
        <v>1</v>
      </c>
    </row>
    <row r="8" spans="1:10" ht="14.45" customHeight="1" x14ac:dyDescent="0.2">
      <c r="A8" s="466" t="s">
        <v>444</v>
      </c>
      <c r="B8" s="467" t="s">
        <v>643</v>
      </c>
      <c r="C8" s="468">
        <v>6.6976800000000001</v>
      </c>
      <c r="D8" s="468">
        <v>4.3422499999999999</v>
      </c>
      <c r="E8" s="468"/>
      <c r="F8" s="468">
        <v>4.8747199999999999</v>
      </c>
      <c r="G8" s="468">
        <v>6.6666672363281245</v>
      </c>
      <c r="H8" s="468">
        <v>-1.7919472363281246</v>
      </c>
      <c r="I8" s="469">
        <v>0.73120793751885305</v>
      </c>
      <c r="J8" s="470" t="s">
        <v>1</v>
      </c>
    </row>
    <row r="9" spans="1:10" ht="14.45" customHeight="1" x14ac:dyDescent="0.2">
      <c r="A9" s="466" t="s">
        <v>444</v>
      </c>
      <c r="B9" s="467" t="s">
        <v>644</v>
      </c>
      <c r="C9" s="468">
        <v>105.65834</v>
      </c>
      <c r="D9" s="468">
        <v>31.570039999999999</v>
      </c>
      <c r="E9" s="468"/>
      <c r="F9" s="468">
        <v>50.011459999999992</v>
      </c>
      <c r="G9" s="468">
        <v>126.66666796874999</v>
      </c>
      <c r="H9" s="468">
        <v>-76.655207968750005</v>
      </c>
      <c r="I9" s="469">
        <v>0.39482731173080476</v>
      </c>
      <c r="J9" s="470" t="s">
        <v>1</v>
      </c>
    </row>
    <row r="10" spans="1:10" ht="14.45" customHeight="1" x14ac:dyDescent="0.2">
      <c r="A10" s="466" t="s">
        <v>444</v>
      </c>
      <c r="B10" s="467" t="s">
        <v>645</v>
      </c>
      <c r="C10" s="468">
        <v>1.7390000000000001</v>
      </c>
      <c r="D10" s="468">
        <v>1.8660000000000001</v>
      </c>
      <c r="E10" s="468"/>
      <c r="F10" s="468">
        <v>2.3360000000000003</v>
      </c>
      <c r="G10" s="468">
        <v>3.3333333129882812</v>
      </c>
      <c r="H10" s="468">
        <v>-0.99733331298828087</v>
      </c>
      <c r="I10" s="469">
        <v>0.7008000042773439</v>
      </c>
      <c r="J10" s="470" t="s">
        <v>1</v>
      </c>
    </row>
    <row r="11" spans="1:10" ht="14.45" customHeight="1" x14ac:dyDescent="0.2">
      <c r="A11" s="466" t="s">
        <v>444</v>
      </c>
      <c r="B11" s="467" t="s">
        <v>646</v>
      </c>
      <c r="C11" s="468">
        <v>10.286000000000001</v>
      </c>
      <c r="D11" s="468">
        <v>12.21472</v>
      </c>
      <c r="E11" s="468"/>
      <c r="F11" s="468">
        <v>8.47607</v>
      </c>
      <c r="G11" s="468">
        <v>13.333333007812499</v>
      </c>
      <c r="H11" s="468">
        <v>-4.8572630078124988</v>
      </c>
      <c r="I11" s="469">
        <v>0.63570526552014817</v>
      </c>
      <c r="J11" s="470" t="s">
        <v>1</v>
      </c>
    </row>
    <row r="12" spans="1:10" ht="14.45" customHeight="1" x14ac:dyDescent="0.2">
      <c r="A12" s="466" t="s">
        <v>444</v>
      </c>
      <c r="B12" s="467" t="s">
        <v>448</v>
      </c>
      <c r="C12" s="468">
        <v>2491.5749200000005</v>
      </c>
      <c r="D12" s="468">
        <v>1987.6022199999993</v>
      </c>
      <c r="E12" s="468"/>
      <c r="F12" s="468">
        <v>2148.2716699999992</v>
      </c>
      <c r="G12" s="468">
        <v>2416.6667564086915</v>
      </c>
      <c r="H12" s="468">
        <v>-268.39508640869235</v>
      </c>
      <c r="I12" s="469">
        <v>0.88893996836885236</v>
      </c>
      <c r="J12" s="470" t="s">
        <v>449</v>
      </c>
    </row>
    <row r="14" spans="1:10" ht="14.45" customHeight="1" x14ac:dyDescent="0.2">
      <c r="A14" s="466" t="s">
        <v>444</v>
      </c>
      <c r="B14" s="467" t="s">
        <v>445</v>
      </c>
      <c r="C14" s="468" t="s">
        <v>446</v>
      </c>
      <c r="D14" s="468" t="s">
        <v>446</v>
      </c>
      <c r="E14" s="468"/>
      <c r="F14" s="468" t="s">
        <v>446</v>
      </c>
      <c r="G14" s="468" t="s">
        <v>446</v>
      </c>
      <c r="H14" s="468" t="s">
        <v>446</v>
      </c>
      <c r="I14" s="469" t="s">
        <v>446</v>
      </c>
      <c r="J14" s="470" t="s">
        <v>68</v>
      </c>
    </row>
    <row r="15" spans="1:10" ht="14.45" customHeight="1" x14ac:dyDescent="0.2">
      <c r="A15" s="466" t="s">
        <v>450</v>
      </c>
      <c r="B15" s="467" t="s">
        <v>451</v>
      </c>
      <c r="C15" s="468" t="s">
        <v>446</v>
      </c>
      <c r="D15" s="468" t="s">
        <v>446</v>
      </c>
      <c r="E15" s="468"/>
      <c r="F15" s="468" t="s">
        <v>446</v>
      </c>
      <c r="G15" s="468" t="s">
        <v>446</v>
      </c>
      <c r="H15" s="468" t="s">
        <v>446</v>
      </c>
      <c r="I15" s="469" t="s">
        <v>446</v>
      </c>
      <c r="J15" s="470" t="s">
        <v>0</v>
      </c>
    </row>
    <row r="16" spans="1:10" ht="14.45" customHeight="1" x14ac:dyDescent="0.2">
      <c r="A16" s="466" t="s">
        <v>450</v>
      </c>
      <c r="B16" s="467" t="s">
        <v>641</v>
      </c>
      <c r="C16" s="468">
        <v>0</v>
      </c>
      <c r="D16" s="468">
        <v>0</v>
      </c>
      <c r="E16" s="468"/>
      <c r="F16" s="468">
        <v>0</v>
      </c>
      <c r="G16" s="468">
        <v>1</v>
      </c>
      <c r="H16" s="468">
        <v>-1</v>
      </c>
      <c r="I16" s="469">
        <v>0</v>
      </c>
      <c r="J16" s="470" t="s">
        <v>1</v>
      </c>
    </row>
    <row r="17" spans="1:10" ht="14.45" customHeight="1" x14ac:dyDescent="0.2">
      <c r="A17" s="466" t="s">
        <v>450</v>
      </c>
      <c r="B17" s="467" t="s">
        <v>642</v>
      </c>
      <c r="C17" s="468">
        <v>1.0224500000000001</v>
      </c>
      <c r="D17" s="468">
        <v>0</v>
      </c>
      <c r="E17" s="468"/>
      <c r="F17" s="468">
        <v>1.5812299999999999</v>
      </c>
      <c r="G17" s="468">
        <v>0</v>
      </c>
      <c r="H17" s="468">
        <v>1.5812299999999999</v>
      </c>
      <c r="I17" s="469" t="s">
        <v>446</v>
      </c>
      <c r="J17" s="470" t="s">
        <v>1</v>
      </c>
    </row>
    <row r="18" spans="1:10" ht="14.45" customHeight="1" x14ac:dyDescent="0.2">
      <c r="A18" s="466" t="s">
        <v>450</v>
      </c>
      <c r="B18" s="467" t="s">
        <v>643</v>
      </c>
      <c r="C18" s="468">
        <v>5.2595400000000003</v>
      </c>
      <c r="D18" s="468">
        <v>2.4891700000000001</v>
      </c>
      <c r="E18" s="468"/>
      <c r="F18" s="468">
        <v>4.1127199999999995</v>
      </c>
      <c r="G18" s="468">
        <v>4</v>
      </c>
      <c r="H18" s="468">
        <v>0.11271999999999949</v>
      </c>
      <c r="I18" s="469">
        <v>1.0281799999999999</v>
      </c>
      <c r="J18" s="470" t="s">
        <v>1</v>
      </c>
    </row>
    <row r="19" spans="1:10" ht="14.45" customHeight="1" x14ac:dyDescent="0.2">
      <c r="A19" s="466" t="s">
        <v>450</v>
      </c>
      <c r="B19" s="467" t="s">
        <v>644</v>
      </c>
      <c r="C19" s="468">
        <v>6.4674299999999993</v>
      </c>
      <c r="D19" s="468">
        <v>4.5982299999999992</v>
      </c>
      <c r="E19" s="468"/>
      <c r="F19" s="468">
        <v>11.650840000000001</v>
      </c>
      <c r="G19" s="468">
        <v>47</v>
      </c>
      <c r="H19" s="468">
        <v>-35.349159999999998</v>
      </c>
      <c r="I19" s="469">
        <v>0.24789021276595746</v>
      </c>
      <c r="J19" s="470" t="s">
        <v>1</v>
      </c>
    </row>
    <row r="20" spans="1:10" ht="14.45" customHeight="1" x14ac:dyDescent="0.2">
      <c r="A20" s="466" t="s">
        <v>450</v>
      </c>
      <c r="B20" s="467" t="s">
        <v>645</v>
      </c>
      <c r="C20" s="468">
        <v>1.4930000000000001</v>
      </c>
      <c r="D20" s="468">
        <v>1.4430000000000001</v>
      </c>
      <c r="E20" s="468"/>
      <c r="F20" s="468">
        <v>2.0750000000000002</v>
      </c>
      <c r="G20" s="468">
        <v>3</v>
      </c>
      <c r="H20" s="468">
        <v>-0.92499999999999982</v>
      </c>
      <c r="I20" s="469">
        <v>0.69166666666666676</v>
      </c>
      <c r="J20" s="470" t="s">
        <v>1</v>
      </c>
    </row>
    <row r="21" spans="1:10" ht="14.45" customHeight="1" x14ac:dyDescent="0.2">
      <c r="A21" s="466" t="s">
        <v>450</v>
      </c>
      <c r="B21" s="467" t="s">
        <v>646</v>
      </c>
      <c r="C21" s="468">
        <v>4.4160000000000004</v>
      </c>
      <c r="D21" s="468">
        <v>5.0007200000000003</v>
      </c>
      <c r="E21" s="468"/>
      <c r="F21" s="468">
        <v>4.3226700000000005</v>
      </c>
      <c r="G21" s="468">
        <v>5</v>
      </c>
      <c r="H21" s="468">
        <v>-0.67732999999999954</v>
      </c>
      <c r="I21" s="469">
        <v>0.86453400000000014</v>
      </c>
      <c r="J21" s="470" t="s">
        <v>1</v>
      </c>
    </row>
    <row r="22" spans="1:10" ht="14.45" customHeight="1" x14ac:dyDescent="0.2">
      <c r="A22" s="466" t="s">
        <v>450</v>
      </c>
      <c r="B22" s="467" t="s">
        <v>452</v>
      </c>
      <c r="C22" s="468">
        <v>18.65842</v>
      </c>
      <c r="D22" s="468">
        <v>13.531119999999998</v>
      </c>
      <c r="E22" s="468"/>
      <c r="F22" s="468">
        <v>23.742460000000001</v>
      </c>
      <c r="G22" s="468">
        <v>60</v>
      </c>
      <c r="H22" s="468">
        <v>-36.257539999999999</v>
      </c>
      <c r="I22" s="469">
        <v>0.39570766666666668</v>
      </c>
      <c r="J22" s="470" t="s">
        <v>453</v>
      </c>
    </row>
    <row r="23" spans="1:10" ht="14.45" customHeight="1" x14ac:dyDescent="0.2">
      <c r="A23" s="466" t="s">
        <v>446</v>
      </c>
      <c r="B23" s="467" t="s">
        <v>446</v>
      </c>
      <c r="C23" s="468" t="s">
        <v>446</v>
      </c>
      <c r="D23" s="468" t="s">
        <v>446</v>
      </c>
      <c r="E23" s="468"/>
      <c r="F23" s="468" t="s">
        <v>446</v>
      </c>
      <c r="G23" s="468" t="s">
        <v>446</v>
      </c>
      <c r="H23" s="468" t="s">
        <v>446</v>
      </c>
      <c r="I23" s="469" t="s">
        <v>446</v>
      </c>
      <c r="J23" s="470" t="s">
        <v>454</v>
      </c>
    </row>
    <row r="24" spans="1:10" ht="14.45" customHeight="1" x14ac:dyDescent="0.2">
      <c r="A24" s="466" t="s">
        <v>455</v>
      </c>
      <c r="B24" s="467" t="s">
        <v>456</v>
      </c>
      <c r="C24" s="468" t="s">
        <v>446</v>
      </c>
      <c r="D24" s="468" t="s">
        <v>446</v>
      </c>
      <c r="E24" s="468"/>
      <c r="F24" s="468" t="s">
        <v>446</v>
      </c>
      <c r="G24" s="468" t="s">
        <v>446</v>
      </c>
      <c r="H24" s="468" t="s">
        <v>446</v>
      </c>
      <c r="I24" s="469" t="s">
        <v>446</v>
      </c>
      <c r="J24" s="470" t="s">
        <v>0</v>
      </c>
    </row>
    <row r="25" spans="1:10" ht="14.45" customHeight="1" x14ac:dyDescent="0.2">
      <c r="A25" s="466" t="s">
        <v>455</v>
      </c>
      <c r="B25" s="467" t="s">
        <v>641</v>
      </c>
      <c r="C25" s="468">
        <v>2163.4300600000001</v>
      </c>
      <c r="D25" s="468">
        <v>1826.7906699999994</v>
      </c>
      <c r="E25" s="468"/>
      <c r="F25" s="468">
        <v>1972.0001499999994</v>
      </c>
      <c r="G25" s="468">
        <v>2132</v>
      </c>
      <c r="H25" s="468">
        <v>-159.99985000000061</v>
      </c>
      <c r="I25" s="469">
        <v>0.92495316604127553</v>
      </c>
      <c r="J25" s="470" t="s">
        <v>1</v>
      </c>
    </row>
    <row r="26" spans="1:10" ht="14.45" customHeight="1" x14ac:dyDescent="0.2">
      <c r="A26" s="466" t="s">
        <v>455</v>
      </c>
      <c r="B26" s="467" t="s">
        <v>642</v>
      </c>
      <c r="C26" s="468">
        <v>202.74138999999994</v>
      </c>
      <c r="D26" s="468">
        <v>110.81853999999996</v>
      </c>
      <c r="E26" s="468"/>
      <c r="F26" s="468">
        <v>108.99203999999999</v>
      </c>
      <c r="G26" s="468">
        <v>133</v>
      </c>
      <c r="H26" s="468">
        <v>-24.007960000000011</v>
      </c>
      <c r="I26" s="469">
        <v>0.81948902255639089</v>
      </c>
      <c r="J26" s="470" t="s">
        <v>1</v>
      </c>
    </row>
    <row r="27" spans="1:10" ht="14.45" customHeight="1" x14ac:dyDescent="0.2">
      <c r="A27" s="466" t="s">
        <v>455</v>
      </c>
      <c r="B27" s="467" t="s">
        <v>643</v>
      </c>
      <c r="C27" s="468">
        <v>1.43814</v>
      </c>
      <c r="D27" s="468">
        <v>1.8530800000000001</v>
      </c>
      <c r="E27" s="468"/>
      <c r="F27" s="468">
        <v>0.76200000000000001</v>
      </c>
      <c r="G27" s="468">
        <v>2</v>
      </c>
      <c r="H27" s="468">
        <v>-1.238</v>
      </c>
      <c r="I27" s="469">
        <v>0.38100000000000001</v>
      </c>
      <c r="J27" s="470" t="s">
        <v>1</v>
      </c>
    </row>
    <row r="28" spans="1:10" ht="14.45" customHeight="1" x14ac:dyDescent="0.2">
      <c r="A28" s="466" t="s">
        <v>455</v>
      </c>
      <c r="B28" s="467" t="s">
        <v>644</v>
      </c>
      <c r="C28" s="468">
        <v>99.190910000000002</v>
      </c>
      <c r="D28" s="468">
        <v>26.971809999999998</v>
      </c>
      <c r="E28" s="468"/>
      <c r="F28" s="468">
        <v>38.36061999999999</v>
      </c>
      <c r="G28" s="468">
        <v>80</v>
      </c>
      <c r="H28" s="468">
        <v>-41.63938000000001</v>
      </c>
      <c r="I28" s="469">
        <v>0.4795077499999999</v>
      </c>
      <c r="J28" s="470" t="s">
        <v>1</v>
      </c>
    </row>
    <row r="29" spans="1:10" ht="14.45" customHeight="1" x14ac:dyDescent="0.2">
      <c r="A29" s="466" t="s">
        <v>455</v>
      </c>
      <c r="B29" s="467" t="s">
        <v>645</v>
      </c>
      <c r="C29" s="468">
        <v>0.246</v>
      </c>
      <c r="D29" s="468">
        <v>0.42299999999999999</v>
      </c>
      <c r="E29" s="468"/>
      <c r="F29" s="468">
        <v>0.26100000000000001</v>
      </c>
      <c r="G29" s="468">
        <v>1</v>
      </c>
      <c r="H29" s="468">
        <v>-0.73899999999999999</v>
      </c>
      <c r="I29" s="469">
        <v>0.26100000000000001</v>
      </c>
      <c r="J29" s="470" t="s">
        <v>1</v>
      </c>
    </row>
    <row r="30" spans="1:10" ht="14.45" customHeight="1" x14ac:dyDescent="0.2">
      <c r="A30" s="466" t="s">
        <v>455</v>
      </c>
      <c r="B30" s="467" t="s">
        <v>646</v>
      </c>
      <c r="C30" s="468">
        <v>5.87</v>
      </c>
      <c r="D30" s="468">
        <v>7.2140000000000004</v>
      </c>
      <c r="E30" s="468"/>
      <c r="F30" s="468">
        <v>4.1533999999999995</v>
      </c>
      <c r="G30" s="468">
        <v>8</v>
      </c>
      <c r="H30" s="468">
        <v>-3.8466000000000005</v>
      </c>
      <c r="I30" s="469">
        <v>0.51917499999999994</v>
      </c>
      <c r="J30" s="470" t="s">
        <v>1</v>
      </c>
    </row>
    <row r="31" spans="1:10" ht="14.45" customHeight="1" x14ac:dyDescent="0.2">
      <c r="A31" s="466" t="s">
        <v>455</v>
      </c>
      <c r="B31" s="467" t="s">
        <v>457</v>
      </c>
      <c r="C31" s="468">
        <v>2472.9165000000003</v>
      </c>
      <c r="D31" s="468">
        <v>1974.0710999999994</v>
      </c>
      <c r="E31" s="468"/>
      <c r="F31" s="468">
        <v>2124.5292099999997</v>
      </c>
      <c r="G31" s="468">
        <v>2357</v>
      </c>
      <c r="H31" s="468">
        <v>-232.47079000000031</v>
      </c>
      <c r="I31" s="469">
        <v>0.90137005091217637</v>
      </c>
      <c r="J31" s="470" t="s">
        <v>453</v>
      </c>
    </row>
    <row r="32" spans="1:10" ht="14.45" customHeight="1" x14ac:dyDescent="0.2">
      <c r="A32" s="466" t="s">
        <v>446</v>
      </c>
      <c r="B32" s="467" t="s">
        <v>446</v>
      </c>
      <c r="C32" s="468" t="s">
        <v>446</v>
      </c>
      <c r="D32" s="468" t="s">
        <v>446</v>
      </c>
      <c r="E32" s="468"/>
      <c r="F32" s="468" t="s">
        <v>446</v>
      </c>
      <c r="G32" s="468" t="s">
        <v>446</v>
      </c>
      <c r="H32" s="468" t="s">
        <v>446</v>
      </c>
      <c r="I32" s="469" t="s">
        <v>446</v>
      </c>
      <c r="J32" s="470" t="s">
        <v>454</v>
      </c>
    </row>
    <row r="33" spans="1:10" ht="14.45" customHeight="1" x14ac:dyDescent="0.2">
      <c r="A33" s="466" t="s">
        <v>444</v>
      </c>
      <c r="B33" s="467" t="s">
        <v>448</v>
      </c>
      <c r="C33" s="468">
        <v>2491.5749200000005</v>
      </c>
      <c r="D33" s="468">
        <v>1987.6022199999995</v>
      </c>
      <c r="E33" s="468"/>
      <c r="F33" s="468">
        <v>2148.2716699999996</v>
      </c>
      <c r="G33" s="468">
        <v>2417</v>
      </c>
      <c r="H33" s="468">
        <v>-268.72833000000037</v>
      </c>
      <c r="I33" s="469">
        <v>0.88881740587505154</v>
      </c>
      <c r="J33" s="470" t="s">
        <v>449</v>
      </c>
    </row>
  </sheetData>
  <mergeCells count="3">
    <mergeCell ref="A1:I1"/>
    <mergeCell ref="F3:I3"/>
    <mergeCell ref="C4:D4"/>
  </mergeCells>
  <conditionalFormatting sqref="F13 F34:F65537">
    <cfRule type="cellIs" dxfId="20" priority="18" stopIfTrue="1" operator="greaterThan">
      <formula>1</formula>
    </cfRule>
  </conditionalFormatting>
  <conditionalFormatting sqref="H5:H12">
    <cfRule type="expression" dxfId="19" priority="14">
      <formula>$H5&gt;0</formula>
    </cfRule>
  </conditionalFormatting>
  <conditionalFormatting sqref="I5:I12">
    <cfRule type="expression" dxfId="18" priority="15">
      <formula>$I5&gt;1</formula>
    </cfRule>
  </conditionalFormatting>
  <conditionalFormatting sqref="B5:B12">
    <cfRule type="expression" dxfId="17" priority="11">
      <formula>OR($J5="NS",$J5="SumaNS",$J5="Účet")</formula>
    </cfRule>
  </conditionalFormatting>
  <conditionalFormatting sqref="F5:I12 B5:D12">
    <cfRule type="expression" dxfId="16" priority="17">
      <formula>AND($J5&lt;&gt;"",$J5&lt;&gt;"mezeraKL")</formula>
    </cfRule>
  </conditionalFormatting>
  <conditionalFormatting sqref="B5:D12 F5:I12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14" priority="13">
      <formula>OR($J5="SumaNS",$J5="NS")</formula>
    </cfRule>
  </conditionalFormatting>
  <conditionalFormatting sqref="A5:A12">
    <cfRule type="expression" dxfId="13" priority="9">
      <formula>AND($J5&lt;&gt;"mezeraKL",$J5&lt;&gt;"")</formula>
    </cfRule>
  </conditionalFormatting>
  <conditionalFormatting sqref="A5:A12">
    <cfRule type="expression" dxfId="12" priority="10">
      <formula>AND($J5&lt;&gt;"",$J5&lt;&gt;"mezeraKL")</formula>
    </cfRule>
  </conditionalFormatting>
  <conditionalFormatting sqref="H14:H33">
    <cfRule type="expression" dxfId="11" priority="6">
      <formula>$H14&gt;0</formula>
    </cfRule>
  </conditionalFormatting>
  <conditionalFormatting sqref="A14:A33">
    <cfRule type="expression" dxfId="10" priority="5">
      <formula>AND($J14&lt;&gt;"mezeraKL",$J14&lt;&gt;"")</formula>
    </cfRule>
  </conditionalFormatting>
  <conditionalFormatting sqref="I14:I33">
    <cfRule type="expression" dxfId="9" priority="7">
      <formula>$I14&gt;1</formula>
    </cfRule>
  </conditionalFormatting>
  <conditionalFormatting sqref="B14:B33">
    <cfRule type="expression" dxfId="8" priority="4">
      <formula>OR($J14="NS",$J14="SumaNS",$J14="Účet")</formula>
    </cfRule>
  </conditionalFormatting>
  <conditionalFormatting sqref="A14:D33 F14:I33">
    <cfRule type="expression" dxfId="7" priority="8">
      <formula>AND($J14&lt;&gt;"",$J14&lt;&gt;"mezeraKL")</formula>
    </cfRule>
  </conditionalFormatting>
  <conditionalFormatting sqref="B14:D33 F14:I33">
    <cfRule type="expression" dxfId="6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33 F14:I33">
    <cfRule type="expression" dxfId="5" priority="2">
      <formula>OR($J14="SumaNS",$J14="NS")</formula>
    </cfRule>
  </conditionalFormatting>
  <hyperlinks>
    <hyperlink ref="A2" location="Obsah!A1" display="Zpět na Obsah  KL 01  1.-4.měsíc" xr:uid="{5FFFC4A5-A5CF-47F2-B55A-3178F68F1D68}"/>
  </hyperlinks>
  <pageMargins left="0.25" right="0.25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198" bestFit="1" customWidth="1"/>
    <col min="6" max="6" width="18.7109375" style="202" customWidth="1"/>
    <col min="7" max="7" width="12.42578125" style="198" hidden="1" customWidth="1" outlineLevel="1"/>
    <col min="8" max="8" width="25.7109375" style="198" customWidth="1" collapsed="1"/>
    <col min="9" max="9" width="7.7109375" style="196" customWidth="1"/>
    <col min="10" max="10" width="10" style="196" customWidth="1"/>
    <col min="11" max="11" width="11.140625" style="196" customWidth="1"/>
    <col min="12" max="16384" width="8.85546875" style="118"/>
  </cols>
  <sheetData>
    <row r="1" spans="1:11" ht="18.600000000000001" customHeight="1" thickBot="1" x14ac:dyDescent="0.35">
      <c r="A1" s="355" t="s">
        <v>982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45" customHeight="1" thickBot="1" x14ac:dyDescent="0.25">
      <c r="A2" s="221" t="s">
        <v>256</v>
      </c>
      <c r="B2" s="57"/>
      <c r="C2" s="200"/>
      <c r="D2" s="200"/>
      <c r="E2" s="200"/>
      <c r="F2" s="200"/>
      <c r="G2" s="200"/>
      <c r="H2" s="200"/>
      <c r="I2" s="201"/>
      <c r="J2" s="201"/>
      <c r="K2" s="201"/>
    </row>
    <row r="3" spans="1:11" ht="14.45" customHeight="1" thickBot="1" x14ac:dyDescent="0.25">
      <c r="A3" s="57"/>
      <c r="B3" s="57"/>
      <c r="C3" s="351"/>
      <c r="D3" s="352"/>
      <c r="E3" s="352"/>
      <c r="F3" s="352"/>
      <c r="G3" s="352"/>
      <c r="H3" s="130" t="s">
        <v>127</v>
      </c>
      <c r="I3" s="88">
        <f>IF(J3&lt;&gt;0,K3/J3,0)</f>
        <v>20.386454745049754</v>
      </c>
      <c r="J3" s="88">
        <f>SUBTOTAL(9,J5:J1048576)</f>
        <v>106273</v>
      </c>
      <c r="K3" s="89">
        <f>SUBTOTAL(9,K5:K1048576)</f>
        <v>2166529.7051206725</v>
      </c>
    </row>
    <row r="4" spans="1:11" s="197" customFormat="1" ht="14.45" customHeight="1" thickBot="1" x14ac:dyDescent="0.25">
      <c r="A4" s="556" t="s">
        <v>4</v>
      </c>
      <c r="B4" s="557" t="s">
        <v>5</v>
      </c>
      <c r="C4" s="557" t="s">
        <v>0</v>
      </c>
      <c r="D4" s="557" t="s">
        <v>6</v>
      </c>
      <c r="E4" s="557" t="s">
        <v>7</v>
      </c>
      <c r="F4" s="557" t="s">
        <v>1</v>
      </c>
      <c r="G4" s="557" t="s">
        <v>70</v>
      </c>
      <c r="H4" s="474" t="s">
        <v>11</v>
      </c>
      <c r="I4" s="475" t="s">
        <v>135</v>
      </c>
      <c r="J4" s="475" t="s">
        <v>13</v>
      </c>
      <c r="K4" s="476" t="s">
        <v>147</v>
      </c>
    </row>
    <row r="5" spans="1:11" ht="14.45" customHeight="1" x14ac:dyDescent="0.2">
      <c r="A5" s="543" t="s">
        <v>444</v>
      </c>
      <c r="B5" s="544" t="s">
        <v>445</v>
      </c>
      <c r="C5" s="547" t="s">
        <v>450</v>
      </c>
      <c r="D5" s="558" t="s">
        <v>451</v>
      </c>
      <c r="E5" s="547" t="s">
        <v>647</v>
      </c>
      <c r="F5" s="558" t="s">
        <v>648</v>
      </c>
      <c r="G5" s="547" t="s">
        <v>649</v>
      </c>
      <c r="H5" s="547" t="s">
        <v>650</v>
      </c>
      <c r="I5" s="105">
        <v>15.810000419616699</v>
      </c>
      <c r="J5" s="105">
        <v>100</v>
      </c>
      <c r="K5" s="559">
        <v>1581.22998046875</v>
      </c>
    </row>
    <row r="6" spans="1:11" ht="14.45" customHeight="1" x14ac:dyDescent="0.2">
      <c r="A6" s="484" t="s">
        <v>444</v>
      </c>
      <c r="B6" s="485" t="s">
        <v>445</v>
      </c>
      <c r="C6" s="486" t="s">
        <v>450</v>
      </c>
      <c r="D6" s="487" t="s">
        <v>451</v>
      </c>
      <c r="E6" s="486" t="s">
        <v>651</v>
      </c>
      <c r="F6" s="487" t="s">
        <v>652</v>
      </c>
      <c r="G6" s="486" t="s">
        <v>653</v>
      </c>
      <c r="H6" s="486" t="s">
        <v>654</v>
      </c>
      <c r="I6" s="489">
        <v>0.60499998927116394</v>
      </c>
      <c r="J6" s="489">
        <v>1000</v>
      </c>
      <c r="K6" s="490">
        <v>605</v>
      </c>
    </row>
    <row r="7" spans="1:11" ht="14.45" customHeight="1" x14ac:dyDescent="0.2">
      <c r="A7" s="484" t="s">
        <v>444</v>
      </c>
      <c r="B7" s="485" t="s">
        <v>445</v>
      </c>
      <c r="C7" s="486" t="s">
        <v>450</v>
      </c>
      <c r="D7" s="487" t="s">
        <v>451</v>
      </c>
      <c r="E7" s="486" t="s">
        <v>651</v>
      </c>
      <c r="F7" s="487" t="s">
        <v>652</v>
      </c>
      <c r="G7" s="486" t="s">
        <v>655</v>
      </c>
      <c r="H7" s="486" t="s">
        <v>656</v>
      </c>
      <c r="I7" s="489">
        <v>1.4900000095367432</v>
      </c>
      <c r="J7" s="489">
        <v>200</v>
      </c>
      <c r="K7" s="490">
        <v>298</v>
      </c>
    </row>
    <row r="8" spans="1:11" ht="14.45" customHeight="1" x14ac:dyDescent="0.2">
      <c r="A8" s="484" t="s">
        <v>444</v>
      </c>
      <c r="B8" s="485" t="s">
        <v>445</v>
      </c>
      <c r="C8" s="486" t="s">
        <v>450</v>
      </c>
      <c r="D8" s="487" t="s">
        <v>451</v>
      </c>
      <c r="E8" s="486" t="s">
        <v>651</v>
      </c>
      <c r="F8" s="487" t="s">
        <v>652</v>
      </c>
      <c r="G8" s="486" t="s">
        <v>657</v>
      </c>
      <c r="H8" s="486" t="s">
        <v>658</v>
      </c>
      <c r="I8" s="489">
        <v>0.86000001430511475</v>
      </c>
      <c r="J8" s="489">
        <v>100</v>
      </c>
      <c r="K8" s="490">
        <v>86</v>
      </c>
    </row>
    <row r="9" spans="1:11" ht="14.45" customHeight="1" x14ac:dyDescent="0.2">
      <c r="A9" s="484" t="s">
        <v>444</v>
      </c>
      <c r="B9" s="485" t="s">
        <v>445</v>
      </c>
      <c r="C9" s="486" t="s">
        <v>450</v>
      </c>
      <c r="D9" s="487" t="s">
        <v>451</v>
      </c>
      <c r="E9" s="486" t="s">
        <v>651</v>
      </c>
      <c r="F9" s="487" t="s">
        <v>652</v>
      </c>
      <c r="G9" s="486" t="s">
        <v>659</v>
      </c>
      <c r="H9" s="486" t="s">
        <v>660</v>
      </c>
      <c r="I9" s="489">
        <v>98.379997253417969</v>
      </c>
      <c r="J9" s="489">
        <v>2</v>
      </c>
      <c r="K9" s="490">
        <v>196.75999450683594</v>
      </c>
    </row>
    <row r="10" spans="1:11" ht="14.45" customHeight="1" x14ac:dyDescent="0.2">
      <c r="A10" s="484" t="s">
        <v>444</v>
      </c>
      <c r="B10" s="485" t="s">
        <v>445</v>
      </c>
      <c r="C10" s="486" t="s">
        <v>450</v>
      </c>
      <c r="D10" s="487" t="s">
        <v>451</v>
      </c>
      <c r="E10" s="486" t="s">
        <v>651</v>
      </c>
      <c r="F10" s="487" t="s">
        <v>652</v>
      </c>
      <c r="G10" s="486" t="s">
        <v>657</v>
      </c>
      <c r="H10" s="486" t="s">
        <v>661</v>
      </c>
      <c r="I10" s="489">
        <v>0.85500001907348633</v>
      </c>
      <c r="J10" s="489">
        <v>100</v>
      </c>
      <c r="K10" s="490">
        <v>85.5</v>
      </c>
    </row>
    <row r="11" spans="1:11" ht="14.45" customHeight="1" x14ac:dyDescent="0.2">
      <c r="A11" s="484" t="s">
        <v>444</v>
      </c>
      <c r="B11" s="485" t="s">
        <v>445</v>
      </c>
      <c r="C11" s="486" t="s">
        <v>450</v>
      </c>
      <c r="D11" s="487" t="s">
        <v>451</v>
      </c>
      <c r="E11" s="486" t="s">
        <v>651</v>
      </c>
      <c r="F11" s="487" t="s">
        <v>652</v>
      </c>
      <c r="G11" s="486" t="s">
        <v>662</v>
      </c>
      <c r="H11" s="486" t="s">
        <v>663</v>
      </c>
      <c r="I11" s="489">
        <v>1.5149999856948853</v>
      </c>
      <c r="J11" s="489">
        <v>100</v>
      </c>
      <c r="K11" s="490">
        <v>151.5</v>
      </c>
    </row>
    <row r="12" spans="1:11" ht="14.45" customHeight="1" x14ac:dyDescent="0.2">
      <c r="A12" s="484" t="s">
        <v>444</v>
      </c>
      <c r="B12" s="485" t="s">
        <v>445</v>
      </c>
      <c r="C12" s="486" t="s">
        <v>450</v>
      </c>
      <c r="D12" s="487" t="s">
        <v>451</v>
      </c>
      <c r="E12" s="486" t="s">
        <v>651</v>
      </c>
      <c r="F12" s="487" t="s">
        <v>652</v>
      </c>
      <c r="G12" s="486" t="s">
        <v>664</v>
      </c>
      <c r="H12" s="486" t="s">
        <v>665</v>
      </c>
      <c r="I12" s="489">
        <v>4.5999999046325684</v>
      </c>
      <c r="J12" s="489">
        <v>24</v>
      </c>
      <c r="K12" s="490">
        <v>110.40000152587891</v>
      </c>
    </row>
    <row r="13" spans="1:11" ht="14.45" customHeight="1" x14ac:dyDescent="0.2">
      <c r="A13" s="484" t="s">
        <v>444</v>
      </c>
      <c r="B13" s="485" t="s">
        <v>445</v>
      </c>
      <c r="C13" s="486" t="s">
        <v>450</v>
      </c>
      <c r="D13" s="487" t="s">
        <v>451</v>
      </c>
      <c r="E13" s="486" t="s">
        <v>651</v>
      </c>
      <c r="F13" s="487" t="s">
        <v>652</v>
      </c>
      <c r="G13" s="486" t="s">
        <v>666</v>
      </c>
      <c r="H13" s="486" t="s">
        <v>667</v>
      </c>
      <c r="I13" s="489">
        <v>8.3999996185302734</v>
      </c>
      <c r="J13" s="489">
        <v>12</v>
      </c>
      <c r="K13" s="490">
        <v>100.80000305175781</v>
      </c>
    </row>
    <row r="14" spans="1:11" ht="14.45" customHeight="1" x14ac:dyDescent="0.2">
      <c r="A14" s="484" t="s">
        <v>444</v>
      </c>
      <c r="B14" s="485" t="s">
        <v>445</v>
      </c>
      <c r="C14" s="486" t="s">
        <v>450</v>
      </c>
      <c r="D14" s="487" t="s">
        <v>451</v>
      </c>
      <c r="E14" s="486" t="s">
        <v>651</v>
      </c>
      <c r="F14" s="487" t="s">
        <v>652</v>
      </c>
      <c r="G14" s="486" t="s">
        <v>668</v>
      </c>
      <c r="H14" s="486" t="s">
        <v>669</v>
      </c>
      <c r="I14" s="489">
        <v>30.5</v>
      </c>
      <c r="J14" s="489">
        <v>4</v>
      </c>
      <c r="K14" s="490">
        <v>122</v>
      </c>
    </row>
    <row r="15" spans="1:11" ht="14.45" customHeight="1" x14ac:dyDescent="0.2">
      <c r="A15" s="484" t="s">
        <v>444</v>
      </c>
      <c r="B15" s="485" t="s">
        <v>445</v>
      </c>
      <c r="C15" s="486" t="s">
        <v>450</v>
      </c>
      <c r="D15" s="487" t="s">
        <v>451</v>
      </c>
      <c r="E15" s="486" t="s">
        <v>651</v>
      </c>
      <c r="F15" s="487" t="s">
        <v>652</v>
      </c>
      <c r="G15" s="486" t="s">
        <v>670</v>
      </c>
      <c r="H15" s="486" t="s">
        <v>671</v>
      </c>
      <c r="I15" s="489">
        <v>29.88499927520752</v>
      </c>
      <c r="J15" s="489">
        <v>20</v>
      </c>
      <c r="K15" s="490">
        <v>597.69998168945313</v>
      </c>
    </row>
    <row r="16" spans="1:11" ht="14.45" customHeight="1" x14ac:dyDescent="0.2">
      <c r="A16" s="484" t="s">
        <v>444</v>
      </c>
      <c r="B16" s="485" t="s">
        <v>445</v>
      </c>
      <c r="C16" s="486" t="s">
        <v>450</v>
      </c>
      <c r="D16" s="487" t="s">
        <v>451</v>
      </c>
      <c r="E16" s="486" t="s">
        <v>651</v>
      </c>
      <c r="F16" s="487" t="s">
        <v>652</v>
      </c>
      <c r="G16" s="486" t="s">
        <v>668</v>
      </c>
      <c r="H16" s="486" t="s">
        <v>672</v>
      </c>
      <c r="I16" s="489">
        <v>30.036000061035157</v>
      </c>
      <c r="J16" s="489">
        <v>10</v>
      </c>
      <c r="K16" s="490">
        <v>300.36000061035156</v>
      </c>
    </row>
    <row r="17" spans="1:11" ht="14.45" customHeight="1" x14ac:dyDescent="0.2">
      <c r="A17" s="484" t="s">
        <v>444</v>
      </c>
      <c r="B17" s="485" t="s">
        <v>445</v>
      </c>
      <c r="C17" s="486" t="s">
        <v>450</v>
      </c>
      <c r="D17" s="487" t="s">
        <v>451</v>
      </c>
      <c r="E17" s="486" t="s">
        <v>651</v>
      </c>
      <c r="F17" s="487" t="s">
        <v>652</v>
      </c>
      <c r="G17" s="486" t="s">
        <v>670</v>
      </c>
      <c r="H17" s="486" t="s">
        <v>673</v>
      </c>
      <c r="I17" s="489">
        <v>29.19999967302595</v>
      </c>
      <c r="J17" s="489">
        <v>50</v>
      </c>
      <c r="K17" s="490">
        <v>1458.699951171875</v>
      </c>
    </row>
    <row r="18" spans="1:11" ht="14.45" customHeight="1" x14ac:dyDescent="0.2">
      <c r="A18" s="484" t="s">
        <v>444</v>
      </c>
      <c r="B18" s="485" t="s">
        <v>445</v>
      </c>
      <c r="C18" s="486" t="s">
        <v>450</v>
      </c>
      <c r="D18" s="487" t="s">
        <v>451</v>
      </c>
      <c r="E18" s="486" t="s">
        <v>674</v>
      </c>
      <c r="F18" s="487" t="s">
        <v>675</v>
      </c>
      <c r="G18" s="486" t="s">
        <v>676</v>
      </c>
      <c r="H18" s="486" t="s">
        <v>677</v>
      </c>
      <c r="I18" s="489">
        <v>1.4999999664723873E-2</v>
      </c>
      <c r="J18" s="489">
        <v>400</v>
      </c>
      <c r="K18" s="490">
        <v>6</v>
      </c>
    </row>
    <row r="19" spans="1:11" ht="14.45" customHeight="1" x14ac:dyDescent="0.2">
      <c r="A19" s="484" t="s">
        <v>444</v>
      </c>
      <c r="B19" s="485" t="s">
        <v>445</v>
      </c>
      <c r="C19" s="486" t="s">
        <v>450</v>
      </c>
      <c r="D19" s="487" t="s">
        <v>451</v>
      </c>
      <c r="E19" s="486" t="s">
        <v>674</v>
      </c>
      <c r="F19" s="487" t="s">
        <v>675</v>
      </c>
      <c r="G19" s="486" t="s">
        <v>676</v>
      </c>
      <c r="H19" s="486" t="s">
        <v>678</v>
      </c>
      <c r="I19" s="489">
        <v>1.4285713966403688E-2</v>
      </c>
      <c r="J19" s="489">
        <v>950</v>
      </c>
      <c r="K19" s="490">
        <v>13.5</v>
      </c>
    </row>
    <row r="20" spans="1:11" ht="14.45" customHeight="1" x14ac:dyDescent="0.2">
      <c r="A20" s="484" t="s">
        <v>444</v>
      </c>
      <c r="B20" s="485" t="s">
        <v>445</v>
      </c>
      <c r="C20" s="486" t="s">
        <v>450</v>
      </c>
      <c r="D20" s="487" t="s">
        <v>451</v>
      </c>
      <c r="E20" s="486" t="s">
        <v>674</v>
      </c>
      <c r="F20" s="487" t="s">
        <v>675</v>
      </c>
      <c r="G20" s="486" t="s">
        <v>679</v>
      </c>
      <c r="H20" s="486" t="s">
        <v>680</v>
      </c>
      <c r="I20" s="489">
        <v>1.059999942779541</v>
      </c>
      <c r="J20" s="489">
        <v>100</v>
      </c>
      <c r="K20" s="490">
        <v>106</v>
      </c>
    </row>
    <row r="21" spans="1:11" ht="14.45" customHeight="1" x14ac:dyDescent="0.2">
      <c r="A21" s="484" t="s">
        <v>444</v>
      </c>
      <c r="B21" s="485" t="s">
        <v>445</v>
      </c>
      <c r="C21" s="486" t="s">
        <v>450</v>
      </c>
      <c r="D21" s="487" t="s">
        <v>451</v>
      </c>
      <c r="E21" s="486" t="s">
        <v>674</v>
      </c>
      <c r="F21" s="487" t="s">
        <v>675</v>
      </c>
      <c r="G21" s="486" t="s">
        <v>681</v>
      </c>
      <c r="H21" s="486" t="s">
        <v>682</v>
      </c>
      <c r="I21" s="489">
        <v>13.310000419616699</v>
      </c>
      <c r="J21" s="489">
        <v>35</v>
      </c>
      <c r="K21" s="490">
        <v>465.85000610351563</v>
      </c>
    </row>
    <row r="22" spans="1:11" ht="14.45" customHeight="1" x14ac:dyDescent="0.2">
      <c r="A22" s="484" t="s">
        <v>444</v>
      </c>
      <c r="B22" s="485" t="s">
        <v>445</v>
      </c>
      <c r="C22" s="486" t="s">
        <v>450</v>
      </c>
      <c r="D22" s="487" t="s">
        <v>451</v>
      </c>
      <c r="E22" s="486" t="s">
        <v>674</v>
      </c>
      <c r="F22" s="487" t="s">
        <v>675</v>
      </c>
      <c r="G22" s="486" t="s">
        <v>683</v>
      </c>
      <c r="H22" s="486" t="s">
        <v>684</v>
      </c>
      <c r="I22" s="489">
        <v>25.530000686645508</v>
      </c>
      <c r="J22" s="489">
        <v>10</v>
      </c>
      <c r="K22" s="490">
        <v>255.30000305175781</v>
      </c>
    </row>
    <row r="23" spans="1:11" ht="14.45" customHeight="1" x14ac:dyDescent="0.2">
      <c r="A23" s="484" t="s">
        <v>444</v>
      </c>
      <c r="B23" s="485" t="s">
        <v>445</v>
      </c>
      <c r="C23" s="486" t="s">
        <v>450</v>
      </c>
      <c r="D23" s="487" t="s">
        <v>451</v>
      </c>
      <c r="E23" s="486" t="s">
        <v>674</v>
      </c>
      <c r="F23" s="487" t="s">
        <v>675</v>
      </c>
      <c r="G23" s="486" t="s">
        <v>685</v>
      </c>
      <c r="H23" s="486" t="s">
        <v>686</v>
      </c>
      <c r="I23" s="489">
        <v>4.9699997901916504</v>
      </c>
      <c r="J23" s="489">
        <v>200</v>
      </c>
      <c r="K23" s="490">
        <v>994</v>
      </c>
    </row>
    <row r="24" spans="1:11" ht="14.45" customHeight="1" x14ac:dyDescent="0.2">
      <c r="A24" s="484" t="s">
        <v>444</v>
      </c>
      <c r="B24" s="485" t="s">
        <v>445</v>
      </c>
      <c r="C24" s="486" t="s">
        <v>450</v>
      </c>
      <c r="D24" s="487" t="s">
        <v>451</v>
      </c>
      <c r="E24" s="486" t="s">
        <v>674</v>
      </c>
      <c r="F24" s="487" t="s">
        <v>675</v>
      </c>
      <c r="G24" s="486" t="s">
        <v>681</v>
      </c>
      <c r="H24" s="486" t="s">
        <v>687</v>
      </c>
      <c r="I24" s="489">
        <v>13.310000419616699</v>
      </c>
      <c r="J24" s="489">
        <v>115</v>
      </c>
      <c r="K24" s="490">
        <v>1530.6500511169434</v>
      </c>
    </row>
    <row r="25" spans="1:11" ht="14.45" customHeight="1" x14ac:dyDescent="0.2">
      <c r="A25" s="484" t="s">
        <v>444</v>
      </c>
      <c r="B25" s="485" t="s">
        <v>445</v>
      </c>
      <c r="C25" s="486" t="s">
        <v>450</v>
      </c>
      <c r="D25" s="487" t="s">
        <v>451</v>
      </c>
      <c r="E25" s="486" t="s">
        <v>674</v>
      </c>
      <c r="F25" s="487" t="s">
        <v>675</v>
      </c>
      <c r="G25" s="486" t="s">
        <v>688</v>
      </c>
      <c r="H25" s="486" t="s">
        <v>689</v>
      </c>
      <c r="I25" s="489">
        <v>0.47999998927116394</v>
      </c>
      <c r="J25" s="489">
        <v>100</v>
      </c>
      <c r="K25" s="490">
        <v>48</v>
      </c>
    </row>
    <row r="26" spans="1:11" ht="14.45" customHeight="1" x14ac:dyDescent="0.2">
      <c r="A26" s="484" t="s">
        <v>444</v>
      </c>
      <c r="B26" s="485" t="s">
        <v>445</v>
      </c>
      <c r="C26" s="486" t="s">
        <v>450</v>
      </c>
      <c r="D26" s="487" t="s">
        <v>451</v>
      </c>
      <c r="E26" s="486" t="s">
        <v>674</v>
      </c>
      <c r="F26" s="487" t="s">
        <v>675</v>
      </c>
      <c r="G26" s="486" t="s">
        <v>690</v>
      </c>
      <c r="H26" s="486" t="s">
        <v>691</v>
      </c>
      <c r="I26" s="489">
        <v>15.029999732971191</v>
      </c>
      <c r="J26" s="489">
        <v>2</v>
      </c>
      <c r="K26" s="490">
        <v>30.059999465942383</v>
      </c>
    </row>
    <row r="27" spans="1:11" ht="14.45" customHeight="1" x14ac:dyDescent="0.2">
      <c r="A27" s="484" t="s">
        <v>444</v>
      </c>
      <c r="B27" s="485" t="s">
        <v>445</v>
      </c>
      <c r="C27" s="486" t="s">
        <v>450</v>
      </c>
      <c r="D27" s="487" t="s">
        <v>451</v>
      </c>
      <c r="E27" s="486" t="s">
        <v>674</v>
      </c>
      <c r="F27" s="487" t="s">
        <v>675</v>
      </c>
      <c r="G27" s="486" t="s">
        <v>692</v>
      </c>
      <c r="H27" s="486" t="s">
        <v>693</v>
      </c>
      <c r="I27" s="489">
        <v>6.2399997711181641</v>
      </c>
      <c r="J27" s="489">
        <v>3</v>
      </c>
      <c r="K27" s="490">
        <v>18.719999313354492</v>
      </c>
    </row>
    <row r="28" spans="1:11" ht="14.45" customHeight="1" x14ac:dyDescent="0.2">
      <c r="A28" s="484" t="s">
        <v>444</v>
      </c>
      <c r="B28" s="485" t="s">
        <v>445</v>
      </c>
      <c r="C28" s="486" t="s">
        <v>450</v>
      </c>
      <c r="D28" s="487" t="s">
        <v>451</v>
      </c>
      <c r="E28" s="486" t="s">
        <v>674</v>
      </c>
      <c r="F28" s="487" t="s">
        <v>675</v>
      </c>
      <c r="G28" s="486" t="s">
        <v>694</v>
      </c>
      <c r="H28" s="486" t="s">
        <v>695</v>
      </c>
      <c r="I28" s="489">
        <v>2.369999885559082</v>
      </c>
      <c r="J28" s="489">
        <v>50</v>
      </c>
      <c r="K28" s="490">
        <v>118.5</v>
      </c>
    </row>
    <row r="29" spans="1:11" ht="14.45" customHeight="1" x14ac:dyDescent="0.2">
      <c r="A29" s="484" t="s">
        <v>444</v>
      </c>
      <c r="B29" s="485" t="s">
        <v>445</v>
      </c>
      <c r="C29" s="486" t="s">
        <v>450</v>
      </c>
      <c r="D29" s="487" t="s">
        <v>451</v>
      </c>
      <c r="E29" s="486" t="s">
        <v>674</v>
      </c>
      <c r="F29" s="487" t="s">
        <v>675</v>
      </c>
      <c r="G29" s="486" t="s">
        <v>696</v>
      </c>
      <c r="H29" s="486" t="s">
        <v>697</v>
      </c>
      <c r="I29" s="489">
        <v>1.9800000190734863</v>
      </c>
      <c r="J29" s="489">
        <v>50</v>
      </c>
      <c r="K29" s="490">
        <v>99</v>
      </c>
    </row>
    <row r="30" spans="1:11" ht="14.45" customHeight="1" x14ac:dyDescent="0.2">
      <c r="A30" s="484" t="s">
        <v>444</v>
      </c>
      <c r="B30" s="485" t="s">
        <v>445</v>
      </c>
      <c r="C30" s="486" t="s">
        <v>450</v>
      </c>
      <c r="D30" s="487" t="s">
        <v>451</v>
      </c>
      <c r="E30" s="486" t="s">
        <v>674</v>
      </c>
      <c r="F30" s="487" t="s">
        <v>675</v>
      </c>
      <c r="G30" s="486" t="s">
        <v>698</v>
      </c>
      <c r="H30" s="486" t="s">
        <v>699</v>
      </c>
      <c r="I30" s="489">
        <v>2.0311110814412436</v>
      </c>
      <c r="J30" s="489">
        <v>1150</v>
      </c>
      <c r="K30" s="490">
        <v>2336.4800109863281</v>
      </c>
    </row>
    <row r="31" spans="1:11" ht="14.45" customHeight="1" x14ac:dyDescent="0.2">
      <c r="A31" s="484" t="s">
        <v>444</v>
      </c>
      <c r="B31" s="485" t="s">
        <v>445</v>
      </c>
      <c r="C31" s="486" t="s">
        <v>450</v>
      </c>
      <c r="D31" s="487" t="s">
        <v>451</v>
      </c>
      <c r="E31" s="486" t="s">
        <v>674</v>
      </c>
      <c r="F31" s="487" t="s">
        <v>675</v>
      </c>
      <c r="G31" s="486" t="s">
        <v>700</v>
      </c>
      <c r="H31" s="486" t="s">
        <v>701</v>
      </c>
      <c r="I31" s="489">
        <v>2.7000000476837158</v>
      </c>
      <c r="J31" s="489">
        <v>100</v>
      </c>
      <c r="K31" s="490">
        <v>270</v>
      </c>
    </row>
    <row r="32" spans="1:11" ht="14.45" customHeight="1" x14ac:dyDescent="0.2">
      <c r="A32" s="484" t="s">
        <v>444</v>
      </c>
      <c r="B32" s="485" t="s">
        <v>445</v>
      </c>
      <c r="C32" s="486" t="s">
        <v>450</v>
      </c>
      <c r="D32" s="487" t="s">
        <v>451</v>
      </c>
      <c r="E32" s="486" t="s">
        <v>674</v>
      </c>
      <c r="F32" s="487" t="s">
        <v>675</v>
      </c>
      <c r="G32" s="486" t="s">
        <v>702</v>
      </c>
      <c r="H32" s="486" t="s">
        <v>703</v>
      </c>
      <c r="I32" s="489">
        <v>3.0899999141693115</v>
      </c>
      <c r="J32" s="489">
        <v>50</v>
      </c>
      <c r="K32" s="490">
        <v>154.5</v>
      </c>
    </row>
    <row r="33" spans="1:11" ht="14.45" customHeight="1" x14ac:dyDescent="0.2">
      <c r="A33" s="484" t="s">
        <v>444</v>
      </c>
      <c r="B33" s="485" t="s">
        <v>445</v>
      </c>
      <c r="C33" s="486" t="s">
        <v>450</v>
      </c>
      <c r="D33" s="487" t="s">
        <v>451</v>
      </c>
      <c r="E33" s="486" t="s">
        <v>674</v>
      </c>
      <c r="F33" s="487" t="s">
        <v>675</v>
      </c>
      <c r="G33" s="486" t="s">
        <v>700</v>
      </c>
      <c r="H33" s="486" t="s">
        <v>704</v>
      </c>
      <c r="I33" s="489">
        <v>2.690000057220459</v>
      </c>
      <c r="J33" s="489">
        <v>100</v>
      </c>
      <c r="K33" s="490">
        <v>269</v>
      </c>
    </row>
    <row r="34" spans="1:11" ht="14.45" customHeight="1" x14ac:dyDescent="0.2">
      <c r="A34" s="484" t="s">
        <v>444</v>
      </c>
      <c r="B34" s="485" t="s">
        <v>445</v>
      </c>
      <c r="C34" s="486" t="s">
        <v>450</v>
      </c>
      <c r="D34" s="487" t="s">
        <v>451</v>
      </c>
      <c r="E34" s="486" t="s">
        <v>674</v>
      </c>
      <c r="F34" s="487" t="s">
        <v>675</v>
      </c>
      <c r="G34" s="486" t="s">
        <v>705</v>
      </c>
      <c r="H34" s="486" t="s">
        <v>706</v>
      </c>
      <c r="I34" s="489">
        <v>1.9299999475479126</v>
      </c>
      <c r="J34" s="489">
        <v>50</v>
      </c>
      <c r="K34" s="490">
        <v>96.5</v>
      </c>
    </row>
    <row r="35" spans="1:11" ht="14.45" customHeight="1" x14ac:dyDescent="0.2">
      <c r="A35" s="484" t="s">
        <v>444</v>
      </c>
      <c r="B35" s="485" t="s">
        <v>445</v>
      </c>
      <c r="C35" s="486" t="s">
        <v>450</v>
      </c>
      <c r="D35" s="487" t="s">
        <v>451</v>
      </c>
      <c r="E35" s="486" t="s">
        <v>674</v>
      </c>
      <c r="F35" s="487" t="s">
        <v>675</v>
      </c>
      <c r="G35" s="486" t="s">
        <v>707</v>
      </c>
      <c r="H35" s="486" t="s">
        <v>708</v>
      </c>
      <c r="I35" s="489">
        <v>1.9199999570846558</v>
      </c>
      <c r="J35" s="489">
        <v>50</v>
      </c>
      <c r="K35" s="490">
        <v>96</v>
      </c>
    </row>
    <row r="36" spans="1:11" ht="14.45" customHeight="1" x14ac:dyDescent="0.2">
      <c r="A36" s="484" t="s">
        <v>444</v>
      </c>
      <c r="B36" s="485" t="s">
        <v>445</v>
      </c>
      <c r="C36" s="486" t="s">
        <v>450</v>
      </c>
      <c r="D36" s="487" t="s">
        <v>451</v>
      </c>
      <c r="E36" s="486" t="s">
        <v>674</v>
      </c>
      <c r="F36" s="487" t="s">
        <v>675</v>
      </c>
      <c r="G36" s="486" t="s">
        <v>709</v>
      </c>
      <c r="H36" s="486" t="s">
        <v>710</v>
      </c>
      <c r="I36" s="489">
        <v>2.1650000810623169</v>
      </c>
      <c r="J36" s="489">
        <v>50</v>
      </c>
      <c r="K36" s="490">
        <v>108.29999923706055</v>
      </c>
    </row>
    <row r="37" spans="1:11" ht="14.45" customHeight="1" x14ac:dyDescent="0.2">
      <c r="A37" s="484" t="s">
        <v>444</v>
      </c>
      <c r="B37" s="485" t="s">
        <v>445</v>
      </c>
      <c r="C37" s="486" t="s">
        <v>450</v>
      </c>
      <c r="D37" s="487" t="s">
        <v>451</v>
      </c>
      <c r="E37" s="486" t="s">
        <v>674</v>
      </c>
      <c r="F37" s="487" t="s">
        <v>675</v>
      </c>
      <c r="G37" s="486" t="s">
        <v>709</v>
      </c>
      <c r="H37" s="486" t="s">
        <v>711</v>
      </c>
      <c r="I37" s="489">
        <v>2.1700000762939453</v>
      </c>
      <c r="J37" s="489">
        <v>50</v>
      </c>
      <c r="K37" s="490">
        <v>108.5</v>
      </c>
    </row>
    <row r="38" spans="1:11" ht="14.45" customHeight="1" x14ac:dyDescent="0.2">
      <c r="A38" s="484" t="s">
        <v>444</v>
      </c>
      <c r="B38" s="485" t="s">
        <v>445</v>
      </c>
      <c r="C38" s="486" t="s">
        <v>450</v>
      </c>
      <c r="D38" s="487" t="s">
        <v>451</v>
      </c>
      <c r="E38" s="486" t="s">
        <v>674</v>
      </c>
      <c r="F38" s="487" t="s">
        <v>675</v>
      </c>
      <c r="G38" s="486" t="s">
        <v>712</v>
      </c>
      <c r="H38" s="486" t="s">
        <v>713</v>
      </c>
      <c r="I38" s="489">
        <v>3.6099998950958252</v>
      </c>
      <c r="J38" s="489">
        <v>50</v>
      </c>
      <c r="K38" s="490">
        <v>180.5</v>
      </c>
    </row>
    <row r="39" spans="1:11" ht="14.45" customHeight="1" x14ac:dyDescent="0.2">
      <c r="A39" s="484" t="s">
        <v>444</v>
      </c>
      <c r="B39" s="485" t="s">
        <v>445</v>
      </c>
      <c r="C39" s="486" t="s">
        <v>450</v>
      </c>
      <c r="D39" s="487" t="s">
        <v>451</v>
      </c>
      <c r="E39" s="486" t="s">
        <v>674</v>
      </c>
      <c r="F39" s="487" t="s">
        <v>675</v>
      </c>
      <c r="G39" s="486" t="s">
        <v>714</v>
      </c>
      <c r="H39" s="486" t="s">
        <v>715</v>
      </c>
      <c r="I39" s="489">
        <v>2.0199999809265137</v>
      </c>
      <c r="J39" s="489">
        <v>1400</v>
      </c>
      <c r="K39" s="490">
        <v>2828.97998046875</v>
      </c>
    </row>
    <row r="40" spans="1:11" ht="14.45" customHeight="1" x14ac:dyDescent="0.2">
      <c r="A40" s="484" t="s">
        <v>444</v>
      </c>
      <c r="B40" s="485" t="s">
        <v>445</v>
      </c>
      <c r="C40" s="486" t="s">
        <v>450</v>
      </c>
      <c r="D40" s="487" t="s">
        <v>451</v>
      </c>
      <c r="E40" s="486" t="s">
        <v>674</v>
      </c>
      <c r="F40" s="487" t="s">
        <v>675</v>
      </c>
      <c r="G40" s="486" t="s">
        <v>716</v>
      </c>
      <c r="H40" s="486" t="s">
        <v>717</v>
      </c>
      <c r="I40" s="489">
        <v>2.525714261191232</v>
      </c>
      <c r="J40" s="489">
        <v>450</v>
      </c>
      <c r="K40" s="490">
        <v>1137</v>
      </c>
    </row>
    <row r="41" spans="1:11" ht="14.45" customHeight="1" x14ac:dyDescent="0.2">
      <c r="A41" s="484" t="s">
        <v>444</v>
      </c>
      <c r="B41" s="485" t="s">
        <v>445</v>
      </c>
      <c r="C41" s="486" t="s">
        <v>450</v>
      </c>
      <c r="D41" s="487" t="s">
        <v>451</v>
      </c>
      <c r="E41" s="486" t="s">
        <v>674</v>
      </c>
      <c r="F41" s="487" t="s">
        <v>675</v>
      </c>
      <c r="G41" s="486" t="s">
        <v>716</v>
      </c>
      <c r="H41" s="486" t="s">
        <v>718</v>
      </c>
      <c r="I41" s="489">
        <v>2.5299999713897705</v>
      </c>
      <c r="J41" s="489">
        <v>150</v>
      </c>
      <c r="K41" s="490">
        <v>379.5</v>
      </c>
    </row>
    <row r="42" spans="1:11" ht="14.45" customHeight="1" x14ac:dyDescent="0.2">
      <c r="A42" s="484" t="s">
        <v>444</v>
      </c>
      <c r="B42" s="485" t="s">
        <v>445</v>
      </c>
      <c r="C42" s="486" t="s">
        <v>450</v>
      </c>
      <c r="D42" s="487" t="s">
        <v>451</v>
      </c>
      <c r="E42" s="486" t="s">
        <v>719</v>
      </c>
      <c r="F42" s="487" t="s">
        <v>720</v>
      </c>
      <c r="G42" s="486" t="s">
        <v>721</v>
      </c>
      <c r="H42" s="486" t="s">
        <v>722</v>
      </c>
      <c r="I42" s="489">
        <v>0.30000001192092896</v>
      </c>
      <c r="J42" s="489">
        <v>100</v>
      </c>
      <c r="K42" s="490">
        <v>30</v>
      </c>
    </row>
    <row r="43" spans="1:11" ht="14.45" customHeight="1" x14ac:dyDescent="0.2">
      <c r="A43" s="484" t="s">
        <v>444</v>
      </c>
      <c r="B43" s="485" t="s">
        <v>445</v>
      </c>
      <c r="C43" s="486" t="s">
        <v>450</v>
      </c>
      <c r="D43" s="487" t="s">
        <v>451</v>
      </c>
      <c r="E43" s="486" t="s">
        <v>719</v>
      </c>
      <c r="F43" s="487" t="s">
        <v>720</v>
      </c>
      <c r="G43" s="486" t="s">
        <v>723</v>
      </c>
      <c r="H43" s="486" t="s">
        <v>724</v>
      </c>
      <c r="I43" s="489">
        <v>0.31000000238418579</v>
      </c>
      <c r="J43" s="489">
        <v>100</v>
      </c>
      <c r="K43" s="490">
        <v>31</v>
      </c>
    </row>
    <row r="44" spans="1:11" ht="14.45" customHeight="1" x14ac:dyDescent="0.2">
      <c r="A44" s="484" t="s">
        <v>444</v>
      </c>
      <c r="B44" s="485" t="s">
        <v>445</v>
      </c>
      <c r="C44" s="486" t="s">
        <v>450</v>
      </c>
      <c r="D44" s="487" t="s">
        <v>451</v>
      </c>
      <c r="E44" s="486" t="s">
        <v>719</v>
      </c>
      <c r="F44" s="487" t="s">
        <v>720</v>
      </c>
      <c r="G44" s="486" t="s">
        <v>721</v>
      </c>
      <c r="H44" s="486" t="s">
        <v>725</v>
      </c>
      <c r="I44" s="489">
        <v>0.31000000238418579</v>
      </c>
      <c r="J44" s="489">
        <v>100</v>
      </c>
      <c r="K44" s="490">
        <v>31</v>
      </c>
    </row>
    <row r="45" spans="1:11" ht="14.45" customHeight="1" x14ac:dyDescent="0.2">
      <c r="A45" s="484" t="s">
        <v>444</v>
      </c>
      <c r="B45" s="485" t="s">
        <v>445</v>
      </c>
      <c r="C45" s="486" t="s">
        <v>450</v>
      </c>
      <c r="D45" s="487" t="s">
        <v>451</v>
      </c>
      <c r="E45" s="486" t="s">
        <v>719</v>
      </c>
      <c r="F45" s="487" t="s">
        <v>720</v>
      </c>
      <c r="G45" s="486" t="s">
        <v>726</v>
      </c>
      <c r="H45" s="486" t="s">
        <v>727</v>
      </c>
      <c r="I45" s="489">
        <v>1.8042856625148229</v>
      </c>
      <c r="J45" s="489">
        <v>700</v>
      </c>
      <c r="K45" s="490">
        <v>1263</v>
      </c>
    </row>
    <row r="46" spans="1:11" ht="14.45" customHeight="1" x14ac:dyDescent="0.2">
      <c r="A46" s="484" t="s">
        <v>444</v>
      </c>
      <c r="B46" s="485" t="s">
        <v>445</v>
      </c>
      <c r="C46" s="486" t="s">
        <v>450</v>
      </c>
      <c r="D46" s="487" t="s">
        <v>451</v>
      </c>
      <c r="E46" s="486" t="s">
        <v>719</v>
      </c>
      <c r="F46" s="487" t="s">
        <v>720</v>
      </c>
      <c r="G46" s="486" t="s">
        <v>726</v>
      </c>
      <c r="H46" s="486" t="s">
        <v>728</v>
      </c>
      <c r="I46" s="489">
        <v>1.7999999523162842</v>
      </c>
      <c r="J46" s="489">
        <v>400</v>
      </c>
      <c r="K46" s="490">
        <v>720</v>
      </c>
    </row>
    <row r="47" spans="1:11" ht="14.45" customHeight="1" x14ac:dyDescent="0.2">
      <c r="A47" s="484" t="s">
        <v>444</v>
      </c>
      <c r="B47" s="485" t="s">
        <v>445</v>
      </c>
      <c r="C47" s="486" t="s">
        <v>450</v>
      </c>
      <c r="D47" s="487" t="s">
        <v>451</v>
      </c>
      <c r="E47" s="486" t="s">
        <v>729</v>
      </c>
      <c r="F47" s="487" t="s">
        <v>730</v>
      </c>
      <c r="G47" s="486" t="s">
        <v>731</v>
      </c>
      <c r="H47" s="486" t="s">
        <v>732</v>
      </c>
      <c r="I47" s="489">
        <v>0.62999999523162842</v>
      </c>
      <c r="J47" s="489">
        <v>400</v>
      </c>
      <c r="K47" s="490">
        <v>252</v>
      </c>
    </row>
    <row r="48" spans="1:11" ht="14.45" customHeight="1" x14ac:dyDescent="0.2">
      <c r="A48" s="484" t="s">
        <v>444</v>
      </c>
      <c r="B48" s="485" t="s">
        <v>445</v>
      </c>
      <c r="C48" s="486" t="s">
        <v>450</v>
      </c>
      <c r="D48" s="487" t="s">
        <v>451</v>
      </c>
      <c r="E48" s="486" t="s">
        <v>729</v>
      </c>
      <c r="F48" s="487" t="s">
        <v>730</v>
      </c>
      <c r="G48" s="486" t="s">
        <v>733</v>
      </c>
      <c r="H48" s="486" t="s">
        <v>734</v>
      </c>
      <c r="I48" s="489">
        <v>0.62999999523162842</v>
      </c>
      <c r="J48" s="489">
        <v>1000</v>
      </c>
      <c r="K48" s="490">
        <v>630</v>
      </c>
    </row>
    <row r="49" spans="1:11" ht="14.45" customHeight="1" x14ac:dyDescent="0.2">
      <c r="A49" s="484" t="s">
        <v>444</v>
      </c>
      <c r="B49" s="485" t="s">
        <v>445</v>
      </c>
      <c r="C49" s="486" t="s">
        <v>450</v>
      </c>
      <c r="D49" s="487" t="s">
        <v>451</v>
      </c>
      <c r="E49" s="486" t="s">
        <v>729</v>
      </c>
      <c r="F49" s="487" t="s">
        <v>730</v>
      </c>
      <c r="G49" s="486" t="s">
        <v>735</v>
      </c>
      <c r="H49" s="486" t="s">
        <v>736</v>
      </c>
      <c r="I49" s="489">
        <v>0.62999999523162842</v>
      </c>
      <c r="J49" s="489">
        <v>1000</v>
      </c>
      <c r="K49" s="490">
        <v>630</v>
      </c>
    </row>
    <row r="50" spans="1:11" ht="14.45" customHeight="1" x14ac:dyDescent="0.2">
      <c r="A50" s="484" t="s">
        <v>444</v>
      </c>
      <c r="B50" s="485" t="s">
        <v>445</v>
      </c>
      <c r="C50" s="486" t="s">
        <v>450</v>
      </c>
      <c r="D50" s="487" t="s">
        <v>451</v>
      </c>
      <c r="E50" s="486" t="s">
        <v>729</v>
      </c>
      <c r="F50" s="487" t="s">
        <v>730</v>
      </c>
      <c r="G50" s="486" t="s">
        <v>731</v>
      </c>
      <c r="H50" s="486" t="s">
        <v>737</v>
      </c>
      <c r="I50" s="489">
        <v>0.62999999523162842</v>
      </c>
      <c r="J50" s="489">
        <v>800</v>
      </c>
      <c r="K50" s="490">
        <v>504</v>
      </c>
    </row>
    <row r="51" spans="1:11" ht="14.45" customHeight="1" x14ac:dyDescent="0.2">
      <c r="A51" s="484" t="s">
        <v>444</v>
      </c>
      <c r="B51" s="485" t="s">
        <v>445</v>
      </c>
      <c r="C51" s="486" t="s">
        <v>450</v>
      </c>
      <c r="D51" s="487" t="s">
        <v>451</v>
      </c>
      <c r="E51" s="486" t="s">
        <v>729</v>
      </c>
      <c r="F51" s="487" t="s">
        <v>730</v>
      </c>
      <c r="G51" s="486" t="s">
        <v>733</v>
      </c>
      <c r="H51" s="486" t="s">
        <v>738</v>
      </c>
      <c r="I51" s="489">
        <v>0.62857142516544884</v>
      </c>
      <c r="J51" s="489">
        <v>2800</v>
      </c>
      <c r="K51" s="490">
        <v>1760</v>
      </c>
    </row>
    <row r="52" spans="1:11" ht="14.45" customHeight="1" x14ac:dyDescent="0.2">
      <c r="A52" s="484" t="s">
        <v>444</v>
      </c>
      <c r="B52" s="485" t="s">
        <v>445</v>
      </c>
      <c r="C52" s="486" t="s">
        <v>450</v>
      </c>
      <c r="D52" s="487" t="s">
        <v>451</v>
      </c>
      <c r="E52" s="486" t="s">
        <v>729</v>
      </c>
      <c r="F52" s="487" t="s">
        <v>730</v>
      </c>
      <c r="G52" s="486" t="s">
        <v>735</v>
      </c>
      <c r="H52" s="486" t="s">
        <v>739</v>
      </c>
      <c r="I52" s="489">
        <v>0.62999999523162842</v>
      </c>
      <c r="J52" s="489">
        <v>400</v>
      </c>
      <c r="K52" s="490">
        <v>252</v>
      </c>
    </row>
    <row r="53" spans="1:11" ht="14.45" customHeight="1" x14ac:dyDescent="0.2">
      <c r="A53" s="484" t="s">
        <v>444</v>
      </c>
      <c r="B53" s="485" t="s">
        <v>445</v>
      </c>
      <c r="C53" s="486" t="s">
        <v>450</v>
      </c>
      <c r="D53" s="487" t="s">
        <v>451</v>
      </c>
      <c r="E53" s="486" t="s">
        <v>729</v>
      </c>
      <c r="F53" s="487" t="s">
        <v>730</v>
      </c>
      <c r="G53" s="486" t="s">
        <v>740</v>
      </c>
      <c r="H53" s="486" t="s">
        <v>741</v>
      </c>
      <c r="I53" s="489">
        <v>0.73500001430511475</v>
      </c>
      <c r="J53" s="489">
        <v>400</v>
      </c>
      <c r="K53" s="490">
        <v>294.66999816894531</v>
      </c>
    </row>
    <row r="54" spans="1:11" ht="14.45" customHeight="1" x14ac:dyDescent="0.2">
      <c r="A54" s="484" t="s">
        <v>444</v>
      </c>
      <c r="B54" s="485" t="s">
        <v>445</v>
      </c>
      <c r="C54" s="486" t="s">
        <v>455</v>
      </c>
      <c r="D54" s="487" t="s">
        <v>456</v>
      </c>
      <c r="E54" s="486" t="s">
        <v>742</v>
      </c>
      <c r="F54" s="487" t="s">
        <v>743</v>
      </c>
      <c r="G54" s="486" t="s">
        <v>744</v>
      </c>
      <c r="H54" s="486" t="s">
        <v>745</v>
      </c>
      <c r="I54" s="489">
        <v>18755</v>
      </c>
      <c r="J54" s="489">
        <v>1</v>
      </c>
      <c r="K54" s="490">
        <v>18755</v>
      </c>
    </row>
    <row r="55" spans="1:11" ht="14.45" customHeight="1" x14ac:dyDescent="0.2">
      <c r="A55" s="484" t="s">
        <v>444</v>
      </c>
      <c r="B55" s="485" t="s">
        <v>445</v>
      </c>
      <c r="C55" s="486" t="s">
        <v>455</v>
      </c>
      <c r="D55" s="487" t="s">
        <v>456</v>
      </c>
      <c r="E55" s="486" t="s">
        <v>742</v>
      </c>
      <c r="F55" s="487" t="s">
        <v>743</v>
      </c>
      <c r="G55" s="486" t="s">
        <v>746</v>
      </c>
      <c r="H55" s="486" t="s">
        <v>747</v>
      </c>
      <c r="I55" s="489">
        <v>1270.5</v>
      </c>
      <c r="J55" s="489">
        <v>40</v>
      </c>
      <c r="K55" s="490">
        <v>50820</v>
      </c>
    </row>
    <row r="56" spans="1:11" ht="14.45" customHeight="1" x14ac:dyDescent="0.2">
      <c r="A56" s="484" t="s">
        <v>444</v>
      </c>
      <c r="B56" s="485" t="s">
        <v>445</v>
      </c>
      <c r="C56" s="486" t="s">
        <v>455</v>
      </c>
      <c r="D56" s="487" t="s">
        <v>456</v>
      </c>
      <c r="E56" s="486" t="s">
        <v>742</v>
      </c>
      <c r="F56" s="487" t="s">
        <v>743</v>
      </c>
      <c r="G56" s="486" t="s">
        <v>748</v>
      </c>
      <c r="H56" s="486" t="s">
        <v>749</v>
      </c>
      <c r="I56" s="489">
        <v>189.97000122070313</v>
      </c>
      <c r="J56" s="489">
        <v>1</v>
      </c>
      <c r="K56" s="490">
        <v>189.97000122070313</v>
      </c>
    </row>
    <row r="57" spans="1:11" ht="14.45" customHeight="1" x14ac:dyDescent="0.2">
      <c r="A57" s="484" t="s">
        <v>444</v>
      </c>
      <c r="B57" s="485" t="s">
        <v>445</v>
      </c>
      <c r="C57" s="486" t="s">
        <v>455</v>
      </c>
      <c r="D57" s="487" t="s">
        <v>456</v>
      </c>
      <c r="E57" s="486" t="s">
        <v>742</v>
      </c>
      <c r="F57" s="487" t="s">
        <v>743</v>
      </c>
      <c r="G57" s="486" t="s">
        <v>750</v>
      </c>
      <c r="H57" s="486" t="s">
        <v>751</v>
      </c>
      <c r="I57" s="489">
        <v>55889.8984375</v>
      </c>
      <c r="J57" s="489">
        <v>1</v>
      </c>
      <c r="K57" s="490">
        <v>55889.8984375</v>
      </c>
    </row>
    <row r="58" spans="1:11" ht="14.45" customHeight="1" x14ac:dyDescent="0.2">
      <c r="A58" s="484" t="s">
        <v>444</v>
      </c>
      <c r="B58" s="485" t="s">
        <v>445</v>
      </c>
      <c r="C58" s="486" t="s">
        <v>455</v>
      </c>
      <c r="D58" s="487" t="s">
        <v>456</v>
      </c>
      <c r="E58" s="486" t="s">
        <v>742</v>
      </c>
      <c r="F58" s="487" t="s">
        <v>743</v>
      </c>
      <c r="G58" s="486" t="s">
        <v>752</v>
      </c>
      <c r="H58" s="486" t="s">
        <v>753</v>
      </c>
      <c r="I58" s="489">
        <v>3990.60009765625</v>
      </c>
      <c r="J58" s="489">
        <v>1</v>
      </c>
      <c r="K58" s="490">
        <v>3990.60009765625</v>
      </c>
    </row>
    <row r="59" spans="1:11" ht="14.45" customHeight="1" x14ac:dyDescent="0.2">
      <c r="A59" s="484" t="s">
        <v>444</v>
      </c>
      <c r="B59" s="485" t="s">
        <v>445</v>
      </c>
      <c r="C59" s="486" t="s">
        <v>455</v>
      </c>
      <c r="D59" s="487" t="s">
        <v>456</v>
      </c>
      <c r="E59" s="486" t="s">
        <v>742</v>
      </c>
      <c r="F59" s="487" t="s">
        <v>743</v>
      </c>
      <c r="G59" s="486" t="s">
        <v>754</v>
      </c>
      <c r="H59" s="486" t="s">
        <v>755</v>
      </c>
      <c r="I59" s="489">
        <v>50493</v>
      </c>
      <c r="J59" s="489">
        <v>1</v>
      </c>
      <c r="K59" s="490">
        <v>50493</v>
      </c>
    </row>
    <row r="60" spans="1:11" ht="14.45" customHeight="1" x14ac:dyDescent="0.2">
      <c r="A60" s="484" t="s">
        <v>444</v>
      </c>
      <c r="B60" s="485" t="s">
        <v>445</v>
      </c>
      <c r="C60" s="486" t="s">
        <v>455</v>
      </c>
      <c r="D60" s="487" t="s">
        <v>456</v>
      </c>
      <c r="E60" s="486" t="s">
        <v>742</v>
      </c>
      <c r="F60" s="487" t="s">
        <v>743</v>
      </c>
      <c r="G60" s="486" t="s">
        <v>756</v>
      </c>
      <c r="H60" s="486" t="s">
        <v>757</v>
      </c>
      <c r="I60" s="489">
        <v>6122.60009765625</v>
      </c>
      <c r="J60" s="489">
        <v>3</v>
      </c>
      <c r="K60" s="490">
        <v>18367.80078125</v>
      </c>
    </row>
    <row r="61" spans="1:11" ht="14.45" customHeight="1" x14ac:dyDescent="0.2">
      <c r="A61" s="484" t="s">
        <v>444</v>
      </c>
      <c r="B61" s="485" t="s">
        <v>445</v>
      </c>
      <c r="C61" s="486" t="s">
        <v>455</v>
      </c>
      <c r="D61" s="487" t="s">
        <v>456</v>
      </c>
      <c r="E61" s="486" t="s">
        <v>742</v>
      </c>
      <c r="F61" s="487" t="s">
        <v>743</v>
      </c>
      <c r="G61" s="486" t="s">
        <v>758</v>
      </c>
      <c r="H61" s="486" t="s">
        <v>759</v>
      </c>
      <c r="I61" s="489">
        <v>48000</v>
      </c>
      <c r="J61" s="489">
        <v>5</v>
      </c>
      <c r="K61" s="490">
        <v>240000</v>
      </c>
    </row>
    <row r="62" spans="1:11" ht="14.45" customHeight="1" x14ac:dyDescent="0.2">
      <c r="A62" s="484" t="s">
        <v>444</v>
      </c>
      <c r="B62" s="485" t="s">
        <v>445</v>
      </c>
      <c r="C62" s="486" t="s">
        <v>455</v>
      </c>
      <c r="D62" s="487" t="s">
        <v>456</v>
      </c>
      <c r="E62" s="486" t="s">
        <v>742</v>
      </c>
      <c r="F62" s="487" t="s">
        <v>743</v>
      </c>
      <c r="G62" s="486" t="s">
        <v>760</v>
      </c>
      <c r="H62" s="486" t="s">
        <v>761</v>
      </c>
      <c r="I62" s="489">
        <v>88777.703125</v>
      </c>
      <c r="J62" s="489">
        <v>1</v>
      </c>
      <c r="K62" s="490">
        <v>88777.703125</v>
      </c>
    </row>
    <row r="63" spans="1:11" ht="14.45" customHeight="1" x14ac:dyDescent="0.2">
      <c r="A63" s="484" t="s">
        <v>444</v>
      </c>
      <c r="B63" s="485" t="s">
        <v>445</v>
      </c>
      <c r="C63" s="486" t="s">
        <v>455</v>
      </c>
      <c r="D63" s="487" t="s">
        <v>456</v>
      </c>
      <c r="E63" s="486" t="s">
        <v>742</v>
      </c>
      <c r="F63" s="487" t="s">
        <v>743</v>
      </c>
      <c r="G63" s="486" t="s">
        <v>762</v>
      </c>
      <c r="H63" s="486" t="s">
        <v>763</v>
      </c>
      <c r="I63" s="489">
        <v>262.53808617203123</v>
      </c>
      <c r="J63" s="489">
        <v>5</v>
      </c>
      <c r="K63" s="490">
        <v>1312.6904308601561</v>
      </c>
    </row>
    <row r="64" spans="1:11" ht="14.45" customHeight="1" x14ac:dyDescent="0.2">
      <c r="A64" s="484" t="s">
        <v>444</v>
      </c>
      <c r="B64" s="485" t="s">
        <v>445</v>
      </c>
      <c r="C64" s="486" t="s">
        <v>455</v>
      </c>
      <c r="D64" s="487" t="s">
        <v>456</v>
      </c>
      <c r="E64" s="486" t="s">
        <v>742</v>
      </c>
      <c r="F64" s="487" t="s">
        <v>743</v>
      </c>
      <c r="G64" s="486" t="s">
        <v>764</v>
      </c>
      <c r="H64" s="486" t="s">
        <v>765</v>
      </c>
      <c r="I64" s="489">
        <v>3445</v>
      </c>
      <c r="J64" s="489">
        <v>1</v>
      </c>
      <c r="K64" s="490">
        <v>3445</v>
      </c>
    </row>
    <row r="65" spans="1:11" ht="14.45" customHeight="1" x14ac:dyDescent="0.2">
      <c r="A65" s="484" t="s">
        <v>444</v>
      </c>
      <c r="B65" s="485" t="s">
        <v>445</v>
      </c>
      <c r="C65" s="486" t="s">
        <v>455</v>
      </c>
      <c r="D65" s="487" t="s">
        <v>456</v>
      </c>
      <c r="E65" s="486" t="s">
        <v>742</v>
      </c>
      <c r="F65" s="487" t="s">
        <v>743</v>
      </c>
      <c r="G65" s="486" t="s">
        <v>766</v>
      </c>
      <c r="H65" s="486" t="s">
        <v>767</v>
      </c>
      <c r="I65" s="489">
        <v>922.96695908256197</v>
      </c>
      <c r="J65" s="489">
        <v>22</v>
      </c>
      <c r="K65" s="490">
        <v>19719.370063781738</v>
      </c>
    </row>
    <row r="66" spans="1:11" ht="14.45" customHeight="1" x14ac:dyDescent="0.2">
      <c r="A66" s="484" t="s">
        <v>444</v>
      </c>
      <c r="B66" s="485" t="s">
        <v>445</v>
      </c>
      <c r="C66" s="486" t="s">
        <v>455</v>
      </c>
      <c r="D66" s="487" t="s">
        <v>456</v>
      </c>
      <c r="E66" s="486" t="s">
        <v>742</v>
      </c>
      <c r="F66" s="487" t="s">
        <v>743</v>
      </c>
      <c r="G66" s="486" t="s">
        <v>768</v>
      </c>
      <c r="H66" s="486" t="s">
        <v>769</v>
      </c>
      <c r="I66" s="489">
        <v>477.9911126030816</v>
      </c>
      <c r="J66" s="489">
        <v>9</v>
      </c>
      <c r="K66" s="490">
        <v>4301.9200134277344</v>
      </c>
    </row>
    <row r="67" spans="1:11" ht="14.45" customHeight="1" x14ac:dyDescent="0.2">
      <c r="A67" s="484" t="s">
        <v>444</v>
      </c>
      <c r="B67" s="485" t="s">
        <v>445</v>
      </c>
      <c r="C67" s="486" t="s">
        <v>455</v>
      </c>
      <c r="D67" s="487" t="s">
        <v>456</v>
      </c>
      <c r="E67" s="486" t="s">
        <v>742</v>
      </c>
      <c r="F67" s="487" t="s">
        <v>743</v>
      </c>
      <c r="G67" s="486" t="s">
        <v>770</v>
      </c>
      <c r="H67" s="486" t="s">
        <v>771</v>
      </c>
      <c r="I67" s="489">
        <v>2243.340087890625</v>
      </c>
      <c r="J67" s="489">
        <v>1</v>
      </c>
      <c r="K67" s="490">
        <v>2243.340087890625</v>
      </c>
    </row>
    <row r="68" spans="1:11" ht="14.45" customHeight="1" x14ac:dyDescent="0.2">
      <c r="A68" s="484" t="s">
        <v>444</v>
      </c>
      <c r="B68" s="485" t="s">
        <v>445</v>
      </c>
      <c r="C68" s="486" t="s">
        <v>455</v>
      </c>
      <c r="D68" s="487" t="s">
        <v>456</v>
      </c>
      <c r="E68" s="486" t="s">
        <v>742</v>
      </c>
      <c r="F68" s="487" t="s">
        <v>743</v>
      </c>
      <c r="G68" s="486" t="s">
        <v>772</v>
      </c>
      <c r="H68" s="486" t="s">
        <v>773</v>
      </c>
      <c r="I68" s="489">
        <v>2852</v>
      </c>
      <c r="J68" s="489">
        <v>1</v>
      </c>
      <c r="K68" s="490">
        <v>2852</v>
      </c>
    </row>
    <row r="69" spans="1:11" ht="14.45" customHeight="1" x14ac:dyDescent="0.2">
      <c r="A69" s="484" t="s">
        <v>444</v>
      </c>
      <c r="B69" s="485" t="s">
        <v>445</v>
      </c>
      <c r="C69" s="486" t="s">
        <v>455</v>
      </c>
      <c r="D69" s="487" t="s">
        <v>456</v>
      </c>
      <c r="E69" s="486" t="s">
        <v>742</v>
      </c>
      <c r="F69" s="487" t="s">
        <v>743</v>
      </c>
      <c r="G69" s="486" t="s">
        <v>774</v>
      </c>
      <c r="H69" s="486" t="s">
        <v>775</v>
      </c>
      <c r="I69" s="489">
        <v>1242.0450439453125</v>
      </c>
      <c r="J69" s="489">
        <v>2</v>
      </c>
      <c r="K69" s="490">
        <v>2484.090087890625</v>
      </c>
    </row>
    <row r="70" spans="1:11" ht="14.45" customHeight="1" x14ac:dyDescent="0.2">
      <c r="A70" s="484" t="s">
        <v>444</v>
      </c>
      <c r="B70" s="485" t="s">
        <v>445</v>
      </c>
      <c r="C70" s="486" t="s">
        <v>455</v>
      </c>
      <c r="D70" s="487" t="s">
        <v>456</v>
      </c>
      <c r="E70" s="486" t="s">
        <v>742</v>
      </c>
      <c r="F70" s="487" t="s">
        <v>743</v>
      </c>
      <c r="G70" s="486" t="s">
        <v>776</v>
      </c>
      <c r="H70" s="486" t="s">
        <v>777</v>
      </c>
      <c r="I70" s="489">
        <v>2420</v>
      </c>
      <c r="J70" s="489">
        <v>2</v>
      </c>
      <c r="K70" s="490">
        <v>4840</v>
      </c>
    </row>
    <row r="71" spans="1:11" ht="14.45" customHeight="1" x14ac:dyDescent="0.2">
      <c r="A71" s="484" t="s">
        <v>444</v>
      </c>
      <c r="B71" s="485" t="s">
        <v>445</v>
      </c>
      <c r="C71" s="486" t="s">
        <v>455</v>
      </c>
      <c r="D71" s="487" t="s">
        <v>456</v>
      </c>
      <c r="E71" s="486" t="s">
        <v>742</v>
      </c>
      <c r="F71" s="487" t="s">
        <v>743</v>
      </c>
      <c r="G71" s="486" t="s">
        <v>778</v>
      </c>
      <c r="H71" s="486" t="s">
        <v>779</v>
      </c>
      <c r="I71" s="489">
        <v>15169.76953125</v>
      </c>
      <c r="J71" s="489">
        <v>2</v>
      </c>
      <c r="K71" s="490">
        <v>30339.5390625</v>
      </c>
    </row>
    <row r="72" spans="1:11" ht="14.45" customHeight="1" x14ac:dyDescent="0.2">
      <c r="A72" s="484" t="s">
        <v>444</v>
      </c>
      <c r="B72" s="485" t="s">
        <v>445</v>
      </c>
      <c r="C72" s="486" t="s">
        <v>455</v>
      </c>
      <c r="D72" s="487" t="s">
        <v>456</v>
      </c>
      <c r="E72" s="486" t="s">
        <v>742</v>
      </c>
      <c r="F72" s="487" t="s">
        <v>743</v>
      </c>
      <c r="G72" s="486" t="s">
        <v>780</v>
      </c>
      <c r="H72" s="486" t="s">
        <v>781</v>
      </c>
      <c r="I72" s="489">
        <v>563.82000732421875</v>
      </c>
      <c r="J72" s="489">
        <v>1</v>
      </c>
      <c r="K72" s="490">
        <v>563.82000732421875</v>
      </c>
    </row>
    <row r="73" spans="1:11" ht="14.45" customHeight="1" x14ac:dyDescent="0.2">
      <c r="A73" s="484" t="s">
        <v>444</v>
      </c>
      <c r="B73" s="485" t="s">
        <v>445</v>
      </c>
      <c r="C73" s="486" t="s">
        <v>455</v>
      </c>
      <c r="D73" s="487" t="s">
        <v>456</v>
      </c>
      <c r="E73" s="486" t="s">
        <v>742</v>
      </c>
      <c r="F73" s="487" t="s">
        <v>743</v>
      </c>
      <c r="G73" s="486" t="s">
        <v>782</v>
      </c>
      <c r="H73" s="486" t="s">
        <v>783</v>
      </c>
      <c r="I73" s="489">
        <v>319.93000793457031</v>
      </c>
      <c r="J73" s="489">
        <v>2</v>
      </c>
      <c r="K73" s="490">
        <v>639.86001586914063</v>
      </c>
    </row>
    <row r="74" spans="1:11" ht="14.45" customHeight="1" x14ac:dyDescent="0.2">
      <c r="A74" s="484" t="s">
        <v>444</v>
      </c>
      <c r="B74" s="485" t="s">
        <v>445</v>
      </c>
      <c r="C74" s="486" t="s">
        <v>455</v>
      </c>
      <c r="D74" s="487" t="s">
        <v>456</v>
      </c>
      <c r="E74" s="486" t="s">
        <v>742</v>
      </c>
      <c r="F74" s="487" t="s">
        <v>743</v>
      </c>
      <c r="G74" s="486" t="s">
        <v>784</v>
      </c>
      <c r="H74" s="486" t="s">
        <v>785</v>
      </c>
      <c r="I74" s="489">
        <v>219.33387056942297</v>
      </c>
      <c r="J74" s="489">
        <v>1</v>
      </c>
      <c r="K74" s="490">
        <v>219.33387056942297</v>
      </c>
    </row>
    <row r="75" spans="1:11" ht="14.45" customHeight="1" x14ac:dyDescent="0.2">
      <c r="A75" s="484" t="s">
        <v>444</v>
      </c>
      <c r="B75" s="485" t="s">
        <v>445</v>
      </c>
      <c r="C75" s="486" t="s">
        <v>455</v>
      </c>
      <c r="D75" s="487" t="s">
        <v>456</v>
      </c>
      <c r="E75" s="486" t="s">
        <v>742</v>
      </c>
      <c r="F75" s="487" t="s">
        <v>743</v>
      </c>
      <c r="G75" s="486" t="s">
        <v>786</v>
      </c>
      <c r="H75" s="486" t="s">
        <v>787</v>
      </c>
      <c r="I75" s="489">
        <v>3819.6666666666665</v>
      </c>
      <c r="J75" s="489">
        <v>6</v>
      </c>
      <c r="K75" s="490">
        <v>22918</v>
      </c>
    </row>
    <row r="76" spans="1:11" ht="14.45" customHeight="1" x14ac:dyDescent="0.2">
      <c r="A76" s="484" t="s">
        <v>444</v>
      </c>
      <c r="B76" s="485" t="s">
        <v>445</v>
      </c>
      <c r="C76" s="486" t="s">
        <v>455</v>
      </c>
      <c r="D76" s="487" t="s">
        <v>456</v>
      </c>
      <c r="E76" s="486" t="s">
        <v>742</v>
      </c>
      <c r="F76" s="487" t="s">
        <v>743</v>
      </c>
      <c r="G76" s="486" t="s">
        <v>788</v>
      </c>
      <c r="H76" s="486" t="s">
        <v>789</v>
      </c>
      <c r="I76" s="489">
        <v>44770</v>
      </c>
      <c r="J76" s="489">
        <v>1</v>
      </c>
      <c r="K76" s="490">
        <v>44770</v>
      </c>
    </row>
    <row r="77" spans="1:11" ht="14.45" customHeight="1" x14ac:dyDescent="0.2">
      <c r="A77" s="484" t="s">
        <v>444</v>
      </c>
      <c r="B77" s="485" t="s">
        <v>445</v>
      </c>
      <c r="C77" s="486" t="s">
        <v>455</v>
      </c>
      <c r="D77" s="487" t="s">
        <v>456</v>
      </c>
      <c r="E77" s="486" t="s">
        <v>742</v>
      </c>
      <c r="F77" s="487" t="s">
        <v>743</v>
      </c>
      <c r="G77" s="486" t="s">
        <v>790</v>
      </c>
      <c r="H77" s="486" t="s">
        <v>791</v>
      </c>
      <c r="I77" s="489">
        <v>106994.25</v>
      </c>
      <c r="J77" s="489">
        <v>1</v>
      </c>
      <c r="K77" s="490">
        <v>106994.25</v>
      </c>
    </row>
    <row r="78" spans="1:11" ht="14.45" customHeight="1" x14ac:dyDescent="0.2">
      <c r="A78" s="484" t="s">
        <v>444</v>
      </c>
      <c r="B78" s="485" t="s">
        <v>445</v>
      </c>
      <c r="C78" s="486" t="s">
        <v>455</v>
      </c>
      <c r="D78" s="487" t="s">
        <v>456</v>
      </c>
      <c r="E78" s="486" t="s">
        <v>742</v>
      </c>
      <c r="F78" s="487" t="s">
        <v>743</v>
      </c>
      <c r="G78" s="486" t="s">
        <v>792</v>
      </c>
      <c r="H78" s="486" t="s">
        <v>793</v>
      </c>
      <c r="I78" s="489">
        <v>128.03999328613281</v>
      </c>
      <c r="J78" s="489">
        <v>1</v>
      </c>
      <c r="K78" s="490">
        <v>128.03999328613281</v>
      </c>
    </row>
    <row r="79" spans="1:11" ht="14.45" customHeight="1" x14ac:dyDescent="0.2">
      <c r="A79" s="484" t="s">
        <v>444</v>
      </c>
      <c r="B79" s="485" t="s">
        <v>445</v>
      </c>
      <c r="C79" s="486" t="s">
        <v>455</v>
      </c>
      <c r="D79" s="487" t="s">
        <v>456</v>
      </c>
      <c r="E79" s="486" t="s">
        <v>742</v>
      </c>
      <c r="F79" s="487" t="s">
        <v>743</v>
      </c>
      <c r="G79" s="486" t="s">
        <v>794</v>
      </c>
      <c r="H79" s="486" t="s">
        <v>795</v>
      </c>
      <c r="I79" s="489">
        <v>107525.4375</v>
      </c>
      <c r="J79" s="489">
        <v>2</v>
      </c>
      <c r="K79" s="490">
        <v>215050.875</v>
      </c>
    </row>
    <row r="80" spans="1:11" ht="14.45" customHeight="1" x14ac:dyDescent="0.2">
      <c r="A80" s="484" t="s">
        <v>444</v>
      </c>
      <c r="B80" s="485" t="s">
        <v>445</v>
      </c>
      <c r="C80" s="486" t="s">
        <v>455</v>
      </c>
      <c r="D80" s="487" t="s">
        <v>456</v>
      </c>
      <c r="E80" s="486" t="s">
        <v>742</v>
      </c>
      <c r="F80" s="487" t="s">
        <v>743</v>
      </c>
      <c r="G80" s="486" t="s">
        <v>796</v>
      </c>
      <c r="H80" s="486" t="s">
        <v>797</v>
      </c>
      <c r="I80" s="489">
        <v>1892.43994140625</v>
      </c>
      <c r="J80" s="489">
        <v>5</v>
      </c>
      <c r="K80" s="490">
        <v>9462.2001953125</v>
      </c>
    </row>
    <row r="81" spans="1:11" ht="14.45" customHeight="1" x14ac:dyDescent="0.2">
      <c r="A81" s="484" t="s">
        <v>444</v>
      </c>
      <c r="B81" s="485" t="s">
        <v>445</v>
      </c>
      <c r="C81" s="486" t="s">
        <v>455</v>
      </c>
      <c r="D81" s="487" t="s">
        <v>456</v>
      </c>
      <c r="E81" s="486" t="s">
        <v>742</v>
      </c>
      <c r="F81" s="487" t="s">
        <v>743</v>
      </c>
      <c r="G81" s="486" t="s">
        <v>798</v>
      </c>
      <c r="H81" s="486" t="s">
        <v>799</v>
      </c>
      <c r="I81" s="489">
        <v>131.24000549316406</v>
      </c>
      <c r="J81" s="489">
        <v>4</v>
      </c>
      <c r="K81" s="490">
        <v>524.95001220703125</v>
      </c>
    </row>
    <row r="82" spans="1:11" ht="14.45" customHeight="1" x14ac:dyDescent="0.2">
      <c r="A82" s="484" t="s">
        <v>444</v>
      </c>
      <c r="B82" s="485" t="s">
        <v>445</v>
      </c>
      <c r="C82" s="486" t="s">
        <v>455</v>
      </c>
      <c r="D82" s="487" t="s">
        <v>456</v>
      </c>
      <c r="E82" s="486" t="s">
        <v>742</v>
      </c>
      <c r="F82" s="487" t="s">
        <v>743</v>
      </c>
      <c r="G82" s="486" t="s">
        <v>800</v>
      </c>
      <c r="H82" s="486" t="s">
        <v>801</v>
      </c>
      <c r="I82" s="489">
        <v>82.260002136230469</v>
      </c>
      <c r="J82" s="489">
        <v>2</v>
      </c>
      <c r="K82" s="490">
        <v>164.50999450683594</v>
      </c>
    </row>
    <row r="83" spans="1:11" ht="14.45" customHeight="1" x14ac:dyDescent="0.2">
      <c r="A83" s="484" t="s">
        <v>444</v>
      </c>
      <c r="B83" s="485" t="s">
        <v>445</v>
      </c>
      <c r="C83" s="486" t="s">
        <v>455</v>
      </c>
      <c r="D83" s="487" t="s">
        <v>456</v>
      </c>
      <c r="E83" s="486" t="s">
        <v>742</v>
      </c>
      <c r="F83" s="487" t="s">
        <v>743</v>
      </c>
      <c r="G83" s="486" t="s">
        <v>802</v>
      </c>
      <c r="H83" s="486" t="s">
        <v>803</v>
      </c>
      <c r="I83" s="489">
        <v>84.580001831054688</v>
      </c>
      <c r="J83" s="489">
        <v>20</v>
      </c>
      <c r="K83" s="490">
        <v>1691.5599975585938</v>
      </c>
    </row>
    <row r="84" spans="1:11" ht="14.45" customHeight="1" x14ac:dyDescent="0.2">
      <c r="A84" s="484" t="s">
        <v>444</v>
      </c>
      <c r="B84" s="485" t="s">
        <v>445</v>
      </c>
      <c r="C84" s="486" t="s">
        <v>455</v>
      </c>
      <c r="D84" s="487" t="s">
        <v>456</v>
      </c>
      <c r="E84" s="486" t="s">
        <v>742</v>
      </c>
      <c r="F84" s="487" t="s">
        <v>743</v>
      </c>
      <c r="G84" s="486" t="s">
        <v>804</v>
      </c>
      <c r="H84" s="486" t="s">
        <v>805</v>
      </c>
      <c r="I84" s="489">
        <v>30398.5</v>
      </c>
      <c r="J84" s="489">
        <v>6</v>
      </c>
      <c r="K84" s="490">
        <v>182391</v>
      </c>
    </row>
    <row r="85" spans="1:11" ht="14.45" customHeight="1" x14ac:dyDescent="0.2">
      <c r="A85" s="484" t="s">
        <v>444</v>
      </c>
      <c r="B85" s="485" t="s">
        <v>445</v>
      </c>
      <c r="C85" s="486" t="s">
        <v>455</v>
      </c>
      <c r="D85" s="487" t="s">
        <v>456</v>
      </c>
      <c r="E85" s="486" t="s">
        <v>742</v>
      </c>
      <c r="F85" s="487" t="s">
        <v>743</v>
      </c>
      <c r="G85" s="486" t="s">
        <v>806</v>
      </c>
      <c r="H85" s="486" t="s">
        <v>807</v>
      </c>
      <c r="I85" s="489">
        <v>233.57318996611215</v>
      </c>
      <c r="J85" s="489">
        <v>4</v>
      </c>
      <c r="K85" s="490">
        <v>934.29275986444861</v>
      </c>
    </row>
    <row r="86" spans="1:11" ht="14.45" customHeight="1" x14ac:dyDescent="0.2">
      <c r="A86" s="484" t="s">
        <v>444</v>
      </c>
      <c r="B86" s="485" t="s">
        <v>445</v>
      </c>
      <c r="C86" s="486" t="s">
        <v>455</v>
      </c>
      <c r="D86" s="487" t="s">
        <v>456</v>
      </c>
      <c r="E86" s="486" t="s">
        <v>742</v>
      </c>
      <c r="F86" s="487" t="s">
        <v>743</v>
      </c>
      <c r="G86" s="486" t="s">
        <v>808</v>
      </c>
      <c r="H86" s="486" t="s">
        <v>809</v>
      </c>
      <c r="I86" s="489">
        <v>1827.010009765625</v>
      </c>
      <c r="J86" s="489">
        <v>1</v>
      </c>
      <c r="K86" s="490">
        <v>1827.010009765625</v>
      </c>
    </row>
    <row r="87" spans="1:11" ht="14.45" customHeight="1" x14ac:dyDescent="0.2">
      <c r="A87" s="484" t="s">
        <v>444</v>
      </c>
      <c r="B87" s="485" t="s">
        <v>445</v>
      </c>
      <c r="C87" s="486" t="s">
        <v>455</v>
      </c>
      <c r="D87" s="487" t="s">
        <v>456</v>
      </c>
      <c r="E87" s="486" t="s">
        <v>742</v>
      </c>
      <c r="F87" s="487" t="s">
        <v>743</v>
      </c>
      <c r="G87" s="486" t="s">
        <v>810</v>
      </c>
      <c r="H87" s="486" t="s">
        <v>811</v>
      </c>
      <c r="I87" s="489">
        <v>1276.550048828125</v>
      </c>
      <c r="J87" s="489">
        <v>14</v>
      </c>
      <c r="K87" s="490">
        <v>17871.7001953125</v>
      </c>
    </row>
    <row r="88" spans="1:11" ht="14.45" customHeight="1" x14ac:dyDescent="0.2">
      <c r="A88" s="484" t="s">
        <v>444</v>
      </c>
      <c r="B88" s="485" t="s">
        <v>445</v>
      </c>
      <c r="C88" s="486" t="s">
        <v>455</v>
      </c>
      <c r="D88" s="487" t="s">
        <v>456</v>
      </c>
      <c r="E88" s="486" t="s">
        <v>742</v>
      </c>
      <c r="F88" s="487" t="s">
        <v>743</v>
      </c>
      <c r="G88" s="486" t="s">
        <v>812</v>
      </c>
      <c r="H88" s="486" t="s">
        <v>813</v>
      </c>
      <c r="I88" s="489">
        <v>2891.89990234375</v>
      </c>
      <c r="J88" s="489">
        <v>1</v>
      </c>
      <c r="K88" s="490">
        <v>2891.89990234375</v>
      </c>
    </row>
    <row r="89" spans="1:11" ht="14.45" customHeight="1" x14ac:dyDescent="0.2">
      <c r="A89" s="484" t="s">
        <v>444</v>
      </c>
      <c r="B89" s="485" t="s">
        <v>445</v>
      </c>
      <c r="C89" s="486" t="s">
        <v>455</v>
      </c>
      <c r="D89" s="487" t="s">
        <v>456</v>
      </c>
      <c r="E89" s="486" t="s">
        <v>742</v>
      </c>
      <c r="F89" s="487" t="s">
        <v>743</v>
      </c>
      <c r="G89" s="486" t="s">
        <v>814</v>
      </c>
      <c r="H89" s="486" t="s">
        <v>815</v>
      </c>
      <c r="I89" s="489">
        <v>21029.80078125</v>
      </c>
      <c r="J89" s="489">
        <v>1</v>
      </c>
      <c r="K89" s="490">
        <v>21029.80078125</v>
      </c>
    </row>
    <row r="90" spans="1:11" ht="14.45" customHeight="1" x14ac:dyDescent="0.2">
      <c r="A90" s="484" t="s">
        <v>444</v>
      </c>
      <c r="B90" s="485" t="s">
        <v>445</v>
      </c>
      <c r="C90" s="486" t="s">
        <v>455</v>
      </c>
      <c r="D90" s="487" t="s">
        <v>456</v>
      </c>
      <c r="E90" s="486" t="s">
        <v>742</v>
      </c>
      <c r="F90" s="487" t="s">
        <v>743</v>
      </c>
      <c r="G90" s="486" t="s">
        <v>816</v>
      </c>
      <c r="H90" s="486" t="s">
        <v>817</v>
      </c>
      <c r="I90" s="489">
        <v>34836.71484375</v>
      </c>
      <c r="J90" s="489">
        <v>2</v>
      </c>
      <c r="K90" s="490">
        <v>69673.4296875</v>
      </c>
    </row>
    <row r="91" spans="1:11" ht="14.45" customHeight="1" x14ac:dyDescent="0.2">
      <c r="A91" s="484" t="s">
        <v>444</v>
      </c>
      <c r="B91" s="485" t="s">
        <v>445</v>
      </c>
      <c r="C91" s="486" t="s">
        <v>455</v>
      </c>
      <c r="D91" s="487" t="s">
        <v>456</v>
      </c>
      <c r="E91" s="486" t="s">
        <v>742</v>
      </c>
      <c r="F91" s="487" t="s">
        <v>743</v>
      </c>
      <c r="G91" s="486" t="s">
        <v>818</v>
      </c>
      <c r="H91" s="486" t="s">
        <v>819</v>
      </c>
      <c r="I91" s="489">
        <v>338.36559688086737</v>
      </c>
      <c r="J91" s="489">
        <v>18</v>
      </c>
      <c r="K91" s="490">
        <v>6090.5398517837866</v>
      </c>
    </row>
    <row r="92" spans="1:11" ht="14.45" customHeight="1" x14ac:dyDescent="0.2">
      <c r="A92" s="484" t="s">
        <v>444</v>
      </c>
      <c r="B92" s="485" t="s">
        <v>445</v>
      </c>
      <c r="C92" s="486" t="s">
        <v>455</v>
      </c>
      <c r="D92" s="487" t="s">
        <v>456</v>
      </c>
      <c r="E92" s="486" t="s">
        <v>742</v>
      </c>
      <c r="F92" s="487" t="s">
        <v>743</v>
      </c>
      <c r="G92" s="486" t="s">
        <v>820</v>
      </c>
      <c r="H92" s="486" t="s">
        <v>821</v>
      </c>
      <c r="I92" s="489">
        <v>268.09092178344724</v>
      </c>
      <c r="J92" s="489">
        <v>146</v>
      </c>
      <c r="K92" s="490">
        <v>34533.900329589844</v>
      </c>
    </row>
    <row r="93" spans="1:11" ht="14.45" customHeight="1" x14ac:dyDescent="0.2">
      <c r="A93" s="484" t="s">
        <v>444</v>
      </c>
      <c r="B93" s="485" t="s">
        <v>445</v>
      </c>
      <c r="C93" s="486" t="s">
        <v>455</v>
      </c>
      <c r="D93" s="487" t="s">
        <v>456</v>
      </c>
      <c r="E93" s="486" t="s">
        <v>742</v>
      </c>
      <c r="F93" s="487" t="s">
        <v>743</v>
      </c>
      <c r="G93" s="486" t="s">
        <v>822</v>
      </c>
      <c r="H93" s="486" t="s">
        <v>823</v>
      </c>
      <c r="I93" s="489">
        <v>15553.5</v>
      </c>
      <c r="J93" s="489">
        <v>2</v>
      </c>
      <c r="K93" s="490">
        <v>31107</v>
      </c>
    </row>
    <row r="94" spans="1:11" ht="14.45" customHeight="1" x14ac:dyDescent="0.2">
      <c r="A94" s="484" t="s">
        <v>444</v>
      </c>
      <c r="B94" s="485" t="s">
        <v>445</v>
      </c>
      <c r="C94" s="486" t="s">
        <v>455</v>
      </c>
      <c r="D94" s="487" t="s">
        <v>456</v>
      </c>
      <c r="E94" s="486" t="s">
        <v>742</v>
      </c>
      <c r="F94" s="487" t="s">
        <v>743</v>
      </c>
      <c r="G94" s="486" t="s">
        <v>822</v>
      </c>
      <c r="H94" s="486" t="s">
        <v>824</v>
      </c>
      <c r="I94" s="489">
        <v>15554</v>
      </c>
      <c r="J94" s="489">
        <v>1</v>
      </c>
      <c r="K94" s="490">
        <v>15554</v>
      </c>
    </row>
    <row r="95" spans="1:11" ht="14.45" customHeight="1" x14ac:dyDescent="0.2">
      <c r="A95" s="484" t="s">
        <v>444</v>
      </c>
      <c r="B95" s="485" t="s">
        <v>445</v>
      </c>
      <c r="C95" s="486" t="s">
        <v>455</v>
      </c>
      <c r="D95" s="487" t="s">
        <v>456</v>
      </c>
      <c r="E95" s="486" t="s">
        <v>742</v>
      </c>
      <c r="F95" s="487" t="s">
        <v>743</v>
      </c>
      <c r="G95" s="486" t="s">
        <v>825</v>
      </c>
      <c r="H95" s="486" t="s">
        <v>826</v>
      </c>
      <c r="I95" s="489">
        <v>800.45821218352739</v>
      </c>
      <c r="J95" s="489">
        <v>2</v>
      </c>
      <c r="K95" s="490">
        <v>1600.9164243670548</v>
      </c>
    </row>
    <row r="96" spans="1:11" ht="14.45" customHeight="1" x14ac:dyDescent="0.2">
      <c r="A96" s="484" t="s">
        <v>444</v>
      </c>
      <c r="B96" s="485" t="s">
        <v>445</v>
      </c>
      <c r="C96" s="486" t="s">
        <v>455</v>
      </c>
      <c r="D96" s="487" t="s">
        <v>456</v>
      </c>
      <c r="E96" s="486" t="s">
        <v>742</v>
      </c>
      <c r="F96" s="487" t="s">
        <v>743</v>
      </c>
      <c r="G96" s="486" t="s">
        <v>827</v>
      </c>
      <c r="H96" s="486" t="s">
        <v>828</v>
      </c>
      <c r="I96" s="489">
        <v>357.61362395786864</v>
      </c>
      <c r="J96" s="489">
        <v>9</v>
      </c>
      <c r="K96" s="490">
        <v>3218.5226156208178</v>
      </c>
    </row>
    <row r="97" spans="1:11" ht="14.45" customHeight="1" x14ac:dyDescent="0.2">
      <c r="A97" s="484" t="s">
        <v>444</v>
      </c>
      <c r="B97" s="485" t="s">
        <v>445</v>
      </c>
      <c r="C97" s="486" t="s">
        <v>455</v>
      </c>
      <c r="D97" s="487" t="s">
        <v>456</v>
      </c>
      <c r="E97" s="486" t="s">
        <v>742</v>
      </c>
      <c r="F97" s="487" t="s">
        <v>743</v>
      </c>
      <c r="G97" s="486" t="s">
        <v>829</v>
      </c>
      <c r="H97" s="486" t="s">
        <v>830</v>
      </c>
      <c r="I97" s="489">
        <v>211.413330078125</v>
      </c>
      <c r="J97" s="489">
        <v>15</v>
      </c>
      <c r="K97" s="490">
        <v>3171.1800537109375</v>
      </c>
    </row>
    <row r="98" spans="1:11" ht="14.45" customHeight="1" x14ac:dyDescent="0.2">
      <c r="A98" s="484" t="s">
        <v>444</v>
      </c>
      <c r="B98" s="485" t="s">
        <v>445</v>
      </c>
      <c r="C98" s="486" t="s">
        <v>455</v>
      </c>
      <c r="D98" s="487" t="s">
        <v>456</v>
      </c>
      <c r="E98" s="486" t="s">
        <v>742</v>
      </c>
      <c r="F98" s="487" t="s">
        <v>743</v>
      </c>
      <c r="G98" s="486" t="s">
        <v>831</v>
      </c>
      <c r="H98" s="486" t="s">
        <v>832</v>
      </c>
      <c r="I98" s="489">
        <v>3489.14990234375</v>
      </c>
      <c r="J98" s="489">
        <v>1</v>
      </c>
      <c r="K98" s="490">
        <v>3489.14990234375</v>
      </c>
    </row>
    <row r="99" spans="1:11" ht="14.45" customHeight="1" x14ac:dyDescent="0.2">
      <c r="A99" s="484" t="s">
        <v>444</v>
      </c>
      <c r="B99" s="485" t="s">
        <v>445</v>
      </c>
      <c r="C99" s="486" t="s">
        <v>455</v>
      </c>
      <c r="D99" s="487" t="s">
        <v>456</v>
      </c>
      <c r="E99" s="486" t="s">
        <v>742</v>
      </c>
      <c r="F99" s="487" t="s">
        <v>743</v>
      </c>
      <c r="G99" s="486" t="s">
        <v>833</v>
      </c>
      <c r="H99" s="486" t="s">
        <v>834</v>
      </c>
      <c r="I99" s="489">
        <v>7332.7099609375</v>
      </c>
      <c r="J99" s="489">
        <v>1</v>
      </c>
      <c r="K99" s="490">
        <v>7332.7099609375</v>
      </c>
    </row>
    <row r="100" spans="1:11" ht="14.45" customHeight="1" x14ac:dyDescent="0.2">
      <c r="A100" s="484" t="s">
        <v>444</v>
      </c>
      <c r="B100" s="485" t="s">
        <v>445</v>
      </c>
      <c r="C100" s="486" t="s">
        <v>455</v>
      </c>
      <c r="D100" s="487" t="s">
        <v>456</v>
      </c>
      <c r="E100" s="486" t="s">
        <v>742</v>
      </c>
      <c r="F100" s="487" t="s">
        <v>743</v>
      </c>
      <c r="G100" s="486" t="s">
        <v>835</v>
      </c>
      <c r="H100" s="486" t="s">
        <v>836</v>
      </c>
      <c r="I100" s="489">
        <v>43130.939453125</v>
      </c>
      <c r="J100" s="489">
        <v>2</v>
      </c>
      <c r="K100" s="490">
        <v>86261.87890625</v>
      </c>
    </row>
    <row r="101" spans="1:11" ht="14.45" customHeight="1" x14ac:dyDescent="0.2">
      <c r="A101" s="484" t="s">
        <v>444</v>
      </c>
      <c r="B101" s="485" t="s">
        <v>445</v>
      </c>
      <c r="C101" s="486" t="s">
        <v>455</v>
      </c>
      <c r="D101" s="487" t="s">
        <v>456</v>
      </c>
      <c r="E101" s="486" t="s">
        <v>742</v>
      </c>
      <c r="F101" s="487" t="s">
        <v>743</v>
      </c>
      <c r="G101" s="486" t="s">
        <v>837</v>
      </c>
      <c r="H101" s="486" t="s">
        <v>838</v>
      </c>
      <c r="I101" s="489">
        <v>15089.6103515625</v>
      </c>
      <c r="J101" s="489">
        <v>1</v>
      </c>
      <c r="K101" s="490">
        <v>15089.6103515625</v>
      </c>
    </row>
    <row r="102" spans="1:11" ht="14.45" customHeight="1" x14ac:dyDescent="0.2">
      <c r="A102" s="484" t="s">
        <v>444</v>
      </c>
      <c r="B102" s="485" t="s">
        <v>445</v>
      </c>
      <c r="C102" s="486" t="s">
        <v>455</v>
      </c>
      <c r="D102" s="487" t="s">
        <v>456</v>
      </c>
      <c r="E102" s="486" t="s">
        <v>742</v>
      </c>
      <c r="F102" s="487" t="s">
        <v>743</v>
      </c>
      <c r="G102" s="486" t="s">
        <v>839</v>
      </c>
      <c r="H102" s="486" t="s">
        <v>840</v>
      </c>
      <c r="I102" s="489">
        <v>15023.3900390625</v>
      </c>
      <c r="J102" s="489">
        <v>5</v>
      </c>
      <c r="K102" s="490">
        <v>75116.9501953125</v>
      </c>
    </row>
    <row r="103" spans="1:11" ht="14.45" customHeight="1" x14ac:dyDescent="0.2">
      <c r="A103" s="484" t="s">
        <v>444</v>
      </c>
      <c r="B103" s="485" t="s">
        <v>445</v>
      </c>
      <c r="C103" s="486" t="s">
        <v>455</v>
      </c>
      <c r="D103" s="487" t="s">
        <v>456</v>
      </c>
      <c r="E103" s="486" t="s">
        <v>742</v>
      </c>
      <c r="F103" s="487" t="s">
        <v>743</v>
      </c>
      <c r="G103" s="486" t="s">
        <v>841</v>
      </c>
      <c r="H103" s="486" t="s">
        <v>842</v>
      </c>
      <c r="I103" s="489">
        <v>7538.93017578125</v>
      </c>
      <c r="J103" s="489">
        <v>1</v>
      </c>
      <c r="K103" s="490">
        <v>7538.93017578125</v>
      </c>
    </row>
    <row r="104" spans="1:11" ht="14.45" customHeight="1" x14ac:dyDescent="0.2">
      <c r="A104" s="484" t="s">
        <v>444</v>
      </c>
      <c r="B104" s="485" t="s">
        <v>445</v>
      </c>
      <c r="C104" s="486" t="s">
        <v>455</v>
      </c>
      <c r="D104" s="487" t="s">
        <v>456</v>
      </c>
      <c r="E104" s="486" t="s">
        <v>742</v>
      </c>
      <c r="F104" s="487" t="s">
        <v>743</v>
      </c>
      <c r="G104" s="486" t="s">
        <v>843</v>
      </c>
      <c r="H104" s="486" t="s">
        <v>844</v>
      </c>
      <c r="I104" s="489">
        <v>7538.93017578125</v>
      </c>
      <c r="J104" s="489">
        <v>1</v>
      </c>
      <c r="K104" s="490">
        <v>7538.93017578125</v>
      </c>
    </row>
    <row r="105" spans="1:11" ht="14.45" customHeight="1" x14ac:dyDescent="0.2">
      <c r="A105" s="484" t="s">
        <v>444</v>
      </c>
      <c r="B105" s="485" t="s">
        <v>445</v>
      </c>
      <c r="C105" s="486" t="s">
        <v>455</v>
      </c>
      <c r="D105" s="487" t="s">
        <v>456</v>
      </c>
      <c r="E105" s="486" t="s">
        <v>742</v>
      </c>
      <c r="F105" s="487" t="s">
        <v>743</v>
      </c>
      <c r="G105" s="486" t="s">
        <v>845</v>
      </c>
      <c r="H105" s="486" t="s">
        <v>846</v>
      </c>
      <c r="I105" s="489">
        <v>29330.830078125</v>
      </c>
      <c r="J105" s="489">
        <v>1</v>
      </c>
      <c r="K105" s="490">
        <v>29330.830078125</v>
      </c>
    </row>
    <row r="106" spans="1:11" ht="14.45" customHeight="1" x14ac:dyDescent="0.2">
      <c r="A106" s="484" t="s">
        <v>444</v>
      </c>
      <c r="B106" s="485" t="s">
        <v>445</v>
      </c>
      <c r="C106" s="486" t="s">
        <v>455</v>
      </c>
      <c r="D106" s="487" t="s">
        <v>456</v>
      </c>
      <c r="E106" s="486" t="s">
        <v>742</v>
      </c>
      <c r="F106" s="487" t="s">
        <v>743</v>
      </c>
      <c r="G106" s="486" t="s">
        <v>847</v>
      </c>
      <c r="H106" s="486" t="s">
        <v>848</v>
      </c>
      <c r="I106" s="489">
        <v>15127.83984375</v>
      </c>
      <c r="J106" s="489">
        <v>1</v>
      </c>
      <c r="K106" s="490">
        <v>15127.83984375</v>
      </c>
    </row>
    <row r="107" spans="1:11" ht="14.45" customHeight="1" x14ac:dyDescent="0.2">
      <c r="A107" s="484" t="s">
        <v>444</v>
      </c>
      <c r="B107" s="485" t="s">
        <v>445</v>
      </c>
      <c r="C107" s="486" t="s">
        <v>455</v>
      </c>
      <c r="D107" s="487" t="s">
        <v>456</v>
      </c>
      <c r="E107" s="486" t="s">
        <v>742</v>
      </c>
      <c r="F107" s="487" t="s">
        <v>743</v>
      </c>
      <c r="G107" s="486" t="s">
        <v>849</v>
      </c>
      <c r="H107" s="486" t="s">
        <v>850</v>
      </c>
      <c r="I107" s="489">
        <v>13938.2099609375</v>
      </c>
      <c r="J107" s="489">
        <v>1</v>
      </c>
      <c r="K107" s="490">
        <v>13938.2099609375</v>
      </c>
    </row>
    <row r="108" spans="1:11" ht="14.45" customHeight="1" x14ac:dyDescent="0.2">
      <c r="A108" s="484" t="s">
        <v>444</v>
      </c>
      <c r="B108" s="485" t="s">
        <v>445</v>
      </c>
      <c r="C108" s="486" t="s">
        <v>455</v>
      </c>
      <c r="D108" s="487" t="s">
        <v>456</v>
      </c>
      <c r="E108" s="486" t="s">
        <v>742</v>
      </c>
      <c r="F108" s="487" t="s">
        <v>743</v>
      </c>
      <c r="G108" s="486" t="s">
        <v>851</v>
      </c>
      <c r="H108" s="486" t="s">
        <v>852</v>
      </c>
      <c r="I108" s="489">
        <v>7647.2001953125</v>
      </c>
      <c r="J108" s="489">
        <v>1</v>
      </c>
      <c r="K108" s="490">
        <v>7647.2001953125</v>
      </c>
    </row>
    <row r="109" spans="1:11" ht="14.45" customHeight="1" x14ac:dyDescent="0.2">
      <c r="A109" s="484" t="s">
        <v>444</v>
      </c>
      <c r="B109" s="485" t="s">
        <v>445</v>
      </c>
      <c r="C109" s="486" t="s">
        <v>455</v>
      </c>
      <c r="D109" s="487" t="s">
        <v>456</v>
      </c>
      <c r="E109" s="486" t="s">
        <v>742</v>
      </c>
      <c r="F109" s="487" t="s">
        <v>743</v>
      </c>
      <c r="G109" s="486" t="s">
        <v>853</v>
      </c>
      <c r="H109" s="486" t="s">
        <v>854</v>
      </c>
      <c r="I109" s="489">
        <v>15112.880126953125</v>
      </c>
      <c r="J109" s="489">
        <v>4</v>
      </c>
      <c r="K109" s="490">
        <v>60451.5205078125</v>
      </c>
    </row>
    <row r="110" spans="1:11" ht="14.45" customHeight="1" x14ac:dyDescent="0.2">
      <c r="A110" s="484" t="s">
        <v>444</v>
      </c>
      <c r="B110" s="485" t="s">
        <v>445</v>
      </c>
      <c r="C110" s="486" t="s">
        <v>455</v>
      </c>
      <c r="D110" s="487" t="s">
        <v>456</v>
      </c>
      <c r="E110" s="486" t="s">
        <v>742</v>
      </c>
      <c r="F110" s="487" t="s">
        <v>743</v>
      </c>
      <c r="G110" s="486" t="s">
        <v>855</v>
      </c>
      <c r="H110" s="486" t="s">
        <v>856</v>
      </c>
      <c r="I110" s="489">
        <v>7489.955078125</v>
      </c>
      <c r="J110" s="489">
        <v>2</v>
      </c>
      <c r="K110" s="490">
        <v>14979.91015625</v>
      </c>
    </row>
    <row r="111" spans="1:11" ht="14.45" customHeight="1" x14ac:dyDescent="0.2">
      <c r="A111" s="484" t="s">
        <v>444</v>
      </c>
      <c r="B111" s="485" t="s">
        <v>445</v>
      </c>
      <c r="C111" s="486" t="s">
        <v>455</v>
      </c>
      <c r="D111" s="487" t="s">
        <v>456</v>
      </c>
      <c r="E111" s="486" t="s">
        <v>742</v>
      </c>
      <c r="F111" s="487" t="s">
        <v>743</v>
      </c>
      <c r="G111" s="486" t="s">
        <v>857</v>
      </c>
      <c r="H111" s="486" t="s">
        <v>858</v>
      </c>
      <c r="I111" s="489">
        <v>14665.419921875</v>
      </c>
      <c r="J111" s="489">
        <v>1</v>
      </c>
      <c r="K111" s="490">
        <v>14665.419921875</v>
      </c>
    </row>
    <row r="112" spans="1:11" ht="14.45" customHeight="1" x14ac:dyDescent="0.2">
      <c r="A112" s="484" t="s">
        <v>444</v>
      </c>
      <c r="B112" s="485" t="s">
        <v>445</v>
      </c>
      <c r="C112" s="486" t="s">
        <v>455</v>
      </c>
      <c r="D112" s="487" t="s">
        <v>456</v>
      </c>
      <c r="E112" s="486" t="s">
        <v>742</v>
      </c>
      <c r="F112" s="487" t="s">
        <v>743</v>
      </c>
      <c r="G112" s="486" t="s">
        <v>859</v>
      </c>
      <c r="H112" s="486" t="s">
        <v>860</v>
      </c>
      <c r="I112" s="489">
        <v>7538.93017578125</v>
      </c>
      <c r="J112" s="489">
        <v>1</v>
      </c>
      <c r="K112" s="490">
        <v>7538.93017578125</v>
      </c>
    </row>
    <row r="113" spans="1:11" ht="14.45" customHeight="1" x14ac:dyDescent="0.2">
      <c r="A113" s="484" t="s">
        <v>444</v>
      </c>
      <c r="B113" s="485" t="s">
        <v>445</v>
      </c>
      <c r="C113" s="486" t="s">
        <v>455</v>
      </c>
      <c r="D113" s="487" t="s">
        <v>456</v>
      </c>
      <c r="E113" s="486" t="s">
        <v>742</v>
      </c>
      <c r="F113" s="487" t="s">
        <v>743</v>
      </c>
      <c r="G113" s="486" t="s">
        <v>861</v>
      </c>
      <c r="H113" s="486" t="s">
        <v>862</v>
      </c>
      <c r="I113" s="489">
        <v>7530.10986328125</v>
      </c>
      <c r="J113" s="489">
        <v>1</v>
      </c>
      <c r="K113" s="490">
        <v>7530.10986328125</v>
      </c>
    </row>
    <row r="114" spans="1:11" ht="14.45" customHeight="1" x14ac:dyDescent="0.2">
      <c r="A114" s="484" t="s">
        <v>444</v>
      </c>
      <c r="B114" s="485" t="s">
        <v>445</v>
      </c>
      <c r="C114" s="486" t="s">
        <v>455</v>
      </c>
      <c r="D114" s="487" t="s">
        <v>456</v>
      </c>
      <c r="E114" s="486" t="s">
        <v>742</v>
      </c>
      <c r="F114" s="487" t="s">
        <v>743</v>
      </c>
      <c r="G114" s="486" t="s">
        <v>863</v>
      </c>
      <c r="H114" s="486" t="s">
        <v>864</v>
      </c>
      <c r="I114" s="489">
        <v>7563.93017578125</v>
      </c>
      <c r="J114" s="489">
        <v>1</v>
      </c>
      <c r="K114" s="490">
        <v>7563.93017578125</v>
      </c>
    </row>
    <row r="115" spans="1:11" ht="14.45" customHeight="1" x14ac:dyDescent="0.2">
      <c r="A115" s="484" t="s">
        <v>444</v>
      </c>
      <c r="B115" s="485" t="s">
        <v>445</v>
      </c>
      <c r="C115" s="486" t="s">
        <v>455</v>
      </c>
      <c r="D115" s="487" t="s">
        <v>456</v>
      </c>
      <c r="E115" s="486" t="s">
        <v>742</v>
      </c>
      <c r="F115" s="487" t="s">
        <v>743</v>
      </c>
      <c r="G115" s="486" t="s">
        <v>865</v>
      </c>
      <c r="H115" s="486" t="s">
        <v>866</v>
      </c>
      <c r="I115" s="489">
        <v>7647.2001953125</v>
      </c>
      <c r="J115" s="489">
        <v>1</v>
      </c>
      <c r="K115" s="490">
        <v>7647.2001953125</v>
      </c>
    </row>
    <row r="116" spans="1:11" ht="14.45" customHeight="1" x14ac:dyDescent="0.2">
      <c r="A116" s="484" t="s">
        <v>444</v>
      </c>
      <c r="B116" s="485" t="s">
        <v>445</v>
      </c>
      <c r="C116" s="486" t="s">
        <v>455</v>
      </c>
      <c r="D116" s="487" t="s">
        <v>456</v>
      </c>
      <c r="E116" s="486" t="s">
        <v>742</v>
      </c>
      <c r="F116" s="487" t="s">
        <v>743</v>
      </c>
      <c r="G116" s="486" t="s">
        <v>867</v>
      </c>
      <c r="H116" s="486" t="s">
        <v>868</v>
      </c>
      <c r="I116" s="489">
        <v>7647.2001953125</v>
      </c>
      <c r="J116" s="489">
        <v>1</v>
      </c>
      <c r="K116" s="490">
        <v>7647.2001953125</v>
      </c>
    </row>
    <row r="117" spans="1:11" ht="14.45" customHeight="1" x14ac:dyDescent="0.2">
      <c r="A117" s="484" t="s">
        <v>444</v>
      </c>
      <c r="B117" s="485" t="s">
        <v>445</v>
      </c>
      <c r="C117" s="486" t="s">
        <v>455</v>
      </c>
      <c r="D117" s="487" t="s">
        <v>456</v>
      </c>
      <c r="E117" s="486" t="s">
        <v>742</v>
      </c>
      <c r="F117" s="487" t="s">
        <v>743</v>
      </c>
      <c r="G117" s="486" t="s">
        <v>869</v>
      </c>
      <c r="H117" s="486" t="s">
        <v>870</v>
      </c>
      <c r="I117" s="489">
        <v>7544.81005859375</v>
      </c>
      <c r="J117" s="489">
        <v>1</v>
      </c>
      <c r="K117" s="490">
        <v>7544.81005859375</v>
      </c>
    </row>
    <row r="118" spans="1:11" ht="14.45" customHeight="1" x14ac:dyDescent="0.2">
      <c r="A118" s="484" t="s">
        <v>444</v>
      </c>
      <c r="B118" s="485" t="s">
        <v>445</v>
      </c>
      <c r="C118" s="486" t="s">
        <v>455</v>
      </c>
      <c r="D118" s="487" t="s">
        <v>456</v>
      </c>
      <c r="E118" s="486" t="s">
        <v>742</v>
      </c>
      <c r="F118" s="487" t="s">
        <v>743</v>
      </c>
      <c r="G118" s="486" t="s">
        <v>871</v>
      </c>
      <c r="H118" s="486" t="s">
        <v>872</v>
      </c>
      <c r="I118" s="489">
        <v>7530.10986328125</v>
      </c>
      <c r="J118" s="489">
        <v>1</v>
      </c>
      <c r="K118" s="490">
        <v>7530.10986328125</v>
      </c>
    </row>
    <row r="119" spans="1:11" ht="14.45" customHeight="1" x14ac:dyDescent="0.2">
      <c r="A119" s="484" t="s">
        <v>444</v>
      </c>
      <c r="B119" s="485" t="s">
        <v>445</v>
      </c>
      <c r="C119" s="486" t="s">
        <v>455</v>
      </c>
      <c r="D119" s="487" t="s">
        <v>456</v>
      </c>
      <c r="E119" s="486" t="s">
        <v>742</v>
      </c>
      <c r="F119" s="487" t="s">
        <v>743</v>
      </c>
      <c r="G119" s="486" t="s">
        <v>873</v>
      </c>
      <c r="H119" s="486" t="s">
        <v>874</v>
      </c>
      <c r="I119" s="489">
        <v>30372.255859375</v>
      </c>
      <c r="J119" s="489">
        <v>2</v>
      </c>
      <c r="K119" s="490">
        <v>60744.51171875</v>
      </c>
    </row>
    <row r="120" spans="1:11" ht="14.45" customHeight="1" x14ac:dyDescent="0.2">
      <c r="A120" s="484" t="s">
        <v>444</v>
      </c>
      <c r="B120" s="485" t="s">
        <v>445</v>
      </c>
      <c r="C120" s="486" t="s">
        <v>455</v>
      </c>
      <c r="D120" s="487" t="s">
        <v>456</v>
      </c>
      <c r="E120" s="486" t="s">
        <v>742</v>
      </c>
      <c r="F120" s="487" t="s">
        <v>743</v>
      </c>
      <c r="G120" s="486" t="s">
        <v>875</v>
      </c>
      <c r="H120" s="486" t="s">
        <v>876</v>
      </c>
      <c r="I120" s="489">
        <v>7489.955078125</v>
      </c>
      <c r="J120" s="489">
        <v>2</v>
      </c>
      <c r="K120" s="490">
        <v>14979.91015625</v>
      </c>
    </row>
    <row r="121" spans="1:11" ht="14.45" customHeight="1" x14ac:dyDescent="0.2">
      <c r="A121" s="484" t="s">
        <v>444</v>
      </c>
      <c r="B121" s="485" t="s">
        <v>445</v>
      </c>
      <c r="C121" s="486" t="s">
        <v>455</v>
      </c>
      <c r="D121" s="487" t="s">
        <v>456</v>
      </c>
      <c r="E121" s="486" t="s">
        <v>742</v>
      </c>
      <c r="F121" s="487" t="s">
        <v>743</v>
      </c>
      <c r="G121" s="486" t="s">
        <v>877</v>
      </c>
      <c r="H121" s="486" t="s">
        <v>878</v>
      </c>
      <c r="I121" s="489">
        <v>7332.7099609375</v>
      </c>
      <c r="J121" s="489">
        <v>1</v>
      </c>
      <c r="K121" s="490">
        <v>7332.7099609375</v>
      </c>
    </row>
    <row r="122" spans="1:11" ht="14.45" customHeight="1" x14ac:dyDescent="0.2">
      <c r="A122" s="484" t="s">
        <v>444</v>
      </c>
      <c r="B122" s="485" t="s">
        <v>445</v>
      </c>
      <c r="C122" s="486" t="s">
        <v>455</v>
      </c>
      <c r="D122" s="487" t="s">
        <v>456</v>
      </c>
      <c r="E122" s="486" t="s">
        <v>742</v>
      </c>
      <c r="F122" s="487" t="s">
        <v>743</v>
      </c>
      <c r="G122" s="486" t="s">
        <v>879</v>
      </c>
      <c r="H122" s="486" t="s">
        <v>880</v>
      </c>
      <c r="I122" s="489">
        <v>7647.2001953125</v>
      </c>
      <c r="J122" s="489">
        <v>1</v>
      </c>
      <c r="K122" s="490">
        <v>7647.2001953125</v>
      </c>
    </row>
    <row r="123" spans="1:11" ht="14.45" customHeight="1" x14ac:dyDescent="0.2">
      <c r="A123" s="484" t="s">
        <v>444</v>
      </c>
      <c r="B123" s="485" t="s">
        <v>445</v>
      </c>
      <c r="C123" s="486" t="s">
        <v>455</v>
      </c>
      <c r="D123" s="487" t="s">
        <v>456</v>
      </c>
      <c r="E123" s="486" t="s">
        <v>742</v>
      </c>
      <c r="F123" s="487" t="s">
        <v>743</v>
      </c>
      <c r="G123" s="486" t="s">
        <v>881</v>
      </c>
      <c r="H123" s="486" t="s">
        <v>882</v>
      </c>
      <c r="I123" s="489">
        <v>7332.7099609375</v>
      </c>
      <c r="J123" s="489">
        <v>1</v>
      </c>
      <c r="K123" s="490">
        <v>7332.7099609375</v>
      </c>
    </row>
    <row r="124" spans="1:11" ht="14.45" customHeight="1" x14ac:dyDescent="0.2">
      <c r="A124" s="484" t="s">
        <v>444</v>
      </c>
      <c r="B124" s="485" t="s">
        <v>445</v>
      </c>
      <c r="C124" s="486" t="s">
        <v>455</v>
      </c>
      <c r="D124" s="487" t="s">
        <v>456</v>
      </c>
      <c r="E124" s="486" t="s">
        <v>742</v>
      </c>
      <c r="F124" s="487" t="s">
        <v>743</v>
      </c>
      <c r="G124" s="486" t="s">
        <v>883</v>
      </c>
      <c r="H124" s="486" t="s">
        <v>884</v>
      </c>
      <c r="I124" s="489">
        <v>7530.10986328125</v>
      </c>
      <c r="J124" s="489">
        <v>1</v>
      </c>
      <c r="K124" s="490">
        <v>7530.10986328125</v>
      </c>
    </row>
    <row r="125" spans="1:11" ht="14.45" customHeight="1" x14ac:dyDescent="0.2">
      <c r="A125" s="484" t="s">
        <v>444</v>
      </c>
      <c r="B125" s="485" t="s">
        <v>445</v>
      </c>
      <c r="C125" s="486" t="s">
        <v>455</v>
      </c>
      <c r="D125" s="487" t="s">
        <v>456</v>
      </c>
      <c r="E125" s="486" t="s">
        <v>742</v>
      </c>
      <c r="F125" s="487" t="s">
        <v>743</v>
      </c>
      <c r="G125" s="486" t="s">
        <v>885</v>
      </c>
      <c r="H125" s="486" t="s">
        <v>886</v>
      </c>
      <c r="I125" s="489">
        <v>5989.7001953125</v>
      </c>
      <c r="J125" s="489">
        <v>1</v>
      </c>
      <c r="K125" s="490">
        <v>5989.7001953125</v>
      </c>
    </row>
    <row r="126" spans="1:11" ht="14.45" customHeight="1" x14ac:dyDescent="0.2">
      <c r="A126" s="484" t="s">
        <v>444</v>
      </c>
      <c r="B126" s="485" t="s">
        <v>445</v>
      </c>
      <c r="C126" s="486" t="s">
        <v>455</v>
      </c>
      <c r="D126" s="487" t="s">
        <v>456</v>
      </c>
      <c r="E126" s="486" t="s">
        <v>742</v>
      </c>
      <c r="F126" s="487" t="s">
        <v>743</v>
      </c>
      <c r="G126" s="486" t="s">
        <v>887</v>
      </c>
      <c r="H126" s="486" t="s">
        <v>888</v>
      </c>
      <c r="I126" s="489">
        <v>15584.7998046875</v>
      </c>
      <c r="J126" s="489">
        <v>1</v>
      </c>
      <c r="K126" s="490">
        <v>15584.7998046875</v>
      </c>
    </row>
    <row r="127" spans="1:11" ht="14.45" customHeight="1" x14ac:dyDescent="0.2">
      <c r="A127" s="484" t="s">
        <v>444</v>
      </c>
      <c r="B127" s="485" t="s">
        <v>445</v>
      </c>
      <c r="C127" s="486" t="s">
        <v>455</v>
      </c>
      <c r="D127" s="487" t="s">
        <v>456</v>
      </c>
      <c r="E127" s="486" t="s">
        <v>742</v>
      </c>
      <c r="F127" s="487" t="s">
        <v>743</v>
      </c>
      <c r="G127" s="486" t="s">
        <v>889</v>
      </c>
      <c r="H127" s="486" t="s">
        <v>890</v>
      </c>
      <c r="I127" s="489">
        <v>252.62221188292389</v>
      </c>
      <c r="J127" s="489">
        <v>40</v>
      </c>
      <c r="K127" s="490">
        <v>10027.650335487173</v>
      </c>
    </row>
    <row r="128" spans="1:11" ht="14.45" customHeight="1" x14ac:dyDescent="0.2">
      <c r="A128" s="484" t="s">
        <v>444</v>
      </c>
      <c r="B128" s="485" t="s">
        <v>445</v>
      </c>
      <c r="C128" s="486" t="s">
        <v>455</v>
      </c>
      <c r="D128" s="487" t="s">
        <v>456</v>
      </c>
      <c r="E128" s="486" t="s">
        <v>742</v>
      </c>
      <c r="F128" s="487" t="s">
        <v>743</v>
      </c>
      <c r="G128" s="486" t="s">
        <v>891</v>
      </c>
      <c r="H128" s="486" t="s">
        <v>892</v>
      </c>
      <c r="I128" s="489">
        <v>224.83706824053547</v>
      </c>
      <c r="J128" s="489">
        <v>1</v>
      </c>
      <c r="K128" s="490">
        <v>224.83706824053547</v>
      </c>
    </row>
    <row r="129" spans="1:11" ht="14.45" customHeight="1" x14ac:dyDescent="0.2">
      <c r="A129" s="484" t="s">
        <v>444</v>
      </c>
      <c r="B129" s="485" t="s">
        <v>445</v>
      </c>
      <c r="C129" s="486" t="s">
        <v>455</v>
      </c>
      <c r="D129" s="487" t="s">
        <v>456</v>
      </c>
      <c r="E129" s="486" t="s">
        <v>742</v>
      </c>
      <c r="F129" s="487" t="s">
        <v>743</v>
      </c>
      <c r="G129" s="486" t="s">
        <v>893</v>
      </c>
      <c r="H129" s="486" t="s">
        <v>894</v>
      </c>
      <c r="I129" s="489">
        <v>4915.02001953125</v>
      </c>
      <c r="J129" s="489">
        <v>1</v>
      </c>
      <c r="K129" s="490">
        <v>4915.02001953125</v>
      </c>
    </row>
    <row r="130" spans="1:11" ht="14.45" customHeight="1" x14ac:dyDescent="0.2">
      <c r="A130" s="484" t="s">
        <v>444</v>
      </c>
      <c r="B130" s="485" t="s">
        <v>445</v>
      </c>
      <c r="C130" s="486" t="s">
        <v>455</v>
      </c>
      <c r="D130" s="487" t="s">
        <v>456</v>
      </c>
      <c r="E130" s="486" t="s">
        <v>742</v>
      </c>
      <c r="F130" s="487" t="s">
        <v>743</v>
      </c>
      <c r="G130" s="486" t="s">
        <v>895</v>
      </c>
      <c r="H130" s="486" t="s">
        <v>896</v>
      </c>
      <c r="I130" s="489">
        <v>9317.2998046875</v>
      </c>
      <c r="J130" s="489">
        <v>1</v>
      </c>
      <c r="K130" s="490">
        <v>9317.2998046875</v>
      </c>
    </row>
    <row r="131" spans="1:11" ht="14.45" customHeight="1" x14ac:dyDescent="0.2">
      <c r="A131" s="484" t="s">
        <v>444</v>
      </c>
      <c r="B131" s="485" t="s">
        <v>445</v>
      </c>
      <c r="C131" s="486" t="s">
        <v>455</v>
      </c>
      <c r="D131" s="487" t="s">
        <v>456</v>
      </c>
      <c r="E131" s="486" t="s">
        <v>742</v>
      </c>
      <c r="F131" s="487" t="s">
        <v>743</v>
      </c>
      <c r="G131" s="486" t="s">
        <v>897</v>
      </c>
      <c r="H131" s="486" t="s">
        <v>898</v>
      </c>
      <c r="I131" s="489">
        <v>229.71063564423679</v>
      </c>
      <c r="J131" s="489">
        <v>1</v>
      </c>
      <c r="K131" s="490">
        <v>229.71063564423679</v>
      </c>
    </row>
    <row r="132" spans="1:11" ht="14.45" customHeight="1" x14ac:dyDescent="0.2">
      <c r="A132" s="484" t="s">
        <v>444</v>
      </c>
      <c r="B132" s="485" t="s">
        <v>445</v>
      </c>
      <c r="C132" s="486" t="s">
        <v>455</v>
      </c>
      <c r="D132" s="487" t="s">
        <v>456</v>
      </c>
      <c r="E132" s="486" t="s">
        <v>742</v>
      </c>
      <c r="F132" s="487" t="s">
        <v>743</v>
      </c>
      <c r="G132" s="486" t="s">
        <v>899</v>
      </c>
      <c r="H132" s="486" t="s">
        <v>900</v>
      </c>
      <c r="I132" s="489">
        <v>4997.31982421875</v>
      </c>
      <c r="J132" s="489">
        <v>1</v>
      </c>
      <c r="K132" s="490">
        <v>4997.31982421875</v>
      </c>
    </row>
    <row r="133" spans="1:11" ht="14.45" customHeight="1" x14ac:dyDescent="0.2">
      <c r="A133" s="484" t="s">
        <v>444</v>
      </c>
      <c r="B133" s="485" t="s">
        <v>445</v>
      </c>
      <c r="C133" s="486" t="s">
        <v>455</v>
      </c>
      <c r="D133" s="487" t="s">
        <v>456</v>
      </c>
      <c r="E133" s="486" t="s">
        <v>742</v>
      </c>
      <c r="F133" s="487" t="s">
        <v>743</v>
      </c>
      <c r="G133" s="486" t="s">
        <v>901</v>
      </c>
      <c r="H133" s="486" t="s">
        <v>902</v>
      </c>
      <c r="I133" s="489">
        <v>1064.800048828125</v>
      </c>
      <c r="J133" s="489">
        <v>1</v>
      </c>
      <c r="K133" s="490">
        <v>1064.800048828125</v>
      </c>
    </row>
    <row r="134" spans="1:11" ht="14.45" customHeight="1" x14ac:dyDescent="0.2">
      <c r="A134" s="484" t="s">
        <v>444</v>
      </c>
      <c r="B134" s="485" t="s">
        <v>445</v>
      </c>
      <c r="C134" s="486" t="s">
        <v>455</v>
      </c>
      <c r="D134" s="487" t="s">
        <v>456</v>
      </c>
      <c r="E134" s="486" t="s">
        <v>742</v>
      </c>
      <c r="F134" s="487" t="s">
        <v>743</v>
      </c>
      <c r="G134" s="486" t="s">
        <v>903</v>
      </c>
      <c r="H134" s="486" t="s">
        <v>904</v>
      </c>
      <c r="I134" s="489">
        <v>13492</v>
      </c>
      <c r="J134" s="489">
        <v>2</v>
      </c>
      <c r="K134" s="490">
        <v>26984</v>
      </c>
    </row>
    <row r="135" spans="1:11" ht="14.45" customHeight="1" x14ac:dyDescent="0.2">
      <c r="A135" s="484" t="s">
        <v>444</v>
      </c>
      <c r="B135" s="485" t="s">
        <v>445</v>
      </c>
      <c r="C135" s="486" t="s">
        <v>455</v>
      </c>
      <c r="D135" s="487" t="s">
        <v>456</v>
      </c>
      <c r="E135" s="486" t="s">
        <v>647</v>
      </c>
      <c r="F135" s="487" t="s">
        <v>648</v>
      </c>
      <c r="G135" s="486" t="s">
        <v>905</v>
      </c>
      <c r="H135" s="486" t="s">
        <v>906</v>
      </c>
      <c r="I135" s="489">
        <v>282.04998779296875</v>
      </c>
      <c r="J135" s="489">
        <v>20</v>
      </c>
      <c r="K135" s="490">
        <v>5641.02001953125</v>
      </c>
    </row>
    <row r="136" spans="1:11" ht="14.45" customHeight="1" x14ac:dyDescent="0.2">
      <c r="A136" s="484" t="s">
        <v>444</v>
      </c>
      <c r="B136" s="485" t="s">
        <v>445</v>
      </c>
      <c r="C136" s="486" t="s">
        <v>455</v>
      </c>
      <c r="D136" s="487" t="s">
        <v>456</v>
      </c>
      <c r="E136" s="486" t="s">
        <v>647</v>
      </c>
      <c r="F136" s="487" t="s">
        <v>648</v>
      </c>
      <c r="G136" s="486" t="s">
        <v>907</v>
      </c>
      <c r="H136" s="486" t="s">
        <v>908</v>
      </c>
      <c r="I136" s="489">
        <v>2.1500000953674316</v>
      </c>
      <c r="J136" s="489">
        <v>2048</v>
      </c>
      <c r="K136" s="490">
        <v>4394.72021484375</v>
      </c>
    </row>
    <row r="137" spans="1:11" ht="14.45" customHeight="1" x14ac:dyDescent="0.2">
      <c r="A137" s="484" t="s">
        <v>444</v>
      </c>
      <c r="B137" s="485" t="s">
        <v>445</v>
      </c>
      <c r="C137" s="486" t="s">
        <v>455</v>
      </c>
      <c r="D137" s="487" t="s">
        <v>456</v>
      </c>
      <c r="E137" s="486" t="s">
        <v>647</v>
      </c>
      <c r="F137" s="487" t="s">
        <v>648</v>
      </c>
      <c r="G137" s="486" t="s">
        <v>909</v>
      </c>
      <c r="H137" s="486" t="s">
        <v>910</v>
      </c>
      <c r="I137" s="489">
        <v>39.200000762939453</v>
      </c>
      <c r="J137" s="489">
        <v>5</v>
      </c>
      <c r="K137" s="490">
        <v>196.02000427246094</v>
      </c>
    </row>
    <row r="138" spans="1:11" ht="14.45" customHeight="1" x14ac:dyDescent="0.2">
      <c r="A138" s="484" t="s">
        <v>444</v>
      </c>
      <c r="B138" s="485" t="s">
        <v>445</v>
      </c>
      <c r="C138" s="486" t="s">
        <v>455</v>
      </c>
      <c r="D138" s="487" t="s">
        <v>456</v>
      </c>
      <c r="E138" s="486" t="s">
        <v>647</v>
      </c>
      <c r="F138" s="487" t="s">
        <v>648</v>
      </c>
      <c r="G138" s="486" t="s">
        <v>911</v>
      </c>
      <c r="H138" s="486" t="s">
        <v>912</v>
      </c>
      <c r="I138" s="489">
        <v>4.3499999046325684</v>
      </c>
      <c r="J138" s="489">
        <v>960</v>
      </c>
      <c r="K138" s="490">
        <v>4177.89013671875</v>
      </c>
    </row>
    <row r="139" spans="1:11" ht="14.45" customHeight="1" x14ac:dyDescent="0.2">
      <c r="A139" s="484" t="s">
        <v>444</v>
      </c>
      <c r="B139" s="485" t="s">
        <v>445</v>
      </c>
      <c r="C139" s="486" t="s">
        <v>455</v>
      </c>
      <c r="D139" s="487" t="s">
        <v>456</v>
      </c>
      <c r="E139" s="486" t="s">
        <v>647</v>
      </c>
      <c r="F139" s="487" t="s">
        <v>648</v>
      </c>
      <c r="G139" s="486" t="s">
        <v>913</v>
      </c>
      <c r="H139" s="486" t="s">
        <v>914</v>
      </c>
      <c r="I139" s="489">
        <v>0.12999999523162842</v>
      </c>
      <c r="J139" s="489">
        <v>4000</v>
      </c>
      <c r="K139" s="490">
        <v>520</v>
      </c>
    </row>
    <row r="140" spans="1:11" ht="14.45" customHeight="1" x14ac:dyDescent="0.2">
      <c r="A140" s="484" t="s">
        <v>444</v>
      </c>
      <c r="B140" s="485" t="s">
        <v>445</v>
      </c>
      <c r="C140" s="486" t="s">
        <v>455</v>
      </c>
      <c r="D140" s="487" t="s">
        <v>456</v>
      </c>
      <c r="E140" s="486" t="s">
        <v>647</v>
      </c>
      <c r="F140" s="487" t="s">
        <v>648</v>
      </c>
      <c r="G140" s="486" t="s">
        <v>915</v>
      </c>
      <c r="H140" s="486" t="s">
        <v>916</v>
      </c>
      <c r="I140" s="489">
        <v>0.59000000357627869</v>
      </c>
      <c r="J140" s="489">
        <v>2000</v>
      </c>
      <c r="K140" s="490">
        <v>1173.6099853515625</v>
      </c>
    </row>
    <row r="141" spans="1:11" ht="14.45" customHeight="1" x14ac:dyDescent="0.2">
      <c r="A141" s="484" t="s">
        <v>444</v>
      </c>
      <c r="B141" s="485" t="s">
        <v>445</v>
      </c>
      <c r="C141" s="486" t="s">
        <v>455</v>
      </c>
      <c r="D141" s="487" t="s">
        <v>456</v>
      </c>
      <c r="E141" s="486" t="s">
        <v>647</v>
      </c>
      <c r="F141" s="487" t="s">
        <v>648</v>
      </c>
      <c r="G141" s="486" t="s">
        <v>917</v>
      </c>
      <c r="H141" s="486" t="s">
        <v>918</v>
      </c>
      <c r="I141" s="489">
        <v>2.6400001049041748</v>
      </c>
      <c r="J141" s="489">
        <v>960</v>
      </c>
      <c r="K141" s="490">
        <v>2535.31005859375</v>
      </c>
    </row>
    <row r="142" spans="1:11" ht="14.45" customHeight="1" x14ac:dyDescent="0.2">
      <c r="A142" s="484" t="s">
        <v>444</v>
      </c>
      <c r="B142" s="485" t="s">
        <v>445</v>
      </c>
      <c r="C142" s="486" t="s">
        <v>455</v>
      </c>
      <c r="D142" s="487" t="s">
        <v>456</v>
      </c>
      <c r="E142" s="486" t="s">
        <v>647</v>
      </c>
      <c r="F142" s="487" t="s">
        <v>648</v>
      </c>
      <c r="G142" s="486" t="s">
        <v>919</v>
      </c>
      <c r="H142" s="486" t="s">
        <v>920</v>
      </c>
      <c r="I142" s="489">
        <v>2.8199999332427979</v>
      </c>
      <c r="J142" s="489">
        <v>2880</v>
      </c>
      <c r="K142" s="490">
        <v>8101.090087890625</v>
      </c>
    </row>
    <row r="143" spans="1:11" ht="14.45" customHeight="1" x14ac:dyDescent="0.2">
      <c r="A143" s="484" t="s">
        <v>444</v>
      </c>
      <c r="B143" s="485" t="s">
        <v>445</v>
      </c>
      <c r="C143" s="486" t="s">
        <v>455</v>
      </c>
      <c r="D143" s="487" t="s">
        <v>456</v>
      </c>
      <c r="E143" s="486" t="s">
        <v>647</v>
      </c>
      <c r="F143" s="487" t="s">
        <v>648</v>
      </c>
      <c r="G143" s="486" t="s">
        <v>921</v>
      </c>
      <c r="H143" s="486" t="s">
        <v>922</v>
      </c>
      <c r="I143" s="489">
        <v>2.3900001049041748</v>
      </c>
      <c r="J143" s="489">
        <v>1920</v>
      </c>
      <c r="K143" s="490">
        <v>4590.239990234375</v>
      </c>
    </row>
    <row r="144" spans="1:11" ht="14.45" customHeight="1" x14ac:dyDescent="0.2">
      <c r="A144" s="484" t="s">
        <v>444</v>
      </c>
      <c r="B144" s="485" t="s">
        <v>445</v>
      </c>
      <c r="C144" s="486" t="s">
        <v>455</v>
      </c>
      <c r="D144" s="487" t="s">
        <v>456</v>
      </c>
      <c r="E144" s="486" t="s">
        <v>647</v>
      </c>
      <c r="F144" s="487" t="s">
        <v>648</v>
      </c>
      <c r="G144" s="486" t="s">
        <v>923</v>
      </c>
      <c r="H144" s="486" t="s">
        <v>924</v>
      </c>
      <c r="I144" s="489">
        <v>0.71000000834465027</v>
      </c>
      <c r="J144" s="489">
        <v>2000</v>
      </c>
      <c r="K144" s="490">
        <v>1413.7000122070313</v>
      </c>
    </row>
    <row r="145" spans="1:11" ht="14.45" customHeight="1" x14ac:dyDescent="0.2">
      <c r="A145" s="484" t="s">
        <v>444</v>
      </c>
      <c r="B145" s="485" t="s">
        <v>445</v>
      </c>
      <c r="C145" s="486" t="s">
        <v>455</v>
      </c>
      <c r="D145" s="487" t="s">
        <v>456</v>
      </c>
      <c r="E145" s="486" t="s">
        <v>647</v>
      </c>
      <c r="F145" s="487" t="s">
        <v>648</v>
      </c>
      <c r="G145" s="486" t="s">
        <v>923</v>
      </c>
      <c r="H145" s="486" t="s">
        <v>925</v>
      </c>
      <c r="I145" s="489">
        <v>0.61000001430511475</v>
      </c>
      <c r="J145" s="489">
        <v>1000</v>
      </c>
      <c r="K145" s="490">
        <v>605</v>
      </c>
    </row>
    <row r="146" spans="1:11" ht="14.45" customHeight="1" x14ac:dyDescent="0.2">
      <c r="A146" s="484" t="s">
        <v>444</v>
      </c>
      <c r="B146" s="485" t="s">
        <v>445</v>
      </c>
      <c r="C146" s="486" t="s">
        <v>455</v>
      </c>
      <c r="D146" s="487" t="s">
        <v>456</v>
      </c>
      <c r="E146" s="486" t="s">
        <v>647</v>
      </c>
      <c r="F146" s="487" t="s">
        <v>648</v>
      </c>
      <c r="G146" s="486" t="s">
        <v>926</v>
      </c>
      <c r="H146" s="486" t="s">
        <v>927</v>
      </c>
      <c r="I146" s="489">
        <v>1.4166667064030964</v>
      </c>
      <c r="J146" s="489">
        <v>11000</v>
      </c>
      <c r="K146" s="490">
        <v>14974.960083007813</v>
      </c>
    </row>
    <row r="147" spans="1:11" ht="14.45" customHeight="1" x14ac:dyDescent="0.2">
      <c r="A147" s="484" t="s">
        <v>444</v>
      </c>
      <c r="B147" s="485" t="s">
        <v>445</v>
      </c>
      <c r="C147" s="486" t="s">
        <v>455</v>
      </c>
      <c r="D147" s="487" t="s">
        <v>456</v>
      </c>
      <c r="E147" s="486" t="s">
        <v>647</v>
      </c>
      <c r="F147" s="487" t="s">
        <v>648</v>
      </c>
      <c r="G147" s="486" t="s">
        <v>926</v>
      </c>
      <c r="H147" s="486" t="s">
        <v>928</v>
      </c>
      <c r="I147" s="489">
        <v>1.440000057220459</v>
      </c>
      <c r="J147" s="489">
        <v>2000</v>
      </c>
      <c r="K147" s="490">
        <v>2879.9000244140625</v>
      </c>
    </row>
    <row r="148" spans="1:11" ht="14.45" customHeight="1" x14ac:dyDescent="0.2">
      <c r="A148" s="484" t="s">
        <v>444</v>
      </c>
      <c r="B148" s="485" t="s">
        <v>445</v>
      </c>
      <c r="C148" s="486" t="s">
        <v>455</v>
      </c>
      <c r="D148" s="487" t="s">
        <v>456</v>
      </c>
      <c r="E148" s="486" t="s">
        <v>647</v>
      </c>
      <c r="F148" s="487" t="s">
        <v>648</v>
      </c>
      <c r="G148" s="486" t="s">
        <v>929</v>
      </c>
      <c r="H148" s="486" t="s">
        <v>930</v>
      </c>
      <c r="I148" s="489">
        <v>12.829999923706055</v>
      </c>
      <c r="J148" s="489">
        <v>200</v>
      </c>
      <c r="K148" s="490">
        <v>2565.199951171875</v>
      </c>
    </row>
    <row r="149" spans="1:11" ht="14.45" customHeight="1" x14ac:dyDescent="0.2">
      <c r="A149" s="484" t="s">
        <v>444</v>
      </c>
      <c r="B149" s="485" t="s">
        <v>445</v>
      </c>
      <c r="C149" s="486" t="s">
        <v>455</v>
      </c>
      <c r="D149" s="487" t="s">
        <v>456</v>
      </c>
      <c r="E149" s="486" t="s">
        <v>647</v>
      </c>
      <c r="F149" s="487" t="s">
        <v>648</v>
      </c>
      <c r="G149" s="486" t="s">
        <v>931</v>
      </c>
      <c r="H149" s="486" t="s">
        <v>932</v>
      </c>
      <c r="I149" s="489">
        <v>1.5800000429153442</v>
      </c>
      <c r="J149" s="489">
        <v>700</v>
      </c>
      <c r="K149" s="490">
        <v>1103.52001953125</v>
      </c>
    </row>
    <row r="150" spans="1:11" ht="14.45" customHeight="1" x14ac:dyDescent="0.2">
      <c r="A150" s="484" t="s">
        <v>444</v>
      </c>
      <c r="B150" s="485" t="s">
        <v>445</v>
      </c>
      <c r="C150" s="486" t="s">
        <v>455</v>
      </c>
      <c r="D150" s="487" t="s">
        <v>456</v>
      </c>
      <c r="E150" s="486" t="s">
        <v>647</v>
      </c>
      <c r="F150" s="487" t="s">
        <v>648</v>
      </c>
      <c r="G150" s="486" t="s">
        <v>931</v>
      </c>
      <c r="H150" s="486" t="s">
        <v>933</v>
      </c>
      <c r="I150" s="489">
        <v>1.5466666618982952</v>
      </c>
      <c r="J150" s="489">
        <v>2100</v>
      </c>
      <c r="K150" s="490">
        <v>3245.52001953125</v>
      </c>
    </row>
    <row r="151" spans="1:11" ht="14.45" customHeight="1" x14ac:dyDescent="0.2">
      <c r="A151" s="484" t="s">
        <v>444</v>
      </c>
      <c r="B151" s="485" t="s">
        <v>445</v>
      </c>
      <c r="C151" s="486" t="s">
        <v>455</v>
      </c>
      <c r="D151" s="487" t="s">
        <v>456</v>
      </c>
      <c r="E151" s="486" t="s">
        <v>647</v>
      </c>
      <c r="F151" s="487" t="s">
        <v>648</v>
      </c>
      <c r="G151" s="486" t="s">
        <v>934</v>
      </c>
      <c r="H151" s="486" t="s">
        <v>935</v>
      </c>
      <c r="I151" s="489">
        <v>1.3899999856948853</v>
      </c>
      <c r="J151" s="489">
        <v>3840</v>
      </c>
      <c r="K151" s="490">
        <v>5336.10009765625</v>
      </c>
    </row>
    <row r="152" spans="1:11" ht="14.45" customHeight="1" x14ac:dyDescent="0.2">
      <c r="A152" s="484" t="s">
        <v>444</v>
      </c>
      <c r="B152" s="485" t="s">
        <v>445</v>
      </c>
      <c r="C152" s="486" t="s">
        <v>455</v>
      </c>
      <c r="D152" s="487" t="s">
        <v>456</v>
      </c>
      <c r="E152" s="486" t="s">
        <v>647</v>
      </c>
      <c r="F152" s="487" t="s">
        <v>648</v>
      </c>
      <c r="G152" s="486" t="s">
        <v>936</v>
      </c>
      <c r="H152" s="486" t="s">
        <v>937</v>
      </c>
      <c r="I152" s="489">
        <v>1.8899999856948853</v>
      </c>
      <c r="J152" s="489">
        <v>2880</v>
      </c>
      <c r="K152" s="490">
        <v>5455.89013671875</v>
      </c>
    </row>
    <row r="153" spans="1:11" ht="14.45" customHeight="1" x14ac:dyDescent="0.2">
      <c r="A153" s="484" t="s">
        <v>444</v>
      </c>
      <c r="B153" s="485" t="s">
        <v>445</v>
      </c>
      <c r="C153" s="486" t="s">
        <v>455</v>
      </c>
      <c r="D153" s="487" t="s">
        <v>456</v>
      </c>
      <c r="E153" s="486" t="s">
        <v>647</v>
      </c>
      <c r="F153" s="487" t="s">
        <v>648</v>
      </c>
      <c r="G153" s="486" t="s">
        <v>938</v>
      </c>
      <c r="H153" s="486" t="s">
        <v>939</v>
      </c>
      <c r="I153" s="489">
        <v>0.2800000011920929</v>
      </c>
      <c r="J153" s="489">
        <v>2000</v>
      </c>
      <c r="K153" s="490">
        <v>556.5999755859375</v>
      </c>
    </row>
    <row r="154" spans="1:11" ht="14.45" customHeight="1" x14ac:dyDescent="0.2">
      <c r="A154" s="484" t="s">
        <v>444</v>
      </c>
      <c r="B154" s="485" t="s">
        <v>445</v>
      </c>
      <c r="C154" s="486" t="s">
        <v>455</v>
      </c>
      <c r="D154" s="487" t="s">
        <v>456</v>
      </c>
      <c r="E154" s="486" t="s">
        <v>647</v>
      </c>
      <c r="F154" s="487" t="s">
        <v>648</v>
      </c>
      <c r="G154" s="486" t="s">
        <v>940</v>
      </c>
      <c r="H154" s="486" t="s">
        <v>941</v>
      </c>
      <c r="I154" s="489">
        <v>0.32600000500679016</v>
      </c>
      <c r="J154" s="489">
        <v>10000</v>
      </c>
      <c r="K154" s="490">
        <v>3254.1400146484375</v>
      </c>
    </row>
    <row r="155" spans="1:11" ht="14.45" customHeight="1" x14ac:dyDescent="0.2">
      <c r="A155" s="484" t="s">
        <v>444</v>
      </c>
      <c r="B155" s="485" t="s">
        <v>445</v>
      </c>
      <c r="C155" s="486" t="s">
        <v>455</v>
      </c>
      <c r="D155" s="487" t="s">
        <v>456</v>
      </c>
      <c r="E155" s="486" t="s">
        <v>647</v>
      </c>
      <c r="F155" s="487" t="s">
        <v>648</v>
      </c>
      <c r="G155" s="486" t="s">
        <v>915</v>
      </c>
      <c r="H155" s="486" t="s">
        <v>942</v>
      </c>
      <c r="I155" s="489">
        <v>0.5</v>
      </c>
      <c r="J155" s="489">
        <v>2000</v>
      </c>
      <c r="K155" s="490">
        <v>992.22998046875</v>
      </c>
    </row>
    <row r="156" spans="1:11" ht="14.45" customHeight="1" x14ac:dyDescent="0.2">
      <c r="A156" s="484" t="s">
        <v>444</v>
      </c>
      <c r="B156" s="485" t="s">
        <v>445</v>
      </c>
      <c r="C156" s="486" t="s">
        <v>455</v>
      </c>
      <c r="D156" s="487" t="s">
        <v>456</v>
      </c>
      <c r="E156" s="486" t="s">
        <v>647</v>
      </c>
      <c r="F156" s="487" t="s">
        <v>648</v>
      </c>
      <c r="G156" s="486" t="s">
        <v>917</v>
      </c>
      <c r="H156" s="486" t="s">
        <v>943</v>
      </c>
      <c r="I156" s="489">
        <v>2.6780000209808348</v>
      </c>
      <c r="J156" s="489">
        <v>2400</v>
      </c>
      <c r="K156" s="490">
        <v>6426.340087890625</v>
      </c>
    </row>
    <row r="157" spans="1:11" ht="14.45" customHeight="1" x14ac:dyDescent="0.2">
      <c r="A157" s="484" t="s">
        <v>444</v>
      </c>
      <c r="B157" s="485" t="s">
        <v>445</v>
      </c>
      <c r="C157" s="486" t="s">
        <v>455</v>
      </c>
      <c r="D157" s="487" t="s">
        <v>456</v>
      </c>
      <c r="E157" s="486" t="s">
        <v>647</v>
      </c>
      <c r="F157" s="487" t="s">
        <v>648</v>
      </c>
      <c r="G157" s="486" t="s">
        <v>919</v>
      </c>
      <c r="H157" s="486" t="s">
        <v>944</v>
      </c>
      <c r="I157" s="489">
        <v>2.8033332824707031</v>
      </c>
      <c r="J157" s="489">
        <v>6720</v>
      </c>
      <c r="K157" s="490">
        <v>18835.5498046875</v>
      </c>
    </row>
    <row r="158" spans="1:11" ht="14.45" customHeight="1" x14ac:dyDescent="0.2">
      <c r="A158" s="484" t="s">
        <v>444</v>
      </c>
      <c r="B158" s="485" t="s">
        <v>445</v>
      </c>
      <c r="C158" s="486" t="s">
        <v>455</v>
      </c>
      <c r="D158" s="487" t="s">
        <v>456</v>
      </c>
      <c r="E158" s="486" t="s">
        <v>647</v>
      </c>
      <c r="F158" s="487" t="s">
        <v>648</v>
      </c>
      <c r="G158" s="486" t="s">
        <v>921</v>
      </c>
      <c r="H158" s="486" t="s">
        <v>945</v>
      </c>
      <c r="I158" s="489">
        <v>2.4240000247955322</v>
      </c>
      <c r="J158" s="489">
        <v>3360</v>
      </c>
      <c r="K158" s="490">
        <v>8101.4398193359375</v>
      </c>
    </row>
    <row r="159" spans="1:11" ht="14.45" customHeight="1" x14ac:dyDescent="0.2">
      <c r="A159" s="484" t="s">
        <v>444</v>
      </c>
      <c r="B159" s="485" t="s">
        <v>445</v>
      </c>
      <c r="C159" s="486" t="s">
        <v>455</v>
      </c>
      <c r="D159" s="487" t="s">
        <v>456</v>
      </c>
      <c r="E159" s="486" t="s">
        <v>647</v>
      </c>
      <c r="F159" s="487" t="s">
        <v>648</v>
      </c>
      <c r="G159" s="486" t="s">
        <v>913</v>
      </c>
      <c r="H159" s="486" t="s">
        <v>946</v>
      </c>
      <c r="I159" s="489">
        <v>0.1333333303531011</v>
      </c>
      <c r="J159" s="489">
        <v>12000</v>
      </c>
      <c r="K159" s="490">
        <v>1600</v>
      </c>
    </row>
    <row r="160" spans="1:11" ht="14.45" customHeight="1" x14ac:dyDescent="0.2">
      <c r="A160" s="484" t="s">
        <v>444</v>
      </c>
      <c r="B160" s="485" t="s">
        <v>445</v>
      </c>
      <c r="C160" s="486" t="s">
        <v>455</v>
      </c>
      <c r="D160" s="487" t="s">
        <v>456</v>
      </c>
      <c r="E160" s="486" t="s">
        <v>647</v>
      </c>
      <c r="F160" s="487" t="s">
        <v>648</v>
      </c>
      <c r="G160" s="486" t="s">
        <v>947</v>
      </c>
      <c r="H160" s="486" t="s">
        <v>948</v>
      </c>
      <c r="I160" s="489">
        <v>158.02999877929688</v>
      </c>
      <c r="J160" s="489">
        <v>2</v>
      </c>
      <c r="K160" s="490">
        <v>316.04998779296875</v>
      </c>
    </row>
    <row r="161" spans="1:11" ht="14.45" customHeight="1" x14ac:dyDescent="0.2">
      <c r="A161" s="484" t="s">
        <v>444</v>
      </c>
      <c r="B161" s="485" t="s">
        <v>445</v>
      </c>
      <c r="C161" s="486" t="s">
        <v>455</v>
      </c>
      <c r="D161" s="487" t="s">
        <v>456</v>
      </c>
      <c r="E161" s="486" t="s">
        <v>651</v>
      </c>
      <c r="F161" s="487" t="s">
        <v>652</v>
      </c>
      <c r="G161" s="486" t="s">
        <v>653</v>
      </c>
      <c r="H161" s="486" t="s">
        <v>949</v>
      </c>
      <c r="I161" s="489">
        <v>0.62999999523162842</v>
      </c>
      <c r="J161" s="489">
        <v>500</v>
      </c>
      <c r="K161" s="490">
        <v>315</v>
      </c>
    </row>
    <row r="162" spans="1:11" ht="14.45" customHeight="1" x14ac:dyDescent="0.2">
      <c r="A162" s="484" t="s">
        <v>444</v>
      </c>
      <c r="B162" s="485" t="s">
        <v>445</v>
      </c>
      <c r="C162" s="486" t="s">
        <v>455</v>
      </c>
      <c r="D162" s="487" t="s">
        <v>456</v>
      </c>
      <c r="E162" s="486" t="s">
        <v>651</v>
      </c>
      <c r="F162" s="487" t="s">
        <v>652</v>
      </c>
      <c r="G162" s="486" t="s">
        <v>655</v>
      </c>
      <c r="H162" s="486" t="s">
        <v>950</v>
      </c>
      <c r="I162" s="489">
        <v>1.4900000095367432</v>
      </c>
      <c r="J162" s="489">
        <v>300</v>
      </c>
      <c r="K162" s="490">
        <v>447</v>
      </c>
    </row>
    <row r="163" spans="1:11" ht="14.45" customHeight="1" x14ac:dyDescent="0.2">
      <c r="A163" s="484" t="s">
        <v>444</v>
      </c>
      <c r="B163" s="485" t="s">
        <v>445</v>
      </c>
      <c r="C163" s="486" t="s">
        <v>455</v>
      </c>
      <c r="D163" s="487" t="s">
        <v>456</v>
      </c>
      <c r="E163" s="486" t="s">
        <v>674</v>
      </c>
      <c r="F163" s="487" t="s">
        <v>675</v>
      </c>
      <c r="G163" s="486" t="s">
        <v>951</v>
      </c>
      <c r="H163" s="486" t="s">
        <v>952</v>
      </c>
      <c r="I163" s="489">
        <v>57.720001220703125</v>
      </c>
      <c r="J163" s="489">
        <v>200</v>
      </c>
      <c r="K163" s="490">
        <v>11543.400390625</v>
      </c>
    </row>
    <row r="164" spans="1:11" ht="14.45" customHeight="1" x14ac:dyDescent="0.2">
      <c r="A164" s="484" t="s">
        <v>444</v>
      </c>
      <c r="B164" s="485" t="s">
        <v>445</v>
      </c>
      <c r="C164" s="486" t="s">
        <v>455</v>
      </c>
      <c r="D164" s="487" t="s">
        <v>456</v>
      </c>
      <c r="E164" s="486" t="s">
        <v>674</v>
      </c>
      <c r="F164" s="487" t="s">
        <v>675</v>
      </c>
      <c r="G164" s="486" t="s">
        <v>953</v>
      </c>
      <c r="H164" s="486" t="s">
        <v>954</v>
      </c>
      <c r="I164" s="489">
        <v>145.99000549316406</v>
      </c>
      <c r="J164" s="489">
        <v>23</v>
      </c>
      <c r="K164" s="490">
        <v>3357.6899719238281</v>
      </c>
    </row>
    <row r="165" spans="1:11" ht="14.45" customHeight="1" x14ac:dyDescent="0.2">
      <c r="A165" s="484" t="s">
        <v>444</v>
      </c>
      <c r="B165" s="485" t="s">
        <v>445</v>
      </c>
      <c r="C165" s="486" t="s">
        <v>455</v>
      </c>
      <c r="D165" s="487" t="s">
        <v>456</v>
      </c>
      <c r="E165" s="486" t="s">
        <v>674</v>
      </c>
      <c r="F165" s="487" t="s">
        <v>675</v>
      </c>
      <c r="G165" s="486" t="s">
        <v>955</v>
      </c>
      <c r="H165" s="486" t="s">
        <v>956</v>
      </c>
      <c r="I165" s="489">
        <v>6.5799999237060547</v>
      </c>
      <c r="J165" s="489">
        <v>1000</v>
      </c>
      <c r="K165" s="490">
        <v>6577.56005859375</v>
      </c>
    </row>
    <row r="166" spans="1:11" ht="14.45" customHeight="1" x14ac:dyDescent="0.2">
      <c r="A166" s="484" t="s">
        <v>444</v>
      </c>
      <c r="B166" s="485" t="s">
        <v>445</v>
      </c>
      <c r="C166" s="486" t="s">
        <v>455</v>
      </c>
      <c r="D166" s="487" t="s">
        <v>456</v>
      </c>
      <c r="E166" s="486" t="s">
        <v>674</v>
      </c>
      <c r="F166" s="487" t="s">
        <v>675</v>
      </c>
      <c r="G166" s="486" t="s">
        <v>681</v>
      </c>
      <c r="H166" s="486" t="s">
        <v>682</v>
      </c>
      <c r="I166" s="489">
        <v>13.310000419616699</v>
      </c>
      <c r="J166" s="489">
        <v>10</v>
      </c>
      <c r="K166" s="490">
        <v>133.10000610351563</v>
      </c>
    </row>
    <row r="167" spans="1:11" ht="14.45" customHeight="1" x14ac:dyDescent="0.2">
      <c r="A167" s="484" t="s">
        <v>444</v>
      </c>
      <c r="B167" s="485" t="s">
        <v>445</v>
      </c>
      <c r="C167" s="486" t="s">
        <v>455</v>
      </c>
      <c r="D167" s="487" t="s">
        <v>456</v>
      </c>
      <c r="E167" s="486" t="s">
        <v>674</v>
      </c>
      <c r="F167" s="487" t="s">
        <v>675</v>
      </c>
      <c r="G167" s="486" t="s">
        <v>683</v>
      </c>
      <c r="H167" s="486" t="s">
        <v>684</v>
      </c>
      <c r="I167" s="489">
        <v>25.540000915527344</v>
      </c>
      <c r="J167" s="489">
        <v>10</v>
      </c>
      <c r="K167" s="490">
        <v>255.39999389648438</v>
      </c>
    </row>
    <row r="168" spans="1:11" ht="14.45" customHeight="1" x14ac:dyDescent="0.2">
      <c r="A168" s="484" t="s">
        <v>444</v>
      </c>
      <c r="B168" s="485" t="s">
        <v>445</v>
      </c>
      <c r="C168" s="486" t="s">
        <v>455</v>
      </c>
      <c r="D168" s="487" t="s">
        <v>456</v>
      </c>
      <c r="E168" s="486" t="s">
        <v>674</v>
      </c>
      <c r="F168" s="487" t="s">
        <v>675</v>
      </c>
      <c r="G168" s="486" t="s">
        <v>681</v>
      </c>
      <c r="H168" s="486" t="s">
        <v>687</v>
      </c>
      <c r="I168" s="489">
        <v>13.310000419616699</v>
      </c>
      <c r="J168" s="489">
        <v>54</v>
      </c>
      <c r="K168" s="490">
        <v>718.74002838134766</v>
      </c>
    </row>
    <row r="169" spans="1:11" ht="14.45" customHeight="1" x14ac:dyDescent="0.2">
      <c r="A169" s="484" t="s">
        <v>444</v>
      </c>
      <c r="B169" s="485" t="s">
        <v>445</v>
      </c>
      <c r="C169" s="486" t="s">
        <v>455</v>
      </c>
      <c r="D169" s="487" t="s">
        <v>456</v>
      </c>
      <c r="E169" s="486" t="s">
        <v>674</v>
      </c>
      <c r="F169" s="487" t="s">
        <v>675</v>
      </c>
      <c r="G169" s="486" t="s">
        <v>683</v>
      </c>
      <c r="H169" s="486" t="s">
        <v>957</v>
      </c>
      <c r="I169" s="489">
        <v>25.530000686645508</v>
      </c>
      <c r="J169" s="489">
        <v>46</v>
      </c>
      <c r="K169" s="490">
        <v>1174.3800048828125</v>
      </c>
    </row>
    <row r="170" spans="1:11" ht="14.45" customHeight="1" x14ac:dyDescent="0.2">
      <c r="A170" s="484" t="s">
        <v>444</v>
      </c>
      <c r="B170" s="485" t="s">
        <v>445</v>
      </c>
      <c r="C170" s="486" t="s">
        <v>455</v>
      </c>
      <c r="D170" s="487" t="s">
        <v>456</v>
      </c>
      <c r="E170" s="486" t="s">
        <v>674</v>
      </c>
      <c r="F170" s="487" t="s">
        <v>675</v>
      </c>
      <c r="G170" s="486" t="s">
        <v>958</v>
      </c>
      <c r="H170" s="486" t="s">
        <v>959</v>
      </c>
      <c r="I170" s="489">
        <v>4.070000171661377</v>
      </c>
      <c r="J170" s="489">
        <v>240</v>
      </c>
      <c r="K170" s="490">
        <v>977.67999267578125</v>
      </c>
    </row>
    <row r="171" spans="1:11" ht="14.45" customHeight="1" x14ac:dyDescent="0.2">
      <c r="A171" s="484" t="s">
        <v>444</v>
      </c>
      <c r="B171" s="485" t="s">
        <v>445</v>
      </c>
      <c r="C171" s="486" t="s">
        <v>455</v>
      </c>
      <c r="D171" s="487" t="s">
        <v>456</v>
      </c>
      <c r="E171" s="486" t="s">
        <v>674</v>
      </c>
      <c r="F171" s="487" t="s">
        <v>675</v>
      </c>
      <c r="G171" s="486" t="s">
        <v>958</v>
      </c>
      <c r="H171" s="486" t="s">
        <v>960</v>
      </c>
      <c r="I171" s="489">
        <v>4.070000171661377</v>
      </c>
      <c r="J171" s="489">
        <v>240</v>
      </c>
      <c r="K171" s="490">
        <v>977.67999267578125</v>
      </c>
    </row>
    <row r="172" spans="1:11" ht="14.45" customHeight="1" x14ac:dyDescent="0.2">
      <c r="A172" s="484" t="s">
        <v>444</v>
      </c>
      <c r="B172" s="485" t="s">
        <v>445</v>
      </c>
      <c r="C172" s="486" t="s">
        <v>455</v>
      </c>
      <c r="D172" s="487" t="s">
        <v>456</v>
      </c>
      <c r="E172" s="486" t="s">
        <v>674</v>
      </c>
      <c r="F172" s="487" t="s">
        <v>675</v>
      </c>
      <c r="G172" s="486" t="s">
        <v>961</v>
      </c>
      <c r="H172" s="486" t="s">
        <v>962</v>
      </c>
      <c r="I172" s="489">
        <v>21.420000076293945</v>
      </c>
      <c r="J172" s="489">
        <v>10</v>
      </c>
      <c r="K172" s="490">
        <v>214.16999816894531</v>
      </c>
    </row>
    <row r="173" spans="1:11" ht="14.45" customHeight="1" x14ac:dyDescent="0.2">
      <c r="A173" s="484" t="s">
        <v>444</v>
      </c>
      <c r="B173" s="485" t="s">
        <v>445</v>
      </c>
      <c r="C173" s="486" t="s">
        <v>455</v>
      </c>
      <c r="D173" s="487" t="s">
        <v>456</v>
      </c>
      <c r="E173" s="486" t="s">
        <v>674</v>
      </c>
      <c r="F173" s="487" t="s">
        <v>675</v>
      </c>
      <c r="G173" s="486" t="s">
        <v>688</v>
      </c>
      <c r="H173" s="486" t="s">
        <v>963</v>
      </c>
      <c r="I173" s="489">
        <v>0.4699999988079071</v>
      </c>
      <c r="J173" s="489">
        <v>100</v>
      </c>
      <c r="K173" s="490">
        <v>47</v>
      </c>
    </row>
    <row r="174" spans="1:11" ht="14.45" customHeight="1" x14ac:dyDescent="0.2">
      <c r="A174" s="484" t="s">
        <v>444</v>
      </c>
      <c r="B174" s="485" t="s">
        <v>445</v>
      </c>
      <c r="C174" s="486" t="s">
        <v>455</v>
      </c>
      <c r="D174" s="487" t="s">
        <v>456</v>
      </c>
      <c r="E174" s="486" t="s">
        <v>674</v>
      </c>
      <c r="F174" s="487" t="s">
        <v>675</v>
      </c>
      <c r="G174" s="486" t="s">
        <v>964</v>
      </c>
      <c r="H174" s="486" t="s">
        <v>965</v>
      </c>
      <c r="I174" s="489">
        <v>335.17001342773438</v>
      </c>
      <c r="J174" s="489">
        <v>2</v>
      </c>
      <c r="K174" s="490">
        <v>670.34002685546875</v>
      </c>
    </row>
    <row r="175" spans="1:11" ht="14.45" customHeight="1" x14ac:dyDescent="0.2">
      <c r="A175" s="484" t="s">
        <v>444</v>
      </c>
      <c r="B175" s="485" t="s">
        <v>445</v>
      </c>
      <c r="C175" s="486" t="s">
        <v>455</v>
      </c>
      <c r="D175" s="487" t="s">
        <v>456</v>
      </c>
      <c r="E175" s="486" t="s">
        <v>674</v>
      </c>
      <c r="F175" s="487" t="s">
        <v>675</v>
      </c>
      <c r="G175" s="486" t="s">
        <v>966</v>
      </c>
      <c r="H175" s="486" t="s">
        <v>967</v>
      </c>
      <c r="I175" s="489">
        <v>148.28999328613281</v>
      </c>
      <c r="J175" s="489">
        <v>17</v>
      </c>
      <c r="K175" s="490">
        <v>2520.85009765625</v>
      </c>
    </row>
    <row r="176" spans="1:11" ht="14.45" customHeight="1" x14ac:dyDescent="0.2">
      <c r="A176" s="484" t="s">
        <v>444</v>
      </c>
      <c r="B176" s="485" t="s">
        <v>445</v>
      </c>
      <c r="C176" s="486" t="s">
        <v>455</v>
      </c>
      <c r="D176" s="487" t="s">
        <v>456</v>
      </c>
      <c r="E176" s="486" t="s">
        <v>674</v>
      </c>
      <c r="F176" s="487" t="s">
        <v>675</v>
      </c>
      <c r="G176" s="486" t="s">
        <v>968</v>
      </c>
      <c r="H176" s="486" t="s">
        <v>969</v>
      </c>
      <c r="I176" s="489">
        <v>1113.199951171875</v>
      </c>
      <c r="J176" s="489">
        <v>4</v>
      </c>
      <c r="K176" s="490">
        <v>4452.7998046875</v>
      </c>
    </row>
    <row r="177" spans="1:11" ht="14.45" customHeight="1" x14ac:dyDescent="0.2">
      <c r="A177" s="484" t="s">
        <v>444</v>
      </c>
      <c r="B177" s="485" t="s">
        <v>445</v>
      </c>
      <c r="C177" s="486" t="s">
        <v>455</v>
      </c>
      <c r="D177" s="487" t="s">
        <v>456</v>
      </c>
      <c r="E177" s="486" t="s">
        <v>674</v>
      </c>
      <c r="F177" s="487" t="s">
        <v>675</v>
      </c>
      <c r="G177" s="486" t="s">
        <v>688</v>
      </c>
      <c r="H177" s="486" t="s">
        <v>970</v>
      </c>
      <c r="I177" s="489">
        <v>0.47999998927116394</v>
      </c>
      <c r="J177" s="489">
        <v>500</v>
      </c>
      <c r="K177" s="490">
        <v>240</v>
      </c>
    </row>
    <row r="178" spans="1:11" ht="14.45" customHeight="1" x14ac:dyDescent="0.2">
      <c r="A178" s="484" t="s">
        <v>444</v>
      </c>
      <c r="B178" s="485" t="s">
        <v>445</v>
      </c>
      <c r="C178" s="486" t="s">
        <v>455</v>
      </c>
      <c r="D178" s="487" t="s">
        <v>456</v>
      </c>
      <c r="E178" s="486" t="s">
        <v>674</v>
      </c>
      <c r="F178" s="487" t="s">
        <v>675</v>
      </c>
      <c r="G178" s="486" t="s">
        <v>971</v>
      </c>
      <c r="H178" s="486" t="s">
        <v>972</v>
      </c>
      <c r="I178" s="489">
        <v>1.6799999475479126</v>
      </c>
      <c r="J178" s="489">
        <v>100</v>
      </c>
      <c r="K178" s="490">
        <v>168</v>
      </c>
    </row>
    <row r="179" spans="1:11" ht="14.45" customHeight="1" x14ac:dyDescent="0.2">
      <c r="A179" s="484" t="s">
        <v>444</v>
      </c>
      <c r="B179" s="485" t="s">
        <v>445</v>
      </c>
      <c r="C179" s="486" t="s">
        <v>455</v>
      </c>
      <c r="D179" s="487" t="s">
        <v>456</v>
      </c>
      <c r="E179" s="486" t="s">
        <v>674</v>
      </c>
      <c r="F179" s="487" t="s">
        <v>675</v>
      </c>
      <c r="G179" s="486" t="s">
        <v>973</v>
      </c>
      <c r="H179" s="486" t="s">
        <v>974</v>
      </c>
      <c r="I179" s="489">
        <v>2.0199999809265137</v>
      </c>
      <c r="J179" s="489">
        <v>2000</v>
      </c>
      <c r="K179" s="490">
        <v>4046.8599853515625</v>
      </c>
    </row>
    <row r="180" spans="1:11" ht="14.45" customHeight="1" x14ac:dyDescent="0.2">
      <c r="A180" s="484" t="s">
        <v>444</v>
      </c>
      <c r="B180" s="485" t="s">
        <v>445</v>
      </c>
      <c r="C180" s="486" t="s">
        <v>455</v>
      </c>
      <c r="D180" s="487" t="s">
        <v>456</v>
      </c>
      <c r="E180" s="486" t="s">
        <v>674</v>
      </c>
      <c r="F180" s="487" t="s">
        <v>675</v>
      </c>
      <c r="G180" s="486" t="s">
        <v>975</v>
      </c>
      <c r="H180" s="486" t="s">
        <v>976</v>
      </c>
      <c r="I180" s="489">
        <v>0.94999998807907104</v>
      </c>
      <c r="J180" s="489">
        <v>100</v>
      </c>
      <c r="K180" s="490">
        <v>94.989997863769531</v>
      </c>
    </row>
    <row r="181" spans="1:11" ht="14.45" customHeight="1" x14ac:dyDescent="0.2">
      <c r="A181" s="484" t="s">
        <v>444</v>
      </c>
      <c r="B181" s="485" t="s">
        <v>445</v>
      </c>
      <c r="C181" s="486" t="s">
        <v>455</v>
      </c>
      <c r="D181" s="487" t="s">
        <v>456</v>
      </c>
      <c r="E181" s="486" t="s">
        <v>674</v>
      </c>
      <c r="F181" s="487" t="s">
        <v>675</v>
      </c>
      <c r="G181" s="486" t="s">
        <v>975</v>
      </c>
      <c r="H181" s="486" t="s">
        <v>977</v>
      </c>
      <c r="I181" s="489">
        <v>0.94999998807907104</v>
      </c>
      <c r="J181" s="489">
        <v>200</v>
      </c>
      <c r="K181" s="490">
        <v>189.97999572753906</v>
      </c>
    </row>
    <row r="182" spans="1:11" ht="14.45" customHeight="1" x14ac:dyDescent="0.2">
      <c r="A182" s="484" t="s">
        <v>444</v>
      </c>
      <c r="B182" s="485" t="s">
        <v>445</v>
      </c>
      <c r="C182" s="486" t="s">
        <v>455</v>
      </c>
      <c r="D182" s="487" t="s">
        <v>456</v>
      </c>
      <c r="E182" s="486" t="s">
        <v>719</v>
      </c>
      <c r="F182" s="487" t="s">
        <v>720</v>
      </c>
      <c r="G182" s="486" t="s">
        <v>721</v>
      </c>
      <c r="H182" s="486" t="s">
        <v>722</v>
      </c>
      <c r="I182" s="489">
        <v>0.31000000238418579</v>
      </c>
      <c r="J182" s="489">
        <v>200</v>
      </c>
      <c r="K182" s="490">
        <v>62</v>
      </c>
    </row>
    <row r="183" spans="1:11" ht="14.45" customHeight="1" x14ac:dyDescent="0.2">
      <c r="A183" s="484" t="s">
        <v>444</v>
      </c>
      <c r="B183" s="485" t="s">
        <v>445</v>
      </c>
      <c r="C183" s="486" t="s">
        <v>455</v>
      </c>
      <c r="D183" s="487" t="s">
        <v>456</v>
      </c>
      <c r="E183" s="486" t="s">
        <v>719</v>
      </c>
      <c r="F183" s="487" t="s">
        <v>720</v>
      </c>
      <c r="G183" s="486" t="s">
        <v>978</v>
      </c>
      <c r="H183" s="486" t="s">
        <v>979</v>
      </c>
      <c r="I183" s="489">
        <v>0.47999998927116394</v>
      </c>
      <c r="J183" s="489">
        <v>100</v>
      </c>
      <c r="K183" s="490">
        <v>48</v>
      </c>
    </row>
    <row r="184" spans="1:11" ht="14.45" customHeight="1" x14ac:dyDescent="0.2">
      <c r="A184" s="484" t="s">
        <v>444</v>
      </c>
      <c r="B184" s="485" t="s">
        <v>445</v>
      </c>
      <c r="C184" s="486" t="s">
        <v>455</v>
      </c>
      <c r="D184" s="487" t="s">
        <v>456</v>
      </c>
      <c r="E184" s="486" t="s">
        <v>719</v>
      </c>
      <c r="F184" s="487" t="s">
        <v>720</v>
      </c>
      <c r="G184" s="486" t="s">
        <v>721</v>
      </c>
      <c r="H184" s="486" t="s">
        <v>725</v>
      </c>
      <c r="I184" s="489">
        <v>0.30250000953674316</v>
      </c>
      <c r="J184" s="489">
        <v>500</v>
      </c>
      <c r="K184" s="490">
        <v>151</v>
      </c>
    </row>
    <row r="185" spans="1:11" ht="14.45" customHeight="1" x14ac:dyDescent="0.2">
      <c r="A185" s="484" t="s">
        <v>444</v>
      </c>
      <c r="B185" s="485" t="s">
        <v>445</v>
      </c>
      <c r="C185" s="486" t="s">
        <v>455</v>
      </c>
      <c r="D185" s="487" t="s">
        <v>456</v>
      </c>
      <c r="E185" s="486" t="s">
        <v>729</v>
      </c>
      <c r="F185" s="487" t="s">
        <v>730</v>
      </c>
      <c r="G185" s="486" t="s">
        <v>980</v>
      </c>
      <c r="H185" s="486" t="s">
        <v>981</v>
      </c>
      <c r="I185" s="489">
        <v>7.0199999809265137</v>
      </c>
      <c r="J185" s="489">
        <v>180</v>
      </c>
      <c r="K185" s="490">
        <v>1263.3999633789063</v>
      </c>
    </row>
    <row r="186" spans="1:11" ht="14.45" customHeight="1" x14ac:dyDescent="0.2">
      <c r="A186" s="484" t="s">
        <v>444</v>
      </c>
      <c r="B186" s="485" t="s">
        <v>445</v>
      </c>
      <c r="C186" s="486" t="s">
        <v>455</v>
      </c>
      <c r="D186" s="487" t="s">
        <v>456</v>
      </c>
      <c r="E186" s="486" t="s">
        <v>729</v>
      </c>
      <c r="F186" s="487" t="s">
        <v>730</v>
      </c>
      <c r="G186" s="486" t="s">
        <v>731</v>
      </c>
      <c r="H186" s="486" t="s">
        <v>732</v>
      </c>
      <c r="I186" s="489">
        <v>0.62999999523162842</v>
      </c>
      <c r="J186" s="489">
        <v>200</v>
      </c>
      <c r="K186" s="490">
        <v>126</v>
      </c>
    </row>
    <row r="187" spans="1:11" ht="14.45" customHeight="1" x14ac:dyDescent="0.2">
      <c r="A187" s="484" t="s">
        <v>444</v>
      </c>
      <c r="B187" s="485" t="s">
        <v>445</v>
      </c>
      <c r="C187" s="486" t="s">
        <v>455</v>
      </c>
      <c r="D187" s="487" t="s">
        <v>456</v>
      </c>
      <c r="E187" s="486" t="s">
        <v>729</v>
      </c>
      <c r="F187" s="487" t="s">
        <v>730</v>
      </c>
      <c r="G187" s="486" t="s">
        <v>733</v>
      </c>
      <c r="H187" s="486" t="s">
        <v>734</v>
      </c>
      <c r="I187" s="489">
        <v>0.62999999523162842</v>
      </c>
      <c r="J187" s="489">
        <v>400</v>
      </c>
      <c r="K187" s="490">
        <v>252</v>
      </c>
    </row>
    <row r="188" spans="1:11" ht="14.45" customHeight="1" x14ac:dyDescent="0.2">
      <c r="A188" s="484" t="s">
        <v>444</v>
      </c>
      <c r="B188" s="485" t="s">
        <v>445</v>
      </c>
      <c r="C188" s="486" t="s">
        <v>455</v>
      </c>
      <c r="D188" s="487" t="s">
        <v>456</v>
      </c>
      <c r="E188" s="486" t="s">
        <v>729</v>
      </c>
      <c r="F188" s="487" t="s">
        <v>730</v>
      </c>
      <c r="G188" s="486" t="s">
        <v>735</v>
      </c>
      <c r="H188" s="486" t="s">
        <v>736</v>
      </c>
      <c r="I188" s="489">
        <v>0.62999999523162842</v>
      </c>
      <c r="J188" s="489">
        <v>400</v>
      </c>
      <c r="K188" s="490">
        <v>252</v>
      </c>
    </row>
    <row r="189" spans="1:11" ht="14.45" customHeight="1" x14ac:dyDescent="0.2">
      <c r="A189" s="484" t="s">
        <v>444</v>
      </c>
      <c r="B189" s="485" t="s">
        <v>445</v>
      </c>
      <c r="C189" s="486" t="s">
        <v>455</v>
      </c>
      <c r="D189" s="487" t="s">
        <v>456</v>
      </c>
      <c r="E189" s="486" t="s">
        <v>729</v>
      </c>
      <c r="F189" s="487" t="s">
        <v>730</v>
      </c>
      <c r="G189" s="486" t="s">
        <v>731</v>
      </c>
      <c r="H189" s="486" t="s">
        <v>737</v>
      </c>
      <c r="I189" s="489">
        <v>0.62999999523162842</v>
      </c>
      <c r="J189" s="489">
        <v>1000</v>
      </c>
      <c r="K189" s="490">
        <v>630</v>
      </c>
    </row>
    <row r="190" spans="1:11" ht="14.45" customHeight="1" x14ac:dyDescent="0.2">
      <c r="A190" s="484" t="s">
        <v>444</v>
      </c>
      <c r="B190" s="485" t="s">
        <v>445</v>
      </c>
      <c r="C190" s="486" t="s">
        <v>455</v>
      </c>
      <c r="D190" s="487" t="s">
        <v>456</v>
      </c>
      <c r="E190" s="486" t="s">
        <v>729</v>
      </c>
      <c r="F190" s="487" t="s">
        <v>730</v>
      </c>
      <c r="G190" s="486" t="s">
        <v>733</v>
      </c>
      <c r="H190" s="486" t="s">
        <v>738</v>
      </c>
      <c r="I190" s="489">
        <v>0.62799999713897703</v>
      </c>
      <c r="J190" s="489">
        <v>2200</v>
      </c>
      <c r="K190" s="490">
        <v>1382</v>
      </c>
    </row>
    <row r="191" spans="1:11" ht="14.45" customHeight="1" thickBot="1" x14ac:dyDescent="0.25">
      <c r="A191" s="491" t="s">
        <v>444</v>
      </c>
      <c r="B191" s="492" t="s">
        <v>445</v>
      </c>
      <c r="C191" s="493" t="s">
        <v>455</v>
      </c>
      <c r="D191" s="494" t="s">
        <v>456</v>
      </c>
      <c r="E191" s="493" t="s">
        <v>729</v>
      </c>
      <c r="F191" s="494" t="s">
        <v>730</v>
      </c>
      <c r="G191" s="493" t="s">
        <v>735</v>
      </c>
      <c r="H191" s="493" t="s">
        <v>739</v>
      </c>
      <c r="I191" s="496">
        <v>0.62000000476837158</v>
      </c>
      <c r="J191" s="496">
        <v>400</v>
      </c>
      <c r="K191" s="497">
        <v>248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4B30E0A-4B6F-4296-9C37-AD8580ED93FF}"/>
  </hyperlinks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6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0" customWidth="1"/>
    <col min="18" max="18" width="7.28515625" style="265" customWidth="1"/>
    <col min="19" max="19" width="8" style="220" customWidth="1"/>
    <col min="21" max="21" width="11.28515625" bestFit="1" customWidth="1"/>
  </cols>
  <sheetData>
    <row r="1" spans="1:19" ht="19.5" thickBot="1" x14ac:dyDescent="0.35">
      <c r="A1" s="394" t="s">
        <v>105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5.75" thickBot="1" x14ac:dyDescent="0.3">
      <c r="A2" s="221" t="s">
        <v>256</v>
      </c>
      <c r="B2" s="222"/>
    </row>
    <row r="3" spans="1:19" x14ac:dyDescent="0.25">
      <c r="A3" s="406" t="s">
        <v>177</v>
      </c>
      <c r="B3" s="407"/>
      <c r="C3" s="408" t="s">
        <v>166</v>
      </c>
      <c r="D3" s="409"/>
      <c r="E3" s="409"/>
      <c r="F3" s="410"/>
      <c r="G3" s="411" t="s">
        <v>167</v>
      </c>
      <c r="H3" s="412"/>
      <c r="I3" s="412"/>
      <c r="J3" s="413"/>
      <c r="K3" s="414" t="s">
        <v>176</v>
      </c>
      <c r="L3" s="415"/>
      <c r="M3" s="415"/>
      <c r="N3" s="415"/>
      <c r="O3" s="416"/>
      <c r="P3" s="412" t="s">
        <v>231</v>
      </c>
      <c r="Q3" s="412"/>
      <c r="R3" s="412"/>
      <c r="S3" s="413"/>
    </row>
    <row r="4" spans="1:19" ht="15.75" thickBot="1" x14ac:dyDescent="0.3">
      <c r="A4" s="386">
        <v>2019</v>
      </c>
      <c r="B4" s="387"/>
      <c r="C4" s="388" t="s">
        <v>230</v>
      </c>
      <c r="D4" s="390" t="s">
        <v>106</v>
      </c>
      <c r="E4" s="390" t="s">
        <v>74</v>
      </c>
      <c r="F4" s="392" t="s">
        <v>67</v>
      </c>
      <c r="G4" s="380" t="s">
        <v>168</v>
      </c>
      <c r="H4" s="382" t="s">
        <v>172</v>
      </c>
      <c r="I4" s="382" t="s">
        <v>229</v>
      </c>
      <c r="J4" s="384" t="s">
        <v>169</v>
      </c>
      <c r="K4" s="403" t="s">
        <v>228</v>
      </c>
      <c r="L4" s="404"/>
      <c r="M4" s="404"/>
      <c r="N4" s="405"/>
      <c r="O4" s="392" t="s">
        <v>227</v>
      </c>
      <c r="P4" s="395" t="s">
        <v>226</v>
      </c>
      <c r="Q4" s="395" t="s">
        <v>179</v>
      </c>
      <c r="R4" s="397" t="s">
        <v>74</v>
      </c>
      <c r="S4" s="399" t="s">
        <v>178</v>
      </c>
    </row>
    <row r="5" spans="1:19" s="300" customFormat="1" ht="19.149999999999999" customHeight="1" x14ac:dyDescent="0.25">
      <c r="A5" s="401" t="s">
        <v>225</v>
      </c>
      <c r="B5" s="402"/>
      <c r="C5" s="389"/>
      <c r="D5" s="391"/>
      <c r="E5" s="391"/>
      <c r="F5" s="393"/>
      <c r="G5" s="381"/>
      <c r="H5" s="383"/>
      <c r="I5" s="383"/>
      <c r="J5" s="385"/>
      <c r="K5" s="303" t="s">
        <v>170</v>
      </c>
      <c r="L5" s="302" t="s">
        <v>171</v>
      </c>
      <c r="M5" s="302" t="s">
        <v>224</v>
      </c>
      <c r="N5" s="301" t="s">
        <v>3</v>
      </c>
      <c r="O5" s="393"/>
      <c r="P5" s="396"/>
      <c r="Q5" s="396"/>
      <c r="R5" s="398"/>
      <c r="S5" s="400"/>
    </row>
    <row r="6" spans="1:19" ht="15.75" thickBot="1" x14ac:dyDescent="0.3">
      <c r="A6" s="378" t="s">
        <v>165</v>
      </c>
      <c r="B6" s="379"/>
      <c r="C6" s="299">
        <f ca="1">SUM(Tabulka[01 uv_sk])/2</f>
        <v>26.408949999999994</v>
      </c>
      <c r="D6" s="297"/>
      <c r="E6" s="297"/>
      <c r="F6" s="296"/>
      <c r="G6" s="298">
        <f ca="1">SUM(Tabulka[05 h_vram])/2</f>
        <v>31465</v>
      </c>
      <c r="H6" s="297">
        <f ca="1">SUM(Tabulka[06 h_naduv])/2</f>
        <v>27.2</v>
      </c>
      <c r="I6" s="297">
        <f ca="1">SUM(Tabulka[07 h_nadzk])/2</f>
        <v>292</v>
      </c>
      <c r="J6" s="296">
        <f ca="1">SUM(Tabulka[08 h_oon])/2</f>
        <v>229</v>
      </c>
      <c r="K6" s="298">
        <f ca="1">SUM(Tabulka[09 m_kl])/2</f>
        <v>0</v>
      </c>
      <c r="L6" s="297">
        <f ca="1">SUM(Tabulka[10 m_gr])/2</f>
        <v>0</v>
      </c>
      <c r="M6" s="297">
        <f ca="1">SUM(Tabulka[11 m_jo])/2</f>
        <v>541522</v>
      </c>
      <c r="N6" s="297">
        <f ca="1">SUM(Tabulka[12 m_oc])/2</f>
        <v>541522</v>
      </c>
      <c r="O6" s="296">
        <f ca="1">SUM(Tabulka[13 m_sk])/2</f>
        <v>10338315</v>
      </c>
      <c r="P6" s="295">
        <f ca="1">SUM(Tabulka[14_vzsk])/2</f>
        <v>72097</v>
      </c>
      <c r="Q6" s="295">
        <f ca="1">SUM(Tabulka[15_vzpl])/2</f>
        <v>35977.836605693687</v>
      </c>
      <c r="R6" s="294">
        <f ca="1">IF(Q6=0,0,P6/Q6)</f>
        <v>2.0039281625007508</v>
      </c>
      <c r="S6" s="293">
        <f ca="1">Q6-P6</f>
        <v>-36119.163394306313</v>
      </c>
    </row>
    <row r="7" spans="1:19" hidden="1" x14ac:dyDescent="0.25">
      <c r="A7" s="292" t="s">
        <v>223</v>
      </c>
      <c r="B7" s="291" t="s">
        <v>222</v>
      </c>
      <c r="C7" s="290" t="s">
        <v>221</v>
      </c>
      <c r="D7" s="289" t="s">
        <v>220</v>
      </c>
      <c r="E7" s="288" t="s">
        <v>219</v>
      </c>
      <c r="F7" s="287" t="s">
        <v>218</v>
      </c>
      <c r="G7" s="286" t="s">
        <v>217</v>
      </c>
      <c r="H7" s="284" t="s">
        <v>216</v>
      </c>
      <c r="I7" s="284" t="s">
        <v>215</v>
      </c>
      <c r="J7" s="283" t="s">
        <v>214</v>
      </c>
      <c r="K7" s="285" t="s">
        <v>213</v>
      </c>
      <c r="L7" s="284" t="s">
        <v>212</v>
      </c>
      <c r="M7" s="284" t="s">
        <v>211</v>
      </c>
      <c r="N7" s="283" t="s">
        <v>210</v>
      </c>
      <c r="O7" s="282" t="s">
        <v>209</v>
      </c>
      <c r="P7" s="281" t="s">
        <v>208</v>
      </c>
      <c r="Q7" s="280" t="s">
        <v>207</v>
      </c>
      <c r="R7" s="279" t="s">
        <v>206</v>
      </c>
      <c r="S7" s="278" t="s">
        <v>205</v>
      </c>
    </row>
    <row r="8" spans="1:19" x14ac:dyDescent="0.25">
      <c r="A8" s="275" t="s">
        <v>204</v>
      </c>
      <c r="B8" s="274"/>
      <c r="C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5.2339500000000001</v>
      </c>
      <c r="D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6019.0000000000018</v>
      </c>
      <c r="H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27.2</v>
      </c>
      <c r="I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</v>
      </c>
      <c r="J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166325</v>
      </c>
      <c r="N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166325</v>
      </c>
      <c r="O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3071396</v>
      </c>
      <c r="P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12150</v>
      </c>
      <c r="Q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11567.937438905181</v>
      </c>
      <c r="R8" s="277">
        <f ca="1">IF(Tabulka[[#This Row],[15_vzpl]]=0,"",Tabulka[[#This Row],[14_vzsk]]/Tabulka[[#This Row],[15_vzpl]])</f>
        <v>1.0503168835558561</v>
      </c>
      <c r="S8" s="276">
        <f ca="1">IF(Tabulka[[#This Row],[15_vzpl]]-Tabulka[[#This Row],[14_vzsk]]=0,"",Tabulka[[#This Row],[15_vzpl]]-Tabulka[[#This Row],[14_vzsk]])</f>
        <v>-582.0625610948191</v>
      </c>
    </row>
    <row r="9" spans="1:19" x14ac:dyDescent="0.25">
      <c r="A9" s="275">
        <v>99</v>
      </c>
      <c r="B9" s="274" t="s">
        <v>995</v>
      </c>
      <c r="C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1.16395</v>
      </c>
      <c r="D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1244.8</v>
      </c>
      <c r="H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J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15360</v>
      </c>
      <c r="N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15360</v>
      </c>
      <c r="O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337337</v>
      </c>
      <c r="P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12150</v>
      </c>
      <c r="Q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11567.937438905181</v>
      </c>
      <c r="R9" s="277">
        <f ca="1">IF(Tabulka[[#This Row],[15_vzpl]]=0,"",Tabulka[[#This Row],[14_vzsk]]/Tabulka[[#This Row],[15_vzpl]])</f>
        <v>1.0503168835558561</v>
      </c>
      <c r="S9" s="276">
        <f ca="1">IF(Tabulka[[#This Row],[15_vzpl]]-Tabulka[[#This Row],[14_vzsk]]=0,"",Tabulka[[#This Row],[15_vzpl]]-Tabulka[[#This Row],[14_vzsk]])</f>
        <v>-582.0625610948191</v>
      </c>
    </row>
    <row r="10" spans="1:19" x14ac:dyDescent="0.25">
      <c r="A10" s="275">
        <v>100</v>
      </c>
      <c r="B10" s="274" t="s">
        <v>996</v>
      </c>
      <c r="C1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0.57000000000000006</v>
      </c>
      <c r="D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795.2</v>
      </c>
      <c r="H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25.2</v>
      </c>
      <c r="I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16564</v>
      </c>
      <c r="N1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16564</v>
      </c>
      <c r="O1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260480</v>
      </c>
      <c r="P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77" t="str">
        <f ca="1">IF(Tabulka[[#This Row],[15_vzpl]]=0,"",Tabulka[[#This Row],[14_vzsk]]/Tabulka[[#This Row],[15_vzpl]])</f>
        <v/>
      </c>
      <c r="S10" s="276" t="str">
        <f ca="1">IF(Tabulka[[#This Row],[15_vzpl]]-Tabulka[[#This Row],[14_vzsk]]=0,"",Tabulka[[#This Row],[15_vzpl]]-Tabulka[[#This Row],[14_vzsk]])</f>
        <v/>
      </c>
    </row>
    <row r="11" spans="1:19" x14ac:dyDescent="0.25">
      <c r="A11" s="275">
        <v>101</v>
      </c>
      <c r="B11" s="274" t="s">
        <v>997</v>
      </c>
      <c r="C1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3.4999999999999996</v>
      </c>
      <c r="D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3979</v>
      </c>
      <c r="H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</v>
      </c>
      <c r="J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134401</v>
      </c>
      <c r="N1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134401</v>
      </c>
      <c r="O1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2473579</v>
      </c>
      <c r="P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77" t="str">
        <f ca="1">IF(Tabulka[[#This Row],[15_vzpl]]=0,"",Tabulka[[#This Row],[14_vzsk]]/Tabulka[[#This Row],[15_vzpl]])</f>
        <v/>
      </c>
      <c r="S11" s="276" t="str">
        <f ca="1">IF(Tabulka[[#This Row],[15_vzpl]]-Tabulka[[#This Row],[14_vzsk]]=0,"",Tabulka[[#This Row],[15_vzpl]]-Tabulka[[#This Row],[14_vzsk]])</f>
        <v/>
      </c>
    </row>
    <row r="12" spans="1:19" x14ac:dyDescent="0.25">
      <c r="A12" s="275" t="s">
        <v>983</v>
      </c>
      <c r="B12" s="274"/>
      <c r="C1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10.574999999999999</v>
      </c>
      <c r="D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12602.800000000001</v>
      </c>
      <c r="H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</v>
      </c>
      <c r="K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233508</v>
      </c>
      <c r="N1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233508</v>
      </c>
      <c r="O1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4057758</v>
      </c>
      <c r="P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56747</v>
      </c>
      <c r="Q1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15076.565833455172</v>
      </c>
      <c r="R12" s="277">
        <f ca="1">IF(Tabulka[[#This Row],[15_vzpl]]=0,"",Tabulka[[#This Row],[14_vzsk]]/Tabulka[[#This Row],[15_vzpl]])</f>
        <v>3.7639208177022239</v>
      </c>
      <c r="S12" s="276">
        <f ca="1">IF(Tabulka[[#This Row],[15_vzpl]]-Tabulka[[#This Row],[14_vzsk]]=0,"",Tabulka[[#This Row],[15_vzpl]]-Tabulka[[#This Row],[14_vzsk]])</f>
        <v>-41670.43416654483</v>
      </c>
    </row>
    <row r="13" spans="1:19" x14ac:dyDescent="0.25">
      <c r="A13" s="275">
        <v>526</v>
      </c>
      <c r="B13" s="274" t="s">
        <v>998</v>
      </c>
      <c r="C1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10.574999999999999</v>
      </c>
      <c r="D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12602.800000000001</v>
      </c>
      <c r="H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233508</v>
      </c>
      <c r="N1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233508</v>
      </c>
      <c r="O1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4023408</v>
      </c>
      <c r="P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56747</v>
      </c>
      <c r="Q1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15076.565833455172</v>
      </c>
      <c r="R13" s="277">
        <f ca="1">IF(Tabulka[[#This Row],[15_vzpl]]=0,"",Tabulka[[#This Row],[14_vzsk]]/Tabulka[[#This Row],[15_vzpl]])</f>
        <v>3.7639208177022239</v>
      </c>
      <c r="S13" s="276">
        <f ca="1">IF(Tabulka[[#This Row],[15_vzpl]]-Tabulka[[#This Row],[14_vzsk]]=0,"",Tabulka[[#This Row],[15_vzpl]]-Tabulka[[#This Row],[14_vzsk]])</f>
        <v>-41670.43416654483</v>
      </c>
    </row>
    <row r="14" spans="1:19" x14ac:dyDescent="0.25">
      <c r="A14" s="275">
        <v>746</v>
      </c>
      <c r="B14" s="274" t="s">
        <v>999</v>
      </c>
      <c r="C14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229</v>
      </c>
      <c r="K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34350</v>
      </c>
      <c r="P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77" t="str">
        <f ca="1">IF(Tabulka[[#This Row],[15_vzpl]]=0,"",Tabulka[[#This Row],[14_vzsk]]/Tabulka[[#This Row],[15_vzpl]])</f>
        <v/>
      </c>
      <c r="S14" s="276" t="str">
        <f ca="1">IF(Tabulka[[#This Row],[15_vzpl]]-Tabulka[[#This Row],[14_vzsk]]=0,"",Tabulka[[#This Row],[15_vzpl]]-Tabulka[[#This Row],[14_vzsk]])</f>
        <v/>
      </c>
    </row>
    <row r="15" spans="1:19" x14ac:dyDescent="0.25">
      <c r="A15" s="275" t="s">
        <v>984</v>
      </c>
      <c r="B15" s="274"/>
      <c r="C15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8.7999999999999989</v>
      </c>
      <c r="D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10620</v>
      </c>
      <c r="H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</v>
      </c>
      <c r="J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128123</v>
      </c>
      <c r="N15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128123</v>
      </c>
      <c r="O15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2778265</v>
      </c>
      <c r="P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5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9333.3333333333339</v>
      </c>
      <c r="R15" s="277">
        <f ca="1">IF(Tabulka[[#This Row],[15_vzpl]]=0,"",Tabulka[[#This Row],[14_vzsk]]/Tabulka[[#This Row],[15_vzpl]])</f>
        <v>0.34285714285714286</v>
      </c>
      <c r="S15" s="276">
        <f ca="1">IF(Tabulka[[#This Row],[15_vzpl]]-Tabulka[[#This Row],[14_vzsk]]=0,"",Tabulka[[#This Row],[15_vzpl]]-Tabulka[[#This Row],[14_vzsk]])</f>
        <v>6133.3333333333339</v>
      </c>
    </row>
    <row r="16" spans="1:19" x14ac:dyDescent="0.25">
      <c r="A16" s="275">
        <v>303</v>
      </c>
      <c r="B16" s="274" t="s">
        <v>1000</v>
      </c>
      <c r="C16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3200</v>
      </c>
      <c r="Q16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9333.3333333333339</v>
      </c>
      <c r="R16" s="277">
        <f ca="1">IF(Tabulka[[#This Row],[15_vzpl]]=0,"",Tabulka[[#This Row],[14_vzsk]]/Tabulka[[#This Row],[15_vzpl]])</f>
        <v>0.34285714285714286</v>
      </c>
      <c r="S16" s="276">
        <f ca="1">IF(Tabulka[[#This Row],[15_vzpl]]-Tabulka[[#This Row],[14_vzsk]]=0,"",Tabulka[[#This Row],[15_vzpl]]-Tabulka[[#This Row],[14_vzsk]])</f>
        <v>6133.3333333333339</v>
      </c>
    </row>
    <row r="17" spans="1:19" x14ac:dyDescent="0.25">
      <c r="A17" s="275">
        <v>304</v>
      </c>
      <c r="B17" s="274" t="s">
        <v>1001</v>
      </c>
      <c r="C17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916</v>
      </c>
      <c r="H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</v>
      </c>
      <c r="J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10726</v>
      </c>
      <c r="N17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10726</v>
      </c>
      <c r="O17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318190</v>
      </c>
      <c r="P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77" t="str">
        <f ca="1">IF(Tabulka[[#This Row],[15_vzpl]]=0,"",Tabulka[[#This Row],[14_vzsk]]/Tabulka[[#This Row],[15_vzpl]])</f>
        <v/>
      </c>
      <c r="S17" s="276" t="str">
        <f ca="1">IF(Tabulka[[#This Row],[15_vzpl]]-Tabulka[[#This Row],[14_vzsk]]=0,"",Tabulka[[#This Row],[15_vzpl]]-Tabulka[[#This Row],[14_vzsk]])</f>
        <v/>
      </c>
    </row>
    <row r="18" spans="1:19" x14ac:dyDescent="0.25">
      <c r="A18" s="275">
        <v>305</v>
      </c>
      <c r="B18" s="274" t="s">
        <v>1002</v>
      </c>
      <c r="C18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1268</v>
      </c>
      <c r="H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30494</v>
      </c>
      <c r="N18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30494</v>
      </c>
      <c r="O18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497088</v>
      </c>
      <c r="P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77" t="str">
        <f ca="1">IF(Tabulka[[#This Row],[15_vzpl]]=0,"",Tabulka[[#This Row],[14_vzsk]]/Tabulka[[#This Row],[15_vzpl]])</f>
        <v/>
      </c>
      <c r="S18" s="276" t="str">
        <f ca="1">IF(Tabulka[[#This Row],[15_vzpl]]-Tabulka[[#This Row],[14_vzsk]]=0,"",Tabulka[[#This Row],[15_vzpl]]-Tabulka[[#This Row],[14_vzsk]])</f>
        <v/>
      </c>
    </row>
    <row r="19" spans="1:19" x14ac:dyDescent="0.25">
      <c r="A19" s="275">
        <v>310</v>
      </c>
      <c r="B19" s="274" t="s">
        <v>1003</v>
      </c>
      <c r="C19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</v>
      </c>
      <c r="H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17242</v>
      </c>
      <c r="N19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17242</v>
      </c>
      <c r="O19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324113</v>
      </c>
      <c r="P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77" t="str">
        <f ca="1">IF(Tabulka[[#This Row],[15_vzpl]]=0,"",Tabulka[[#This Row],[14_vzsk]]/Tabulka[[#This Row],[15_vzpl]])</f>
        <v/>
      </c>
      <c r="S19" s="276" t="str">
        <f ca="1">IF(Tabulka[[#This Row],[15_vzpl]]-Tabulka[[#This Row],[14_vzsk]]=0,"",Tabulka[[#This Row],[15_vzpl]]-Tabulka[[#This Row],[14_vzsk]])</f>
        <v/>
      </c>
    </row>
    <row r="20" spans="1:19" x14ac:dyDescent="0.25">
      <c r="A20" s="275">
        <v>409</v>
      </c>
      <c r="B20" s="274" t="s">
        <v>1004</v>
      </c>
      <c r="C20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6028</v>
      </c>
      <c r="H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62202</v>
      </c>
      <c r="N20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62202</v>
      </c>
      <c r="O20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1469234</v>
      </c>
      <c r="P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77" t="str">
        <f ca="1">IF(Tabulka[[#This Row],[15_vzpl]]=0,"",Tabulka[[#This Row],[14_vzsk]]/Tabulka[[#This Row],[15_vzpl]])</f>
        <v/>
      </c>
      <c r="S20" s="276" t="str">
        <f ca="1">IF(Tabulka[[#This Row],[15_vzpl]]-Tabulka[[#This Row],[14_vzsk]]=0,"",Tabulka[[#This Row],[15_vzpl]]-Tabulka[[#This Row],[14_vzsk]])</f>
        <v/>
      </c>
    </row>
    <row r="21" spans="1:19" x14ac:dyDescent="0.25">
      <c r="A21" s="275">
        <v>642</v>
      </c>
      <c r="B21" s="274" t="s">
        <v>1005</v>
      </c>
      <c r="C21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1136</v>
      </c>
      <c r="H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7459</v>
      </c>
      <c r="N21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7459</v>
      </c>
      <c r="O21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169640</v>
      </c>
      <c r="P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77" t="str">
        <f ca="1">IF(Tabulka[[#This Row],[15_vzpl]]=0,"",Tabulka[[#This Row],[14_vzsk]]/Tabulka[[#This Row],[15_vzpl]])</f>
        <v/>
      </c>
      <c r="S21" s="276" t="str">
        <f ca="1">IF(Tabulka[[#This Row],[15_vzpl]]-Tabulka[[#This Row],[14_vzsk]]=0,"",Tabulka[[#This Row],[15_vzpl]]-Tabulka[[#This Row],[14_vzsk]])</f>
        <v/>
      </c>
    </row>
    <row r="22" spans="1:19" x14ac:dyDescent="0.25">
      <c r="A22" s="275" t="s">
        <v>985</v>
      </c>
      <c r="B22" s="274"/>
      <c r="C22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2223.2000000000003</v>
      </c>
      <c r="H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13566</v>
      </c>
      <c r="N22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13566</v>
      </c>
      <c r="O22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430896</v>
      </c>
      <c r="P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77" t="str">
        <f ca="1">IF(Tabulka[[#This Row],[15_vzpl]]=0,"",Tabulka[[#This Row],[14_vzsk]]/Tabulka[[#This Row],[15_vzpl]])</f>
        <v/>
      </c>
      <c r="S22" s="276" t="str">
        <f ca="1">IF(Tabulka[[#This Row],[15_vzpl]]-Tabulka[[#This Row],[14_vzsk]]=0,"",Tabulka[[#This Row],[15_vzpl]]-Tabulka[[#This Row],[14_vzsk]])</f>
        <v/>
      </c>
    </row>
    <row r="23" spans="1:19" x14ac:dyDescent="0.25">
      <c r="A23" s="275">
        <v>30</v>
      </c>
      <c r="B23" s="274" t="s">
        <v>1006</v>
      </c>
      <c r="C23" s="26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1.8000000000000003</v>
      </c>
      <c r="D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7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7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2223.2000000000003</v>
      </c>
      <c r="H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7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13566</v>
      </c>
      <c r="N23" s="27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13566</v>
      </c>
      <c r="O23" s="26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430896</v>
      </c>
      <c r="P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7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77" t="str">
        <f ca="1">IF(Tabulka[[#This Row],[15_vzpl]]=0,"",Tabulka[[#This Row],[14_vzsk]]/Tabulka[[#This Row],[15_vzpl]])</f>
        <v/>
      </c>
      <c r="S23" s="27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233</v>
      </c>
    </row>
    <row r="25" spans="1:19" x14ac:dyDescent="0.25">
      <c r="A25" s="102" t="s">
        <v>148</v>
      </c>
    </row>
    <row r="26" spans="1:19" x14ac:dyDescent="0.25">
      <c r="A26" s="103" t="s">
        <v>203</v>
      </c>
    </row>
    <row r="27" spans="1:19" x14ac:dyDescent="0.25">
      <c r="A27" s="267" t="s">
        <v>202</v>
      </c>
    </row>
    <row r="28" spans="1:19" x14ac:dyDescent="0.25">
      <c r="A28" s="224" t="s">
        <v>175</v>
      </c>
    </row>
    <row r="29" spans="1:19" x14ac:dyDescent="0.25">
      <c r="A29" s="226" t="s">
        <v>180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2A0BFF9-2287-4823-BC84-B73099701DD0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3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994</v>
      </c>
    </row>
    <row r="2" spans="1:19" x14ac:dyDescent="0.25">
      <c r="A2" s="221" t="s">
        <v>256</v>
      </c>
    </row>
    <row r="3" spans="1:19" x14ac:dyDescent="0.25">
      <c r="A3" s="313" t="s">
        <v>152</v>
      </c>
      <c r="B3" s="312">
        <v>2019</v>
      </c>
      <c r="C3" t="s">
        <v>232</v>
      </c>
      <c r="D3" t="s">
        <v>223</v>
      </c>
      <c r="E3" t="s">
        <v>221</v>
      </c>
      <c r="F3" t="s">
        <v>220</v>
      </c>
      <c r="G3" t="s">
        <v>219</v>
      </c>
      <c r="H3" t="s">
        <v>218</v>
      </c>
      <c r="I3" t="s">
        <v>217</v>
      </c>
      <c r="J3" t="s">
        <v>216</v>
      </c>
      <c r="K3" t="s">
        <v>215</v>
      </c>
      <c r="L3" t="s">
        <v>214</v>
      </c>
      <c r="M3" t="s">
        <v>213</v>
      </c>
      <c r="N3" t="s">
        <v>212</v>
      </c>
      <c r="O3" t="s">
        <v>211</v>
      </c>
      <c r="P3" t="s">
        <v>210</v>
      </c>
      <c r="Q3" t="s">
        <v>209</v>
      </c>
      <c r="R3" t="s">
        <v>208</v>
      </c>
      <c r="S3" t="s">
        <v>207</v>
      </c>
    </row>
    <row r="4" spans="1:19" x14ac:dyDescent="0.25">
      <c r="A4" s="311" t="s">
        <v>153</v>
      </c>
      <c r="B4" s="310">
        <v>1</v>
      </c>
      <c r="C4" s="305">
        <v>1</v>
      </c>
      <c r="D4" s="305" t="s">
        <v>204</v>
      </c>
      <c r="E4" s="304">
        <v>5.94</v>
      </c>
      <c r="F4" s="304"/>
      <c r="G4" s="304"/>
      <c r="H4" s="304"/>
      <c r="I4" s="304">
        <v>928</v>
      </c>
      <c r="J4" s="304">
        <v>2</v>
      </c>
      <c r="K4" s="304">
        <v>24</v>
      </c>
      <c r="L4" s="304"/>
      <c r="M4" s="304"/>
      <c r="N4" s="304"/>
      <c r="O4" s="304"/>
      <c r="P4" s="304"/>
      <c r="Q4" s="304">
        <v>361605</v>
      </c>
      <c r="R4" s="304">
        <v>1000</v>
      </c>
      <c r="S4" s="304">
        <v>1445.9921798631476</v>
      </c>
    </row>
    <row r="5" spans="1:19" x14ac:dyDescent="0.25">
      <c r="A5" s="309" t="s">
        <v>154</v>
      </c>
      <c r="B5" s="308">
        <v>2</v>
      </c>
      <c r="C5">
        <v>1</v>
      </c>
      <c r="D5">
        <v>99</v>
      </c>
      <c r="E5">
        <v>2.2400000000000002</v>
      </c>
      <c r="I5">
        <v>288</v>
      </c>
      <c r="J5">
        <v>2</v>
      </c>
      <c r="Q5">
        <v>70147</v>
      </c>
      <c r="R5">
        <v>1000</v>
      </c>
      <c r="S5">
        <v>1445.9921798631476</v>
      </c>
    </row>
    <row r="6" spans="1:19" x14ac:dyDescent="0.25">
      <c r="A6" s="311" t="s">
        <v>155</v>
      </c>
      <c r="B6" s="310">
        <v>3</v>
      </c>
      <c r="C6">
        <v>1</v>
      </c>
      <c r="D6">
        <v>101</v>
      </c>
      <c r="E6">
        <v>3.7</v>
      </c>
      <c r="I6">
        <v>640</v>
      </c>
      <c r="K6">
        <v>24</v>
      </c>
      <c r="Q6">
        <v>291458</v>
      </c>
    </row>
    <row r="7" spans="1:19" x14ac:dyDescent="0.25">
      <c r="A7" s="309" t="s">
        <v>156</v>
      </c>
      <c r="B7" s="308">
        <v>4</v>
      </c>
      <c r="C7">
        <v>1</v>
      </c>
      <c r="D7" t="s">
        <v>983</v>
      </c>
      <c r="E7">
        <v>10.8</v>
      </c>
      <c r="I7">
        <v>1808</v>
      </c>
      <c r="L7">
        <v>42</v>
      </c>
      <c r="Q7">
        <v>504557</v>
      </c>
      <c r="R7">
        <v>8165</v>
      </c>
      <c r="S7">
        <v>1884.5707291818965</v>
      </c>
    </row>
    <row r="8" spans="1:19" x14ac:dyDescent="0.25">
      <c r="A8" s="311" t="s">
        <v>157</v>
      </c>
      <c r="B8" s="310">
        <v>5</v>
      </c>
      <c r="C8">
        <v>1</v>
      </c>
      <c r="D8">
        <v>526</v>
      </c>
      <c r="E8">
        <v>10.8</v>
      </c>
      <c r="I8">
        <v>1808</v>
      </c>
      <c r="Q8">
        <v>498257</v>
      </c>
      <c r="R8">
        <v>8165</v>
      </c>
      <c r="S8">
        <v>1884.5707291818965</v>
      </c>
    </row>
    <row r="9" spans="1:19" x14ac:dyDescent="0.25">
      <c r="A9" s="309" t="s">
        <v>158</v>
      </c>
      <c r="B9" s="308">
        <v>6</v>
      </c>
      <c r="C9">
        <v>1</v>
      </c>
      <c r="D9">
        <v>746</v>
      </c>
      <c r="L9">
        <v>42</v>
      </c>
      <c r="Q9">
        <v>6300</v>
      </c>
    </row>
    <row r="10" spans="1:19" x14ac:dyDescent="0.25">
      <c r="A10" s="311" t="s">
        <v>159</v>
      </c>
      <c r="B10" s="310">
        <v>7</v>
      </c>
      <c r="C10">
        <v>1</v>
      </c>
      <c r="D10" t="s">
        <v>984</v>
      </c>
      <c r="E10">
        <v>8.8000000000000007</v>
      </c>
      <c r="I10">
        <v>1576</v>
      </c>
      <c r="K10">
        <v>16</v>
      </c>
      <c r="Q10">
        <v>344758</v>
      </c>
      <c r="R10">
        <v>1600</v>
      </c>
      <c r="S10">
        <v>1166.6666666666667</v>
      </c>
    </row>
    <row r="11" spans="1:19" x14ac:dyDescent="0.25">
      <c r="A11" s="309" t="s">
        <v>160</v>
      </c>
      <c r="B11" s="308">
        <v>8</v>
      </c>
      <c r="C11">
        <v>1</v>
      </c>
      <c r="D11">
        <v>303</v>
      </c>
      <c r="R11">
        <v>1600</v>
      </c>
      <c r="S11">
        <v>1166.6666666666667</v>
      </c>
    </row>
    <row r="12" spans="1:19" x14ac:dyDescent="0.25">
      <c r="A12" s="311" t="s">
        <v>161</v>
      </c>
      <c r="B12" s="310">
        <v>9</v>
      </c>
      <c r="C12">
        <v>1</v>
      </c>
      <c r="D12">
        <v>304</v>
      </c>
      <c r="E12">
        <v>0.8</v>
      </c>
      <c r="I12">
        <v>148</v>
      </c>
      <c r="K12">
        <v>16</v>
      </c>
      <c r="Q12">
        <v>38009</v>
      </c>
    </row>
    <row r="13" spans="1:19" x14ac:dyDescent="0.25">
      <c r="A13" s="309" t="s">
        <v>162</v>
      </c>
      <c r="B13" s="308">
        <v>10</v>
      </c>
      <c r="C13">
        <v>1</v>
      </c>
      <c r="D13">
        <v>305</v>
      </c>
      <c r="E13">
        <v>1</v>
      </c>
      <c r="I13">
        <v>184</v>
      </c>
      <c r="Q13">
        <v>58120</v>
      </c>
    </row>
    <row r="14" spans="1:19" x14ac:dyDescent="0.25">
      <c r="A14" s="311" t="s">
        <v>163</v>
      </c>
      <c r="B14" s="310">
        <v>11</v>
      </c>
      <c r="C14">
        <v>1</v>
      </c>
      <c r="D14">
        <v>310</v>
      </c>
      <c r="E14">
        <v>1</v>
      </c>
      <c r="I14">
        <v>184</v>
      </c>
      <c r="Q14">
        <v>38900</v>
      </c>
    </row>
    <row r="15" spans="1:19" x14ac:dyDescent="0.25">
      <c r="A15" s="309" t="s">
        <v>164</v>
      </c>
      <c r="B15" s="308">
        <v>12</v>
      </c>
      <c r="C15">
        <v>1</v>
      </c>
      <c r="D15">
        <v>409</v>
      </c>
      <c r="E15">
        <v>5</v>
      </c>
      <c r="I15">
        <v>880</v>
      </c>
      <c r="Q15">
        <v>187823</v>
      </c>
    </row>
    <row r="16" spans="1:19" x14ac:dyDescent="0.25">
      <c r="A16" s="307" t="s">
        <v>152</v>
      </c>
      <c r="B16" s="306">
        <v>2019</v>
      </c>
      <c r="C16">
        <v>1</v>
      </c>
      <c r="D16">
        <v>642</v>
      </c>
      <c r="E16">
        <v>1</v>
      </c>
      <c r="I16">
        <v>180</v>
      </c>
      <c r="Q16">
        <v>21906</v>
      </c>
    </row>
    <row r="17" spans="3:19" x14ac:dyDescent="0.25">
      <c r="C17">
        <v>1</v>
      </c>
      <c r="D17" t="s">
        <v>985</v>
      </c>
      <c r="E17">
        <v>1.8</v>
      </c>
      <c r="I17">
        <v>291.2</v>
      </c>
      <c r="Q17">
        <v>52445</v>
      </c>
    </row>
    <row r="18" spans="3:19" x14ac:dyDescent="0.25">
      <c r="C18">
        <v>1</v>
      </c>
      <c r="D18">
        <v>30</v>
      </c>
      <c r="E18">
        <v>1.8</v>
      </c>
      <c r="I18">
        <v>291.2</v>
      </c>
      <c r="Q18">
        <v>52445</v>
      </c>
    </row>
    <row r="19" spans="3:19" x14ac:dyDescent="0.25">
      <c r="C19" t="s">
        <v>986</v>
      </c>
      <c r="E19">
        <v>27.340000000000003</v>
      </c>
      <c r="I19">
        <v>4603.2</v>
      </c>
      <c r="J19">
        <v>2</v>
      </c>
      <c r="K19">
        <v>40</v>
      </c>
      <c r="L19">
        <v>42</v>
      </c>
      <c r="Q19">
        <v>1263365</v>
      </c>
      <c r="R19">
        <v>10765</v>
      </c>
      <c r="S19">
        <v>4497.2295757117108</v>
      </c>
    </row>
    <row r="20" spans="3:19" x14ac:dyDescent="0.25">
      <c r="C20">
        <v>2</v>
      </c>
      <c r="D20" t="s">
        <v>204</v>
      </c>
      <c r="E20">
        <v>5.1715999999999998</v>
      </c>
      <c r="I20">
        <v>694.4</v>
      </c>
      <c r="K20">
        <v>27</v>
      </c>
      <c r="Q20">
        <v>390774</v>
      </c>
      <c r="S20">
        <v>1445.9921798631476</v>
      </c>
    </row>
    <row r="21" spans="3:19" x14ac:dyDescent="0.25">
      <c r="C21">
        <v>2</v>
      </c>
      <c r="D21">
        <v>99</v>
      </c>
      <c r="E21">
        <v>1.4716</v>
      </c>
      <c r="I21">
        <v>246.4</v>
      </c>
      <c r="K21">
        <v>6</v>
      </c>
      <c r="Q21">
        <v>65040</v>
      </c>
      <c r="S21">
        <v>1445.9921798631476</v>
      </c>
    </row>
    <row r="22" spans="3:19" x14ac:dyDescent="0.25">
      <c r="C22">
        <v>2</v>
      </c>
      <c r="D22">
        <v>101</v>
      </c>
      <c r="E22">
        <v>3.7</v>
      </c>
      <c r="I22">
        <v>448</v>
      </c>
      <c r="K22">
        <v>21</v>
      </c>
      <c r="Q22">
        <v>325734</v>
      </c>
    </row>
    <row r="23" spans="3:19" x14ac:dyDescent="0.25">
      <c r="C23">
        <v>2</v>
      </c>
      <c r="D23" t="s">
        <v>983</v>
      </c>
      <c r="E23">
        <v>10.8</v>
      </c>
      <c r="I23">
        <v>1448</v>
      </c>
      <c r="L23">
        <v>40</v>
      </c>
      <c r="Q23">
        <v>439177</v>
      </c>
      <c r="R23">
        <v>4500</v>
      </c>
      <c r="S23">
        <v>1884.5707291818965</v>
      </c>
    </row>
    <row r="24" spans="3:19" x14ac:dyDescent="0.25">
      <c r="C24">
        <v>2</v>
      </c>
      <c r="D24">
        <v>526</v>
      </c>
      <c r="E24">
        <v>10.8</v>
      </c>
      <c r="I24">
        <v>1448</v>
      </c>
      <c r="Q24">
        <v>433177</v>
      </c>
      <c r="R24">
        <v>4500</v>
      </c>
      <c r="S24">
        <v>1884.5707291818965</v>
      </c>
    </row>
    <row r="25" spans="3:19" x14ac:dyDescent="0.25">
      <c r="C25">
        <v>2</v>
      </c>
      <c r="D25">
        <v>746</v>
      </c>
      <c r="L25">
        <v>40</v>
      </c>
      <c r="Q25">
        <v>6000</v>
      </c>
    </row>
    <row r="26" spans="3:19" x14ac:dyDescent="0.25">
      <c r="C26">
        <v>2</v>
      </c>
      <c r="D26" t="s">
        <v>984</v>
      </c>
      <c r="E26">
        <v>8.8000000000000007</v>
      </c>
      <c r="I26">
        <v>1212</v>
      </c>
      <c r="K26">
        <v>11</v>
      </c>
      <c r="Q26">
        <v>319002</v>
      </c>
      <c r="R26">
        <v>1300</v>
      </c>
      <c r="S26">
        <v>1166.6666666666667</v>
      </c>
    </row>
    <row r="27" spans="3:19" x14ac:dyDescent="0.25">
      <c r="C27">
        <v>2</v>
      </c>
      <c r="D27">
        <v>303</v>
      </c>
      <c r="R27">
        <v>1300</v>
      </c>
      <c r="S27">
        <v>1166.6666666666667</v>
      </c>
    </row>
    <row r="28" spans="3:19" x14ac:dyDescent="0.25">
      <c r="C28">
        <v>2</v>
      </c>
      <c r="D28">
        <v>304</v>
      </c>
      <c r="E28">
        <v>0.8</v>
      </c>
      <c r="I28">
        <v>124</v>
      </c>
      <c r="K28">
        <v>11</v>
      </c>
      <c r="Q28">
        <v>37191</v>
      </c>
    </row>
    <row r="29" spans="3:19" x14ac:dyDescent="0.25">
      <c r="C29">
        <v>2</v>
      </c>
      <c r="D29">
        <v>305</v>
      </c>
      <c r="E29">
        <v>1</v>
      </c>
      <c r="I29">
        <v>152</v>
      </c>
      <c r="Q29">
        <v>58150</v>
      </c>
    </row>
    <row r="30" spans="3:19" x14ac:dyDescent="0.25">
      <c r="C30">
        <v>2</v>
      </c>
      <c r="D30">
        <v>310</v>
      </c>
      <c r="E30">
        <v>1</v>
      </c>
      <c r="I30">
        <v>152</v>
      </c>
      <c r="Q30">
        <v>38774</v>
      </c>
    </row>
    <row r="31" spans="3:19" x14ac:dyDescent="0.25">
      <c r="C31">
        <v>2</v>
      </c>
      <c r="D31">
        <v>409</v>
      </c>
      <c r="E31">
        <v>5</v>
      </c>
      <c r="I31">
        <v>668</v>
      </c>
      <c r="Q31">
        <v>168520</v>
      </c>
    </row>
    <row r="32" spans="3:19" x14ac:dyDescent="0.25">
      <c r="C32">
        <v>2</v>
      </c>
      <c r="D32">
        <v>642</v>
      </c>
      <c r="E32">
        <v>1</v>
      </c>
      <c r="I32">
        <v>116</v>
      </c>
      <c r="Q32">
        <v>16367</v>
      </c>
    </row>
    <row r="33" spans="3:19" x14ac:dyDescent="0.25">
      <c r="C33">
        <v>2</v>
      </c>
      <c r="D33" t="s">
        <v>985</v>
      </c>
      <c r="E33">
        <v>1.8</v>
      </c>
      <c r="I33">
        <v>256.8</v>
      </c>
      <c r="Q33">
        <v>51573</v>
      </c>
    </row>
    <row r="34" spans="3:19" x14ac:dyDescent="0.25">
      <c r="C34">
        <v>2</v>
      </c>
      <c r="D34">
        <v>30</v>
      </c>
      <c r="E34">
        <v>1.8</v>
      </c>
      <c r="I34">
        <v>256.8</v>
      </c>
      <c r="Q34">
        <v>51573</v>
      </c>
    </row>
    <row r="35" spans="3:19" x14ac:dyDescent="0.25">
      <c r="C35" t="s">
        <v>987</v>
      </c>
      <c r="E35">
        <v>26.5716</v>
      </c>
      <c r="I35">
        <v>3611.2000000000003</v>
      </c>
      <c r="K35">
        <v>38</v>
      </c>
      <c r="L35">
        <v>40</v>
      </c>
      <c r="Q35">
        <v>1200526</v>
      </c>
      <c r="R35">
        <v>5800</v>
      </c>
      <c r="S35">
        <v>4497.2295757117108</v>
      </c>
    </row>
    <row r="36" spans="3:19" x14ac:dyDescent="0.25">
      <c r="C36">
        <v>3</v>
      </c>
      <c r="D36" t="s">
        <v>204</v>
      </c>
      <c r="E36">
        <v>5.1400000000000006</v>
      </c>
      <c r="I36">
        <v>723.2</v>
      </c>
      <c r="K36">
        <v>14</v>
      </c>
      <c r="Q36">
        <v>377570</v>
      </c>
      <c r="R36">
        <v>3900</v>
      </c>
      <c r="S36">
        <v>1445.9921798631476</v>
      </c>
    </row>
    <row r="37" spans="3:19" x14ac:dyDescent="0.25">
      <c r="C37">
        <v>3</v>
      </c>
      <c r="D37">
        <v>99</v>
      </c>
      <c r="E37">
        <v>0.8</v>
      </c>
      <c r="I37">
        <v>96</v>
      </c>
      <c r="Q37">
        <v>28992</v>
      </c>
      <c r="R37">
        <v>3900</v>
      </c>
      <c r="S37">
        <v>1445.9921798631476</v>
      </c>
    </row>
    <row r="38" spans="3:19" x14ac:dyDescent="0.25">
      <c r="C38">
        <v>3</v>
      </c>
      <c r="D38">
        <v>100</v>
      </c>
      <c r="E38">
        <v>0.64</v>
      </c>
      <c r="I38">
        <v>115.2</v>
      </c>
      <c r="Q38">
        <v>34966</v>
      </c>
    </row>
    <row r="39" spans="3:19" x14ac:dyDescent="0.25">
      <c r="C39">
        <v>3</v>
      </c>
      <c r="D39">
        <v>101</v>
      </c>
      <c r="E39">
        <v>3.7</v>
      </c>
      <c r="I39">
        <v>512</v>
      </c>
      <c r="K39">
        <v>14</v>
      </c>
      <c r="Q39">
        <v>313612</v>
      </c>
    </row>
    <row r="40" spans="3:19" x14ac:dyDescent="0.25">
      <c r="C40">
        <v>3</v>
      </c>
      <c r="D40" t="s">
        <v>983</v>
      </c>
      <c r="E40">
        <v>10.5</v>
      </c>
      <c r="I40">
        <v>1569.6</v>
      </c>
      <c r="L40">
        <v>37</v>
      </c>
      <c r="Q40">
        <v>485006</v>
      </c>
      <c r="R40">
        <v>10200</v>
      </c>
      <c r="S40">
        <v>1884.5707291818965</v>
      </c>
    </row>
    <row r="41" spans="3:19" x14ac:dyDescent="0.25">
      <c r="C41">
        <v>3</v>
      </c>
      <c r="D41">
        <v>526</v>
      </c>
      <c r="E41">
        <v>10.5</v>
      </c>
      <c r="I41">
        <v>1569.6</v>
      </c>
      <c r="Q41">
        <v>479456</v>
      </c>
      <c r="R41">
        <v>10200</v>
      </c>
      <c r="S41">
        <v>1884.5707291818965</v>
      </c>
    </row>
    <row r="42" spans="3:19" x14ac:dyDescent="0.25">
      <c r="C42">
        <v>3</v>
      </c>
      <c r="D42">
        <v>746</v>
      </c>
      <c r="L42">
        <v>37</v>
      </c>
      <c r="Q42">
        <v>5550</v>
      </c>
    </row>
    <row r="43" spans="3:19" x14ac:dyDescent="0.25">
      <c r="C43">
        <v>3</v>
      </c>
      <c r="D43" t="s">
        <v>984</v>
      </c>
      <c r="E43">
        <v>8.8000000000000007</v>
      </c>
      <c r="I43">
        <v>1356</v>
      </c>
      <c r="K43">
        <v>18</v>
      </c>
      <c r="O43">
        <v>5000</v>
      </c>
      <c r="P43">
        <v>5000</v>
      </c>
      <c r="Q43">
        <v>331389</v>
      </c>
      <c r="R43">
        <v>300</v>
      </c>
      <c r="S43">
        <v>1166.6666666666667</v>
      </c>
    </row>
    <row r="44" spans="3:19" x14ac:dyDescent="0.25">
      <c r="C44">
        <v>3</v>
      </c>
      <c r="D44">
        <v>303</v>
      </c>
      <c r="R44">
        <v>300</v>
      </c>
      <c r="S44">
        <v>1166.6666666666667</v>
      </c>
    </row>
    <row r="45" spans="3:19" x14ac:dyDescent="0.25">
      <c r="C45">
        <v>3</v>
      </c>
      <c r="D45">
        <v>304</v>
      </c>
      <c r="E45">
        <v>0.8</v>
      </c>
      <c r="I45">
        <v>116</v>
      </c>
      <c r="K45">
        <v>18</v>
      </c>
      <c r="Q45">
        <v>38871</v>
      </c>
    </row>
    <row r="46" spans="3:19" x14ac:dyDescent="0.25">
      <c r="C46">
        <v>3</v>
      </c>
      <c r="D46">
        <v>305</v>
      </c>
      <c r="E46">
        <v>1</v>
      </c>
      <c r="I46">
        <v>168</v>
      </c>
      <c r="Q46">
        <v>58120</v>
      </c>
    </row>
    <row r="47" spans="3:19" x14ac:dyDescent="0.25">
      <c r="C47">
        <v>3</v>
      </c>
      <c r="D47">
        <v>310</v>
      </c>
      <c r="E47">
        <v>1</v>
      </c>
      <c r="I47">
        <v>128</v>
      </c>
      <c r="O47">
        <v>5000</v>
      </c>
      <c r="P47">
        <v>5000</v>
      </c>
      <c r="Q47">
        <v>38732</v>
      </c>
    </row>
    <row r="48" spans="3:19" x14ac:dyDescent="0.25">
      <c r="C48">
        <v>3</v>
      </c>
      <c r="D48">
        <v>409</v>
      </c>
      <c r="E48">
        <v>5</v>
      </c>
      <c r="I48">
        <v>784</v>
      </c>
      <c r="Q48">
        <v>173816</v>
      </c>
    </row>
    <row r="49" spans="3:19" x14ac:dyDescent="0.25">
      <c r="C49">
        <v>3</v>
      </c>
      <c r="D49">
        <v>642</v>
      </c>
      <c r="E49">
        <v>1</v>
      </c>
      <c r="I49">
        <v>160</v>
      </c>
      <c r="Q49">
        <v>21850</v>
      </c>
    </row>
    <row r="50" spans="3:19" x14ac:dyDescent="0.25">
      <c r="C50">
        <v>3</v>
      </c>
      <c r="D50" t="s">
        <v>985</v>
      </c>
      <c r="E50">
        <v>1.8</v>
      </c>
      <c r="I50">
        <v>228</v>
      </c>
      <c r="Q50">
        <v>51940</v>
      </c>
    </row>
    <row r="51" spans="3:19" x14ac:dyDescent="0.25">
      <c r="C51">
        <v>3</v>
      </c>
      <c r="D51">
        <v>30</v>
      </c>
      <c r="E51">
        <v>1.8</v>
      </c>
      <c r="I51">
        <v>228</v>
      </c>
      <c r="Q51">
        <v>51940</v>
      </c>
    </row>
    <row r="52" spans="3:19" x14ac:dyDescent="0.25">
      <c r="C52" t="s">
        <v>988</v>
      </c>
      <c r="E52">
        <v>26.240000000000002</v>
      </c>
      <c r="I52">
        <v>3876.8</v>
      </c>
      <c r="K52">
        <v>32</v>
      </c>
      <c r="L52">
        <v>37</v>
      </c>
      <c r="O52">
        <v>5000</v>
      </c>
      <c r="P52">
        <v>5000</v>
      </c>
      <c r="Q52">
        <v>1245905</v>
      </c>
      <c r="R52">
        <v>14400</v>
      </c>
      <c r="S52">
        <v>4497.2295757117108</v>
      </c>
    </row>
    <row r="53" spans="3:19" x14ac:dyDescent="0.25">
      <c r="C53">
        <v>4</v>
      </c>
      <c r="D53" t="s">
        <v>204</v>
      </c>
      <c r="E53">
        <v>5.1400000000000006</v>
      </c>
      <c r="I53">
        <v>868.8</v>
      </c>
      <c r="J53">
        <v>7</v>
      </c>
      <c r="K53">
        <v>24</v>
      </c>
      <c r="Q53">
        <v>374042</v>
      </c>
      <c r="S53">
        <v>1445.9921798631476</v>
      </c>
    </row>
    <row r="54" spans="3:19" x14ac:dyDescent="0.25">
      <c r="C54">
        <v>4</v>
      </c>
      <c r="D54">
        <v>99</v>
      </c>
      <c r="E54">
        <v>0.8</v>
      </c>
      <c r="I54">
        <v>140.80000000000001</v>
      </c>
      <c r="Q54">
        <v>30492</v>
      </c>
      <c r="S54">
        <v>1445.9921798631476</v>
      </c>
    </row>
    <row r="55" spans="3:19" x14ac:dyDescent="0.25">
      <c r="C55">
        <v>4</v>
      </c>
      <c r="D55">
        <v>100</v>
      </c>
      <c r="E55">
        <v>0.64</v>
      </c>
      <c r="I55">
        <v>128</v>
      </c>
      <c r="J55">
        <v>7</v>
      </c>
      <c r="Q55">
        <v>38262</v>
      </c>
    </row>
    <row r="56" spans="3:19" x14ac:dyDescent="0.25">
      <c r="C56">
        <v>4</v>
      </c>
      <c r="D56">
        <v>101</v>
      </c>
      <c r="E56">
        <v>3.7</v>
      </c>
      <c r="I56">
        <v>600</v>
      </c>
      <c r="K56">
        <v>24</v>
      </c>
      <c r="Q56">
        <v>305288</v>
      </c>
    </row>
    <row r="57" spans="3:19" x14ac:dyDescent="0.25">
      <c r="C57">
        <v>4</v>
      </c>
      <c r="D57" t="s">
        <v>983</v>
      </c>
      <c r="E57">
        <v>10.5</v>
      </c>
      <c r="I57">
        <v>1747.2</v>
      </c>
      <c r="L57">
        <v>36</v>
      </c>
      <c r="Q57">
        <v>475572</v>
      </c>
      <c r="R57">
        <v>9882</v>
      </c>
      <c r="S57">
        <v>1884.5707291818965</v>
      </c>
    </row>
    <row r="58" spans="3:19" x14ac:dyDescent="0.25">
      <c r="C58">
        <v>4</v>
      </c>
      <c r="D58">
        <v>526</v>
      </c>
      <c r="E58">
        <v>10.5</v>
      </c>
      <c r="I58">
        <v>1747.2</v>
      </c>
      <c r="Q58">
        <v>470172</v>
      </c>
      <c r="R58">
        <v>9882</v>
      </c>
      <c r="S58">
        <v>1884.5707291818965</v>
      </c>
    </row>
    <row r="59" spans="3:19" x14ac:dyDescent="0.25">
      <c r="C59">
        <v>4</v>
      </c>
      <c r="D59">
        <v>746</v>
      </c>
      <c r="L59">
        <v>36</v>
      </c>
      <c r="Q59">
        <v>5400</v>
      </c>
    </row>
    <row r="60" spans="3:19" x14ac:dyDescent="0.25">
      <c r="C60">
        <v>4</v>
      </c>
      <c r="D60" t="s">
        <v>984</v>
      </c>
      <c r="E60">
        <v>8.8000000000000007</v>
      </c>
      <c r="I60">
        <v>1488</v>
      </c>
      <c r="K60">
        <v>15</v>
      </c>
      <c r="Q60">
        <v>332427</v>
      </c>
      <c r="S60">
        <v>1166.6666666666667</v>
      </c>
    </row>
    <row r="61" spans="3:19" x14ac:dyDescent="0.25">
      <c r="C61">
        <v>4</v>
      </c>
      <c r="D61">
        <v>303</v>
      </c>
      <c r="S61">
        <v>1166.6666666666667</v>
      </c>
    </row>
    <row r="62" spans="3:19" x14ac:dyDescent="0.25">
      <c r="C62">
        <v>4</v>
      </c>
      <c r="D62">
        <v>304</v>
      </c>
      <c r="E62">
        <v>0.8</v>
      </c>
      <c r="I62">
        <v>120</v>
      </c>
      <c r="K62">
        <v>15</v>
      </c>
      <c r="Q62">
        <v>38226</v>
      </c>
    </row>
    <row r="63" spans="3:19" x14ac:dyDescent="0.25">
      <c r="C63">
        <v>4</v>
      </c>
      <c r="D63">
        <v>305</v>
      </c>
      <c r="E63">
        <v>1</v>
      </c>
      <c r="I63">
        <v>176</v>
      </c>
      <c r="Q63">
        <v>58120</v>
      </c>
    </row>
    <row r="64" spans="3:19" x14ac:dyDescent="0.25">
      <c r="C64">
        <v>4</v>
      </c>
      <c r="D64">
        <v>310</v>
      </c>
      <c r="E64">
        <v>1</v>
      </c>
      <c r="I64">
        <v>168</v>
      </c>
      <c r="Q64">
        <v>39036</v>
      </c>
    </row>
    <row r="65" spans="3:19" x14ac:dyDescent="0.25">
      <c r="C65">
        <v>4</v>
      </c>
      <c r="D65">
        <v>409</v>
      </c>
      <c r="E65">
        <v>5</v>
      </c>
      <c r="I65">
        <v>852</v>
      </c>
      <c r="Q65">
        <v>175135</v>
      </c>
    </row>
    <row r="66" spans="3:19" x14ac:dyDescent="0.25">
      <c r="C66">
        <v>4</v>
      </c>
      <c r="D66">
        <v>642</v>
      </c>
      <c r="E66">
        <v>1</v>
      </c>
      <c r="I66">
        <v>172</v>
      </c>
      <c r="Q66">
        <v>21910</v>
      </c>
    </row>
    <row r="67" spans="3:19" x14ac:dyDescent="0.25">
      <c r="C67">
        <v>4</v>
      </c>
      <c r="D67" t="s">
        <v>985</v>
      </c>
      <c r="E67">
        <v>1.8</v>
      </c>
      <c r="I67">
        <v>366.4</v>
      </c>
      <c r="Q67">
        <v>51934</v>
      </c>
    </row>
    <row r="68" spans="3:19" x14ac:dyDescent="0.25">
      <c r="C68">
        <v>4</v>
      </c>
      <c r="D68">
        <v>30</v>
      </c>
      <c r="E68">
        <v>1.8</v>
      </c>
      <c r="I68">
        <v>366.4</v>
      </c>
      <c r="Q68">
        <v>51934</v>
      </c>
    </row>
    <row r="69" spans="3:19" x14ac:dyDescent="0.25">
      <c r="C69" t="s">
        <v>989</v>
      </c>
      <c r="E69">
        <v>26.240000000000002</v>
      </c>
      <c r="I69">
        <v>4470.3999999999996</v>
      </c>
      <c r="J69">
        <v>7</v>
      </c>
      <c r="K69">
        <v>39</v>
      </c>
      <c r="L69">
        <v>36</v>
      </c>
      <c r="Q69">
        <v>1233975</v>
      </c>
      <c r="R69">
        <v>9882</v>
      </c>
      <c r="S69">
        <v>4497.2295757117108</v>
      </c>
    </row>
    <row r="70" spans="3:19" x14ac:dyDescent="0.25">
      <c r="C70">
        <v>5</v>
      </c>
      <c r="D70" t="s">
        <v>204</v>
      </c>
      <c r="E70">
        <v>5.1400000000000006</v>
      </c>
      <c r="I70">
        <v>941.6</v>
      </c>
      <c r="K70">
        <v>25</v>
      </c>
      <c r="Q70">
        <v>363531</v>
      </c>
      <c r="S70">
        <v>1445.9921798631476</v>
      </c>
    </row>
    <row r="71" spans="3:19" x14ac:dyDescent="0.25">
      <c r="C71">
        <v>5</v>
      </c>
      <c r="D71">
        <v>99</v>
      </c>
      <c r="E71">
        <v>0.8</v>
      </c>
      <c r="I71">
        <v>147.19999999999999</v>
      </c>
      <c r="Q71">
        <v>30492</v>
      </c>
      <c r="S71">
        <v>1445.9921798631476</v>
      </c>
    </row>
    <row r="72" spans="3:19" x14ac:dyDescent="0.25">
      <c r="C72">
        <v>5</v>
      </c>
      <c r="D72">
        <v>100</v>
      </c>
      <c r="E72">
        <v>0.64</v>
      </c>
      <c r="I72">
        <v>134.4</v>
      </c>
      <c r="Q72">
        <v>36308</v>
      </c>
    </row>
    <row r="73" spans="3:19" x14ac:dyDescent="0.25">
      <c r="C73">
        <v>5</v>
      </c>
      <c r="D73">
        <v>101</v>
      </c>
      <c r="E73">
        <v>3.7</v>
      </c>
      <c r="I73">
        <v>660</v>
      </c>
      <c r="K73">
        <v>25</v>
      </c>
      <c r="Q73">
        <v>296731</v>
      </c>
    </row>
    <row r="74" spans="3:19" x14ac:dyDescent="0.25">
      <c r="C74">
        <v>5</v>
      </c>
      <c r="D74" t="s">
        <v>983</v>
      </c>
      <c r="E74">
        <v>10.5</v>
      </c>
      <c r="I74">
        <v>1710.8</v>
      </c>
      <c r="L74">
        <v>32</v>
      </c>
      <c r="Q74">
        <v>483261</v>
      </c>
      <c r="R74">
        <v>14400</v>
      </c>
      <c r="S74">
        <v>1884.5707291818965</v>
      </c>
    </row>
    <row r="75" spans="3:19" x14ac:dyDescent="0.25">
      <c r="C75">
        <v>5</v>
      </c>
      <c r="D75">
        <v>526</v>
      </c>
      <c r="E75">
        <v>10.5</v>
      </c>
      <c r="I75">
        <v>1710.8</v>
      </c>
      <c r="Q75">
        <v>478461</v>
      </c>
      <c r="R75">
        <v>14400</v>
      </c>
      <c r="S75">
        <v>1884.5707291818965</v>
      </c>
    </row>
    <row r="76" spans="3:19" x14ac:dyDescent="0.25">
      <c r="C76">
        <v>5</v>
      </c>
      <c r="D76">
        <v>746</v>
      </c>
      <c r="L76">
        <v>32</v>
      </c>
      <c r="Q76">
        <v>4800</v>
      </c>
    </row>
    <row r="77" spans="3:19" x14ac:dyDescent="0.25">
      <c r="C77">
        <v>5</v>
      </c>
      <c r="D77" t="s">
        <v>984</v>
      </c>
      <c r="E77">
        <v>8.8000000000000007</v>
      </c>
      <c r="I77">
        <v>1556</v>
      </c>
      <c r="K77">
        <v>24</v>
      </c>
      <c r="Q77">
        <v>335262</v>
      </c>
      <c r="S77">
        <v>1166.6666666666667</v>
      </c>
    </row>
    <row r="78" spans="3:19" x14ac:dyDescent="0.25">
      <c r="C78">
        <v>5</v>
      </c>
      <c r="D78">
        <v>303</v>
      </c>
      <c r="S78">
        <v>1166.6666666666667</v>
      </c>
    </row>
    <row r="79" spans="3:19" x14ac:dyDescent="0.25">
      <c r="C79">
        <v>5</v>
      </c>
      <c r="D79">
        <v>304</v>
      </c>
      <c r="E79">
        <v>0.8</v>
      </c>
      <c r="I79">
        <v>136</v>
      </c>
      <c r="K79">
        <v>24</v>
      </c>
      <c r="Q79">
        <v>40283</v>
      </c>
    </row>
    <row r="80" spans="3:19" x14ac:dyDescent="0.25">
      <c r="C80">
        <v>5</v>
      </c>
      <c r="D80">
        <v>305</v>
      </c>
      <c r="E80">
        <v>1</v>
      </c>
      <c r="I80">
        <v>180</v>
      </c>
      <c r="Q80">
        <v>58333</v>
      </c>
    </row>
    <row r="81" spans="3:19" x14ac:dyDescent="0.25">
      <c r="C81">
        <v>5</v>
      </c>
      <c r="D81">
        <v>310</v>
      </c>
      <c r="E81">
        <v>1</v>
      </c>
      <c r="I81">
        <v>152</v>
      </c>
      <c r="Q81">
        <v>39751</v>
      </c>
    </row>
    <row r="82" spans="3:19" x14ac:dyDescent="0.25">
      <c r="C82">
        <v>5</v>
      </c>
      <c r="D82">
        <v>409</v>
      </c>
      <c r="E82">
        <v>5</v>
      </c>
      <c r="I82">
        <v>912</v>
      </c>
      <c r="Q82">
        <v>174902</v>
      </c>
    </row>
    <row r="83" spans="3:19" x14ac:dyDescent="0.25">
      <c r="C83">
        <v>5</v>
      </c>
      <c r="D83">
        <v>642</v>
      </c>
      <c r="E83">
        <v>1</v>
      </c>
      <c r="I83">
        <v>176</v>
      </c>
      <c r="Q83">
        <v>21993</v>
      </c>
    </row>
    <row r="84" spans="3:19" x14ac:dyDescent="0.25">
      <c r="C84">
        <v>5</v>
      </c>
      <c r="D84" t="s">
        <v>985</v>
      </c>
      <c r="E84">
        <v>1.8</v>
      </c>
      <c r="I84">
        <v>246.4</v>
      </c>
      <c r="Q84">
        <v>53431</v>
      </c>
    </row>
    <row r="85" spans="3:19" x14ac:dyDescent="0.25">
      <c r="C85">
        <v>5</v>
      </c>
      <c r="D85">
        <v>30</v>
      </c>
      <c r="E85">
        <v>1.8</v>
      </c>
      <c r="I85">
        <v>246.4</v>
      </c>
      <c r="Q85">
        <v>53431</v>
      </c>
    </row>
    <row r="86" spans="3:19" x14ac:dyDescent="0.25">
      <c r="C86" t="s">
        <v>990</v>
      </c>
      <c r="E86">
        <v>26.240000000000002</v>
      </c>
      <c r="I86">
        <v>4454.7999999999993</v>
      </c>
      <c r="K86">
        <v>49</v>
      </c>
      <c r="L86">
        <v>32</v>
      </c>
      <c r="Q86">
        <v>1235485</v>
      </c>
      <c r="R86">
        <v>14400</v>
      </c>
      <c r="S86">
        <v>4497.2295757117108</v>
      </c>
    </row>
    <row r="87" spans="3:19" x14ac:dyDescent="0.25">
      <c r="C87">
        <v>6</v>
      </c>
      <c r="D87" t="s">
        <v>204</v>
      </c>
      <c r="E87">
        <v>5.1400000000000006</v>
      </c>
      <c r="I87">
        <v>732.8</v>
      </c>
      <c r="J87">
        <v>8.1999999999999993</v>
      </c>
      <c r="Q87">
        <v>352883</v>
      </c>
      <c r="S87">
        <v>1445.9921798631476</v>
      </c>
    </row>
    <row r="88" spans="3:19" x14ac:dyDescent="0.25">
      <c r="C88">
        <v>6</v>
      </c>
      <c r="D88">
        <v>99</v>
      </c>
      <c r="E88">
        <v>0.8</v>
      </c>
      <c r="I88">
        <v>115.2</v>
      </c>
      <c r="Q88">
        <v>30219</v>
      </c>
      <c r="S88">
        <v>1445.9921798631476</v>
      </c>
    </row>
    <row r="89" spans="3:19" x14ac:dyDescent="0.25">
      <c r="C89">
        <v>6</v>
      </c>
      <c r="D89">
        <v>100</v>
      </c>
      <c r="E89">
        <v>0.64</v>
      </c>
      <c r="I89">
        <v>121.6</v>
      </c>
      <c r="J89">
        <v>8.1999999999999993</v>
      </c>
      <c r="Q89">
        <v>38583</v>
      </c>
    </row>
    <row r="90" spans="3:19" x14ac:dyDescent="0.25">
      <c r="C90">
        <v>6</v>
      </c>
      <c r="D90">
        <v>101</v>
      </c>
      <c r="E90">
        <v>3.7</v>
      </c>
      <c r="I90">
        <v>496</v>
      </c>
      <c r="Q90">
        <v>284081</v>
      </c>
    </row>
    <row r="91" spans="3:19" x14ac:dyDescent="0.25">
      <c r="C91">
        <v>6</v>
      </c>
      <c r="D91" t="s">
        <v>983</v>
      </c>
      <c r="E91">
        <v>10.5</v>
      </c>
      <c r="I91">
        <v>1404</v>
      </c>
      <c r="L91">
        <v>42</v>
      </c>
      <c r="Q91">
        <v>478702</v>
      </c>
      <c r="S91">
        <v>1884.5707291818965</v>
      </c>
    </row>
    <row r="92" spans="3:19" x14ac:dyDescent="0.25">
      <c r="C92">
        <v>6</v>
      </c>
      <c r="D92">
        <v>526</v>
      </c>
      <c r="E92">
        <v>10.5</v>
      </c>
      <c r="I92">
        <v>1404</v>
      </c>
      <c r="Q92">
        <v>472402</v>
      </c>
      <c r="S92">
        <v>1884.5707291818965</v>
      </c>
    </row>
    <row r="93" spans="3:19" x14ac:dyDescent="0.25">
      <c r="C93">
        <v>6</v>
      </c>
      <c r="D93">
        <v>746</v>
      </c>
      <c r="L93">
        <v>42</v>
      </c>
      <c r="Q93">
        <v>6300</v>
      </c>
    </row>
    <row r="94" spans="3:19" x14ac:dyDescent="0.25">
      <c r="C94">
        <v>6</v>
      </c>
      <c r="D94" t="s">
        <v>984</v>
      </c>
      <c r="E94">
        <v>8.8000000000000007</v>
      </c>
      <c r="I94">
        <v>1180</v>
      </c>
      <c r="K94">
        <v>10</v>
      </c>
      <c r="Q94">
        <v>323248</v>
      </c>
      <c r="S94">
        <v>1166.6666666666667</v>
      </c>
    </row>
    <row r="95" spans="3:19" x14ac:dyDescent="0.25">
      <c r="C95">
        <v>6</v>
      </c>
      <c r="D95">
        <v>303</v>
      </c>
      <c r="S95">
        <v>1166.6666666666667</v>
      </c>
    </row>
    <row r="96" spans="3:19" x14ac:dyDescent="0.25">
      <c r="C96">
        <v>6</v>
      </c>
      <c r="D96">
        <v>304</v>
      </c>
      <c r="E96">
        <v>0.8</v>
      </c>
      <c r="I96">
        <v>64</v>
      </c>
      <c r="K96">
        <v>10</v>
      </c>
      <c r="Q96">
        <v>36540</v>
      </c>
    </row>
    <row r="97" spans="3:19" x14ac:dyDescent="0.25">
      <c r="C97">
        <v>6</v>
      </c>
      <c r="D97">
        <v>305</v>
      </c>
      <c r="E97">
        <v>1</v>
      </c>
      <c r="I97">
        <v>160</v>
      </c>
      <c r="Q97">
        <v>58120</v>
      </c>
    </row>
    <row r="98" spans="3:19" x14ac:dyDescent="0.25">
      <c r="C98">
        <v>6</v>
      </c>
      <c r="D98">
        <v>310</v>
      </c>
      <c r="E98">
        <v>1</v>
      </c>
      <c r="I98">
        <v>144</v>
      </c>
      <c r="Q98">
        <v>38818</v>
      </c>
    </row>
    <row r="99" spans="3:19" x14ac:dyDescent="0.25">
      <c r="C99">
        <v>6</v>
      </c>
      <c r="D99">
        <v>409</v>
      </c>
      <c r="E99">
        <v>5</v>
      </c>
      <c r="I99">
        <v>716</v>
      </c>
      <c r="Q99">
        <v>175574</v>
      </c>
    </row>
    <row r="100" spans="3:19" x14ac:dyDescent="0.25">
      <c r="C100">
        <v>6</v>
      </c>
      <c r="D100">
        <v>642</v>
      </c>
      <c r="E100">
        <v>1</v>
      </c>
      <c r="I100">
        <v>96</v>
      </c>
      <c r="Q100">
        <v>14196</v>
      </c>
    </row>
    <row r="101" spans="3:19" x14ac:dyDescent="0.25">
      <c r="C101">
        <v>6</v>
      </c>
      <c r="D101" t="s">
        <v>985</v>
      </c>
      <c r="E101">
        <v>1.8</v>
      </c>
      <c r="I101">
        <v>281.60000000000002</v>
      </c>
      <c r="Q101">
        <v>51813</v>
      </c>
    </row>
    <row r="102" spans="3:19" x14ac:dyDescent="0.25">
      <c r="C102">
        <v>6</v>
      </c>
      <c r="D102">
        <v>30</v>
      </c>
      <c r="E102">
        <v>1.8</v>
      </c>
      <c r="I102">
        <v>281.60000000000002</v>
      </c>
      <c r="Q102">
        <v>51813</v>
      </c>
    </row>
    <row r="103" spans="3:19" x14ac:dyDescent="0.25">
      <c r="C103" t="s">
        <v>991</v>
      </c>
      <c r="E103">
        <v>26.240000000000002</v>
      </c>
      <c r="I103">
        <v>3598.4</v>
      </c>
      <c r="J103">
        <v>8.1999999999999993</v>
      </c>
      <c r="K103">
        <v>10</v>
      </c>
      <c r="L103">
        <v>42</v>
      </c>
      <c r="Q103">
        <v>1206646</v>
      </c>
      <c r="S103">
        <v>4497.2295757117108</v>
      </c>
    </row>
    <row r="104" spans="3:19" x14ac:dyDescent="0.25">
      <c r="C104">
        <v>7</v>
      </c>
      <c r="D104" t="s">
        <v>204</v>
      </c>
      <c r="E104">
        <v>4.7</v>
      </c>
      <c r="I104">
        <v>631.6</v>
      </c>
      <c r="K104">
        <v>45</v>
      </c>
      <c r="O104">
        <v>158825</v>
      </c>
      <c r="P104">
        <v>158825</v>
      </c>
      <c r="Q104">
        <v>541513</v>
      </c>
      <c r="S104">
        <v>1445.9921798631476</v>
      </c>
    </row>
    <row r="105" spans="3:19" x14ac:dyDescent="0.25">
      <c r="C105">
        <v>7</v>
      </c>
      <c r="D105">
        <v>99</v>
      </c>
      <c r="E105">
        <v>0.8</v>
      </c>
      <c r="I105">
        <v>121.6</v>
      </c>
      <c r="O105">
        <v>15360</v>
      </c>
      <c r="P105">
        <v>15360</v>
      </c>
      <c r="Q105">
        <v>46165</v>
      </c>
      <c r="S105">
        <v>1445.9921798631476</v>
      </c>
    </row>
    <row r="106" spans="3:19" x14ac:dyDescent="0.25">
      <c r="C106">
        <v>7</v>
      </c>
      <c r="D106">
        <v>100</v>
      </c>
      <c r="E106">
        <v>1</v>
      </c>
      <c r="I106">
        <v>160</v>
      </c>
      <c r="O106">
        <v>16564</v>
      </c>
      <c r="P106">
        <v>16564</v>
      </c>
      <c r="Q106">
        <v>60387</v>
      </c>
    </row>
    <row r="107" spans="3:19" x14ac:dyDescent="0.25">
      <c r="C107">
        <v>7</v>
      </c>
      <c r="D107">
        <v>101</v>
      </c>
      <c r="E107">
        <v>2.9</v>
      </c>
      <c r="I107">
        <v>350</v>
      </c>
      <c r="K107">
        <v>45</v>
      </c>
      <c r="O107">
        <v>126901</v>
      </c>
      <c r="P107">
        <v>126901</v>
      </c>
      <c r="Q107">
        <v>434961</v>
      </c>
    </row>
    <row r="108" spans="3:19" x14ac:dyDescent="0.25">
      <c r="C108">
        <v>7</v>
      </c>
      <c r="D108" t="s">
        <v>983</v>
      </c>
      <c r="E108">
        <v>10.5</v>
      </c>
      <c r="I108">
        <v>1549.6</v>
      </c>
      <c r="O108">
        <v>233508</v>
      </c>
      <c r="P108">
        <v>233508</v>
      </c>
      <c r="Q108">
        <v>713141</v>
      </c>
      <c r="S108">
        <v>1884.5707291818965</v>
      </c>
    </row>
    <row r="109" spans="3:19" x14ac:dyDescent="0.25">
      <c r="C109">
        <v>7</v>
      </c>
      <c r="D109">
        <v>526</v>
      </c>
      <c r="E109">
        <v>10.5</v>
      </c>
      <c r="I109">
        <v>1549.6</v>
      </c>
      <c r="O109">
        <v>233508</v>
      </c>
      <c r="P109">
        <v>233508</v>
      </c>
      <c r="Q109">
        <v>713141</v>
      </c>
      <c r="S109">
        <v>1884.5707291818965</v>
      </c>
    </row>
    <row r="110" spans="3:19" x14ac:dyDescent="0.25">
      <c r="C110">
        <v>7</v>
      </c>
      <c r="D110" t="s">
        <v>984</v>
      </c>
      <c r="E110">
        <v>8.8000000000000007</v>
      </c>
      <c r="I110">
        <v>1212</v>
      </c>
      <c r="K110">
        <v>25</v>
      </c>
      <c r="O110">
        <v>123123</v>
      </c>
      <c r="P110">
        <v>123123</v>
      </c>
      <c r="Q110">
        <v>465053</v>
      </c>
      <c r="S110">
        <v>1166.6666666666667</v>
      </c>
    </row>
    <row r="111" spans="3:19" x14ac:dyDescent="0.25">
      <c r="C111">
        <v>7</v>
      </c>
      <c r="D111">
        <v>303</v>
      </c>
      <c r="S111">
        <v>1166.6666666666667</v>
      </c>
    </row>
    <row r="112" spans="3:19" x14ac:dyDescent="0.25">
      <c r="C112">
        <v>7</v>
      </c>
      <c r="D112">
        <v>304</v>
      </c>
      <c r="E112">
        <v>0.8</v>
      </c>
      <c r="I112">
        <v>120</v>
      </c>
      <c r="K112">
        <v>25</v>
      </c>
      <c r="O112">
        <v>10726</v>
      </c>
      <c r="P112">
        <v>10726</v>
      </c>
      <c r="Q112">
        <v>51118</v>
      </c>
    </row>
    <row r="113" spans="3:19" x14ac:dyDescent="0.25">
      <c r="C113">
        <v>7</v>
      </c>
      <c r="D113">
        <v>305</v>
      </c>
      <c r="E113">
        <v>1</v>
      </c>
      <c r="I113">
        <v>128</v>
      </c>
      <c r="O113">
        <v>30494</v>
      </c>
      <c r="P113">
        <v>30494</v>
      </c>
      <c r="Q113">
        <v>89712</v>
      </c>
    </row>
    <row r="114" spans="3:19" x14ac:dyDescent="0.25">
      <c r="C114">
        <v>7</v>
      </c>
      <c r="D114">
        <v>310</v>
      </c>
      <c r="E114">
        <v>1</v>
      </c>
      <c r="I114">
        <v>184</v>
      </c>
      <c r="O114">
        <v>12242</v>
      </c>
      <c r="P114">
        <v>12242</v>
      </c>
      <c r="Q114">
        <v>51142</v>
      </c>
    </row>
    <row r="115" spans="3:19" x14ac:dyDescent="0.25">
      <c r="C115">
        <v>7</v>
      </c>
      <c r="D115">
        <v>409</v>
      </c>
      <c r="E115">
        <v>5</v>
      </c>
      <c r="I115">
        <v>624</v>
      </c>
      <c r="O115">
        <v>62202</v>
      </c>
      <c r="P115">
        <v>62202</v>
      </c>
      <c r="Q115">
        <v>243586</v>
      </c>
    </row>
    <row r="116" spans="3:19" x14ac:dyDescent="0.25">
      <c r="C116">
        <v>7</v>
      </c>
      <c r="D116">
        <v>642</v>
      </c>
      <c r="E116">
        <v>1</v>
      </c>
      <c r="I116">
        <v>156</v>
      </c>
      <c r="O116">
        <v>7459</v>
      </c>
      <c r="P116">
        <v>7459</v>
      </c>
      <c r="Q116">
        <v>29495</v>
      </c>
    </row>
    <row r="117" spans="3:19" x14ac:dyDescent="0.25">
      <c r="C117">
        <v>7</v>
      </c>
      <c r="D117" t="s">
        <v>985</v>
      </c>
      <c r="E117">
        <v>1.8</v>
      </c>
      <c r="I117">
        <v>304</v>
      </c>
      <c r="O117">
        <v>13566</v>
      </c>
      <c r="P117">
        <v>13566</v>
      </c>
      <c r="Q117">
        <v>65707</v>
      </c>
    </row>
    <row r="118" spans="3:19" x14ac:dyDescent="0.25">
      <c r="C118">
        <v>7</v>
      </c>
      <c r="D118">
        <v>30</v>
      </c>
      <c r="E118">
        <v>1.8</v>
      </c>
      <c r="I118">
        <v>304</v>
      </c>
      <c r="O118">
        <v>13566</v>
      </c>
      <c r="P118">
        <v>13566</v>
      </c>
      <c r="Q118">
        <v>65707</v>
      </c>
    </row>
    <row r="119" spans="3:19" x14ac:dyDescent="0.25">
      <c r="C119" t="s">
        <v>992</v>
      </c>
      <c r="E119">
        <v>25.8</v>
      </c>
      <c r="I119">
        <v>3697.2</v>
      </c>
      <c r="K119">
        <v>70</v>
      </c>
      <c r="O119">
        <v>529022</v>
      </c>
      <c r="P119">
        <v>529022</v>
      </c>
      <c r="Q119">
        <v>1785414</v>
      </c>
      <c r="S119">
        <v>4497.2295757117108</v>
      </c>
    </row>
    <row r="120" spans="3:19" x14ac:dyDescent="0.25">
      <c r="C120">
        <v>8</v>
      </c>
      <c r="D120" t="s">
        <v>204</v>
      </c>
      <c r="E120">
        <v>5.5</v>
      </c>
      <c r="I120">
        <v>498.6</v>
      </c>
      <c r="J120">
        <v>10</v>
      </c>
      <c r="O120">
        <v>7500</v>
      </c>
      <c r="P120">
        <v>7500</v>
      </c>
      <c r="Q120">
        <v>309478</v>
      </c>
      <c r="R120">
        <v>7250</v>
      </c>
      <c r="S120">
        <v>1445.9921798631476</v>
      </c>
    </row>
    <row r="121" spans="3:19" x14ac:dyDescent="0.25">
      <c r="C121">
        <v>8</v>
      </c>
      <c r="D121">
        <v>99</v>
      </c>
      <c r="E121">
        <v>1.6</v>
      </c>
      <c r="I121">
        <v>89.6</v>
      </c>
      <c r="Q121">
        <v>35790</v>
      </c>
      <c r="R121">
        <v>7250</v>
      </c>
      <c r="S121">
        <v>1445.9921798631476</v>
      </c>
    </row>
    <row r="122" spans="3:19" x14ac:dyDescent="0.25">
      <c r="C122">
        <v>8</v>
      </c>
      <c r="D122">
        <v>100</v>
      </c>
      <c r="E122">
        <v>1</v>
      </c>
      <c r="I122">
        <v>136</v>
      </c>
      <c r="J122">
        <v>10</v>
      </c>
      <c r="Q122">
        <v>51974</v>
      </c>
    </row>
    <row r="123" spans="3:19" x14ac:dyDescent="0.25">
      <c r="C123">
        <v>8</v>
      </c>
      <c r="D123">
        <v>101</v>
      </c>
      <c r="E123">
        <v>2.9</v>
      </c>
      <c r="I123">
        <v>273</v>
      </c>
      <c r="O123">
        <v>7500</v>
      </c>
      <c r="P123">
        <v>7500</v>
      </c>
      <c r="Q123">
        <v>221714</v>
      </c>
    </row>
    <row r="124" spans="3:19" x14ac:dyDescent="0.25">
      <c r="C124">
        <v>8</v>
      </c>
      <c r="D124" t="s">
        <v>983</v>
      </c>
      <c r="E124">
        <v>10.5</v>
      </c>
      <c r="I124">
        <v>1365.6</v>
      </c>
      <c r="Q124">
        <v>478342</v>
      </c>
      <c r="R124">
        <v>9600</v>
      </c>
      <c r="S124">
        <v>1884.5707291818965</v>
      </c>
    </row>
    <row r="125" spans="3:19" x14ac:dyDescent="0.25">
      <c r="C125">
        <v>8</v>
      </c>
      <c r="D125">
        <v>526</v>
      </c>
      <c r="E125">
        <v>10.5</v>
      </c>
      <c r="I125">
        <v>1365.6</v>
      </c>
      <c r="Q125">
        <v>478342</v>
      </c>
      <c r="R125">
        <v>9600</v>
      </c>
      <c r="S125">
        <v>1884.5707291818965</v>
      </c>
    </row>
    <row r="126" spans="3:19" x14ac:dyDescent="0.25">
      <c r="C126">
        <v>8</v>
      </c>
      <c r="D126" t="s">
        <v>984</v>
      </c>
      <c r="E126">
        <v>8.8000000000000007</v>
      </c>
      <c r="I126">
        <v>1040</v>
      </c>
      <c r="K126">
        <v>14</v>
      </c>
      <c r="Q126">
        <v>327126</v>
      </c>
      <c r="S126">
        <v>1166.6666666666667</v>
      </c>
    </row>
    <row r="127" spans="3:19" x14ac:dyDescent="0.25">
      <c r="C127">
        <v>8</v>
      </c>
      <c r="D127">
        <v>303</v>
      </c>
      <c r="S127">
        <v>1166.6666666666667</v>
      </c>
    </row>
    <row r="128" spans="3:19" x14ac:dyDescent="0.25">
      <c r="C128">
        <v>8</v>
      </c>
      <c r="D128">
        <v>304</v>
      </c>
      <c r="E128">
        <v>0.8</v>
      </c>
      <c r="I128">
        <v>88</v>
      </c>
      <c r="K128">
        <v>14</v>
      </c>
      <c r="Q128">
        <v>37952</v>
      </c>
    </row>
    <row r="129" spans="3:19" x14ac:dyDescent="0.25">
      <c r="C129">
        <v>8</v>
      </c>
      <c r="D129">
        <v>305</v>
      </c>
      <c r="E129">
        <v>1</v>
      </c>
      <c r="I129">
        <v>120</v>
      </c>
      <c r="Q129">
        <v>58413</v>
      </c>
    </row>
    <row r="130" spans="3:19" x14ac:dyDescent="0.25">
      <c r="C130">
        <v>8</v>
      </c>
      <c r="D130">
        <v>310</v>
      </c>
      <c r="E130">
        <v>1</v>
      </c>
      <c r="I130">
        <v>160</v>
      </c>
      <c r="Q130">
        <v>38960</v>
      </c>
    </row>
    <row r="131" spans="3:19" x14ac:dyDescent="0.25">
      <c r="C131">
        <v>8</v>
      </c>
      <c r="D131">
        <v>409</v>
      </c>
      <c r="E131">
        <v>5</v>
      </c>
      <c r="I131">
        <v>592</v>
      </c>
      <c r="Q131">
        <v>169878</v>
      </c>
    </row>
    <row r="132" spans="3:19" x14ac:dyDescent="0.25">
      <c r="C132">
        <v>8</v>
      </c>
      <c r="D132">
        <v>642</v>
      </c>
      <c r="E132">
        <v>1</v>
      </c>
      <c r="I132">
        <v>80</v>
      </c>
      <c r="Q132">
        <v>21923</v>
      </c>
    </row>
    <row r="133" spans="3:19" x14ac:dyDescent="0.25">
      <c r="C133">
        <v>8</v>
      </c>
      <c r="D133" t="s">
        <v>985</v>
      </c>
      <c r="E133">
        <v>1.8</v>
      </c>
      <c r="I133">
        <v>248.8</v>
      </c>
      <c r="Q133">
        <v>52053</v>
      </c>
    </row>
    <row r="134" spans="3:19" x14ac:dyDescent="0.25">
      <c r="C134">
        <v>8</v>
      </c>
      <c r="D134">
        <v>30</v>
      </c>
      <c r="E134">
        <v>1.8</v>
      </c>
      <c r="I134">
        <v>248.8</v>
      </c>
      <c r="Q134">
        <v>52053</v>
      </c>
    </row>
    <row r="135" spans="3:19" x14ac:dyDescent="0.25">
      <c r="C135" t="s">
        <v>993</v>
      </c>
      <c r="E135">
        <v>26.6</v>
      </c>
      <c r="I135">
        <v>3153</v>
      </c>
      <c r="J135">
        <v>10</v>
      </c>
      <c r="K135">
        <v>14</v>
      </c>
      <c r="O135">
        <v>7500</v>
      </c>
      <c r="P135">
        <v>7500</v>
      </c>
      <c r="Q135">
        <v>1166999</v>
      </c>
      <c r="R135">
        <v>16850</v>
      </c>
      <c r="S135">
        <v>4497.2295757117108</v>
      </c>
    </row>
  </sheetData>
  <hyperlinks>
    <hyperlink ref="A2" location="Obsah!A1" display="Zpět na Obsah  KL 01  1.-4.měsíc" xr:uid="{378DD2E1-351E-4E51-B42C-3BD3A918FC62}"/>
  </hyperlinks>
  <pageMargins left="0.7" right="0.7" top="0.78740157499999996" bottom="0.78740157499999996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9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8" customWidth="1" collapsed="1"/>
    <col min="2" max="2" width="7.7109375" style="95" hidden="1" customWidth="1" outlineLevel="1"/>
    <col min="3" max="4" width="5.42578125" style="118" hidden="1" customWidth="1"/>
    <col min="5" max="5" width="7.7109375" style="95" customWidth="1"/>
    <col min="6" max="6" width="7.7109375" style="95" hidden="1" customWidth="1"/>
    <col min="7" max="7" width="5.42578125" style="118" hidden="1" customWidth="1"/>
    <col min="8" max="8" width="7.7109375" style="95" customWidth="1" collapsed="1"/>
    <col min="9" max="9" width="7.7109375" style="199" hidden="1" customWidth="1" outlineLevel="1"/>
    <col min="10" max="10" width="7.7109375" style="199" customWidth="1" collapsed="1"/>
    <col min="11" max="12" width="7.7109375" style="95" hidden="1" customWidth="1"/>
    <col min="13" max="13" width="5.42578125" style="118" hidden="1" customWidth="1"/>
    <col min="14" max="14" width="7.7109375" style="95" customWidth="1"/>
    <col min="15" max="15" width="7.7109375" style="95" hidden="1" customWidth="1"/>
    <col min="16" max="16" width="5.42578125" style="118" hidden="1" customWidth="1"/>
    <col min="17" max="17" width="7.7109375" style="95" customWidth="1" collapsed="1"/>
    <col min="18" max="18" width="7.7109375" style="199" hidden="1" customWidth="1" outlineLevel="1"/>
    <col min="19" max="19" width="7.7109375" style="199" customWidth="1" collapsed="1"/>
    <col min="20" max="21" width="7.7109375" style="95" hidden="1" customWidth="1"/>
    <col min="22" max="22" width="5" style="118" hidden="1" customWidth="1"/>
    <col min="23" max="23" width="7.7109375" style="95" customWidth="1"/>
    <col min="24" max="24" width="7.7109375" style="95" hidden="1" customWidth="1"/>
    <col min="25" max="25" width="5" style="118" hidden="1" customWidth="1"/>
    <col min="26" max="26" width="7.7109375" style="95" customWidth="1" collapsed="1"/>
    <col min="27" max="27" width="7.7109375" style="199" hidden="1" customWidth="1" outlineLevel="1"/>
    <col min="28" max="28" width="7.7109375" style="199" customWidth="1" collapsed="1"/>
    <col min="29" max="16384" width="8.85546875" style="118"/>
  </cols>
  <sheetData>
    <row r="1" spans="1:28" ht="18.600000000000001" customHeight="1" thickBot="1" x14ac:dyDescent="0.35">
      <c r="A1" s="417" t="s">
        <v>1011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</row>
    <row r="2" spans="1:28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  <c r="H2" s="100"/>
      <c r="I2" s="216"/>
      <c r="J2" s="216"/>
      <c r="K2" s="100"/>
      <c r="L2" s="100"/>
      <c r="M2" s="100"/>
      <c r="N2" s="100"/>
      <c r="O2" s="100"/>
      <c r="P2" s="100"/>
      <c r="Q2" s="100"/>
      <c r="R2" s="216"/>
      <c r="S2" s="216"/>
      <c r="T2" s="100"/>
      <c r="U2" s="100"/>
      <c r="V2" s="100"/>
      <c r="W2" s="100"/>
      <c r="X2" s="100"/>
      <c r="Y2" s="100"/>
      <c r="Z2" s="100"/>
      <c r="AA2" s="216"/>
      <c r="AB2" s="216"/>
    </row>
    <row r="3" spans="1:28" ht="14.45" customHeight="1" thickBot="1" x14ac:dyDescent="0.25">
      <c r="A3" s="209" t="s">
        <v>127</v>
      </c>
      <c r="B3" s="210">
        <f>SUBTOTAL(9,B6:B1048576)/4</f>
        <v>50066915.650000006</v>
      </c>
      <c r="C3" s="211">
        <f t="shared" ref="C3:Z3" si="0">SUBTOTAL(9,C6:C1048576)</f>
        <v>9</v>
      </c>
      <c r="D3" s="211"/>
      <c r="E3" s="211">
        <f>SUBTOTAL(9,E6:E1048576)/4</f>
        <v>27201842.13000001</v>
      </c>
      <c r="F3" s="211"/>
      <c r="G3" s="211">
        <f t="shared" si="0"/>
        <v>8</v>
      </c>
      <c r="H3" s="211">
        <f>SUBTOTAL(9,H6:H1048576)/4</f>
        <v>32730191.689999998</v>
      </c>
      <c r="I3" s="214">
        <f>IF(B3&lt;&gt;0,H3/B3,"")</f>
        <v>0.65372893986130731</v>
      </c>
      <c r="J3" s="212">
        <f>IF(E3&lt;&gt;0,H3/E3,"")</f>
        <v>1.2032343814650315</v>
      </c>
      <c r="K3" s="213">
        <f t="shared" si="0"/>
        <v>0</v>
      </c>
      <c r="L3" s="213"/>
      <c r="M3" s="211">
        <f t="shared" si="0"/>
        <v>0</v>
      </c>
      <c r="N3" s="211">
        <f t="shared" si="0"/>
        <v>0</v>
      </c>
      <c r="O3" s="211"/>
      <c r="P3" s="211">
        <f t="shared" si="0"/>
        <v>0</v>
      </c>
      <c r="Q3" s="211">
        <f t="shared" si="0"/>
        <v>0</v>
      </c>
      <c r="R3" s="214" t="str">
        <f>IF(K3&lt;&gt;0,Q3/K3,"")</f>
        <v/>
      </c>
      <c r="S3" s="214" t="str">
        <f>IF(N3&lt;&gt;0,Q3/N3,"")</f>
        <v/>
      </c>
      <c r="T3" s="210">
        <f t="shared" si="0"/>
        <v>0</v>
      </c>
      <c r="U3" s="213"/>
      <c r="V3" s="211">
        <f t="shared" si="0"/>
        <v>0</v>
      </c>
      <c r="W3" s="211">
        <f t="shared" si="0"/>
        <v>0</v>
      </c>
      <c r="X3" s="211"/>
      <c r="Y3" s="211">
        <f t="shared" si="0"/>
        <v>0</v>
      </c>
      <c r="Z3" s="211">
        <f t="shared" si="0"/>
        <v>0</v>
      </c>
      <c r="AA3" s="214" t="str">
        <f>IF(T3&lt;&gt;0,Z3/T3,"")</f>
        <v/>
      </c>
      <c r="AB3" s="212" t="str">
        <f>IF(W3&lt;&gt;0,Z3/W3,"")</f>
        <v/>
      </c>
    </row>
    <row r="4" spans="1:28" ht="14.45" customHeight="1" x14ac:dyDescent="0.2">
      <c r="A4" s="418" t="s">
        <v>196</v>
      </c>
      <c r="B4" s="419" t="s">
        <v>98</v>
      </c>
      <c r="C4" s="420"/>
      <c r="D4" s="421"/>
      <c r="E4" s="420"/>
      <c r="F4" s="421"/>
      <c r="G4" s="420"/>
      <c r="H4" s="420"/>
      <c r="I4" s="421"/>
      <c r="J4" s="422"/>
      <c r="K4" s="419" t="s">
        <v>99</v>
      </c>
      <c r="L4" s="421"/>
      <c r="M4" s="420"/>
      <c r="N4" s="420"/>
      <c r="O4" s="421"/>
      <c r="P4" s="420"/>
      <c r="Q4" s="420"/>
      <c r="R4" s="421"/>
      <c r="S4" s="422"/>
      <c r="T4" s="419" t="s">
        <v>100</v>
      </c>
      <c r="U4" s="421"/>
      <c r="V4" s="420"/>
      <c r="W4" s="420"/>
      <c r="X4" s="421"/>
      <c r="Y4" s="420"/>
      <c r="Z4" s="420"/>
      <c r="AA4" s="421"/>
      <c r="AB4" s="422"/>
    </row>
    <row r="5" spans="1:28" ht="14.45" customHeight="1" thickBot="1" x14ac:dyDescent="0.25">
      <c r="A5" s="560"/>
      <c r="B5" s="561">
        <v>2015</v>
      </c>
      <c r="C5" s="562"/>
      <c r="D5" s="562"/>
      <c r="E5" s="562">
        <v>2018</v>
      </c>
      <c r="F5" s="562"/>
      <c r="G5" s="562"/>
      <c r="H5" s="562">
        <v>2019</v>
      </c>
      <c r="I5" s="563" t="s">
        <v>197</v>
      </c>
      <c r="J5" s="564" t="s">
        <v>2</v>
      </c>
      <c r="K5" s="561">
        <v>2015</v>
      </c>
      <c r="L5" s="562"/>
      <c r="M5" s="562"/>
      <c r="N5" s="562">
        <v>2018</v>
      </c>
      <c r="O5" s="562"/>
      <c r="P5" s="562"/>
      <c r="Q5" s="562">
        <v>2019</v>
      </c>
      <c r="R5" s="563" t="s">
        <v>197</v>
      </c>
      <c r="S5" s="564" t="s">
        <v>2</v>
      </c>
      <c r="T5" s="561">
        <v>2015</v>
      </c>
      <c r="U5" s="562"/>
      <c r="V5" s="562"/>
      <c r="W5" s="562">
        <v>2018</v>
      </c>
      <c r="X5" s="562"/>
      <c r="Y5" s="562"/>
      <c r="Z5" s="562">
        <v>2019</v>
      </c>
      <c r="AA5" s="563" t="s">
        <v>197</v>
      </c>
      <c r="AB5" s="564" t="s">
        <v>2</v>
      </c>
    </row>
    <row r="6" spans="1:28" ht="14.45" customHeight="1" x14ac:dyDescent="0.25">
      <c r="A6" s="565" t="s">
        <v>1007</v>
      </c>
      <c r="B6" s="566">
        <v>50066915.650000006</v>
      </c>
      <c r="C6" s="567">
        <v>1</v>
      </c>
      <c r="D6" s="567">
        <v>1.8405707749764069</v>
      </c>
      <c r="E6" s="566">
        <v>27201842.130000018</v>
      </c>
      <c r="F6" s="567">
        <v>0.54330972413316647</v>
      </c>
      <c r="G6" s="567">
        <v>1</v>
      </c>
      <c r="H6" s="566">
        <v>32730191.689999998</v>
      </c>
      <c r="I6" s="567">
        <v>0.65372893986130731</v>
      </c>
      <c r="J6" s="567">
        <v>1.2032343814650313</v>
      </c>
      <c r="K6" s="566"/>
      <c r="L6" s="567"/>
      <c r="M6" s="567"/>
      <c r="N6" s="566"/>
      <c r="O6" s="567"/>
      <c r="P6" s="567"/>
      <c r="Q6" s="566"/>
      <c r="R6" s="567"/>
      <c r="S6" s="567"/>
      <c r="T6" s="566"/>
      <c r="U6" s="567"/>
      <c r="V6" s="567"/>
      <c r="W6" s="566"/>
      <c r="X6" s="567"/>
      <c r="Y6" s="567"/>
      <c r="Z6" s="566"/>
      <c r="AA6" s="567"/>
      <c r="AB6" s="568"/>
    </row>
    <row r="7" spans="1:28" ht="14.45" customHeight="1" x14ac:dyDescent="0.25">
      <c r="A7" s="575" t="s">
        <v>1008</v>
      </c>
      <c r="B7" s="569">
        <v>37</v>
      </c>
      <c r="C7" s="570">
        <v>1</v>
      </c>
      <c r="D7" s="570"/>
      <c r="E7" s="569"/>
      <c r="F7" s="570"/>
      <c r="G7" s="570"/>
      <c r="H7" s="569"/>
      <c r="I7" s="570"/>
      <c r="J7" s="570"/>
      <c r="K7" s="569"/>
      <c r="L7" s="570"/>
      <c r="M7" s="570"/>
      <c r="N7" s="569"/>
      <c r="O7" s="570"/>
      <c r="P7" s="570"/>
      <c r="Q7" s="569"/>
      <c r="R7" s="570"/>
      <c r="S7" s="570"/>
      <c r="T7" s="569"/>
      <c r="U7" s="570"/>
      <c r="V7" s="570"/>
      <c r="W7" s="569"/>
      <c r="X7" s="570"/>
      <c r="Y7" s="570"/>
      <c r="Z7" s="569"/>
      <c r="AA7" s="570"/>
      <c r="AB7" s="571"/>
    </row>
    <row r="8" spans="1:28" ht="14.45" customHeight="1" x14ac:dyDescent="0.25">
      <c r="A8" s="575" t="s">
        <v>1009</v>
      </c>
      <c r="B8" s="569">
        <v>4812457.6500000069</v>
      </c>
      <c r="C8" s="570">
        <v>1</v>
      </c>
      <c r="D8" s="570">
        <v>0.97275992540700096</v>
      </c>
      <c r="E8" s="569">
        <v>4947220.3000000063</v>
      </c>
      <c r="F8" s="570">
        <v>1.0280028749967285</v>
      </c>
      <c r="G8" s="570">
        <v>1</v>
      </c>
      <c r="H8" s="569">
        <v>5807816.3300000038</v>
      </c>
      <c r="I8" s="570">
        <v>1.206829597762797</v>
      </c>
      <c r="J8" s="570">
        <v>1.1739554694986993</v>
      </c>
      <c r="K8" s="569"/>
      <c r="L8" s="570"/>
      <c r="M8" s="570"/>
      <c r="N8" s="569"/>
      <c r="O8" s="570"/>
      <c r="P8" s="570"/>
      <c r="Q8" s="569"/>
      <c r="R8" s="570"/>
      <c r="S8" s="570"/>
      <c r="T8" s="569"/>
      <c r="U8" s="570"/>
      <c r="V8" s="570"/>
      <c r="W8" s="569"/>
      <c r="X8" s="570"/>
      <c r="Y8" s="570"/>
      <c r="Z8" s="569"/>
      <c r="AA8" s="570"/>
      <c r="AB8" s="571"/>
    </row>
    <row r="9" spans="1:28" ht="14.45" customHeight="1" thickBot="1" x14ac:dyDescent="0.3">
      <c r="A9" s="576" t="s">
        <v>1010</v>
      </c>
      <c r="B9" s="572">
        <v>45254421</v>
      </c>
      <c r="C9" s="573">
        <v>1</v>
      </c>
      <c r="D9" s="573">
        <v>2.0334841609842793</v>
      </c>
      <c r="E9" s="572">
        <v>22254621.830000009</v>
      </c>
      <c r="F9" s="573">
        <v>0.49176680064031775</v>
      </c>
      <c r="G9" s="573">
        <v>1</v>
      </c>
      <c r="H9" s="572">
        <v>26922375.359999996</v>
      </c>
      <c r="I9" s="573">
        <v>0.59491149737613469</v>
      </c>
      <c r="J9" s="573">
        <v>1.2097431071018108</v>
      </c>
      <c r="K9" s="572"/>
      <c r="L9" s="573"/>
      <c r="M9" s="573"/>
      <c r="N9" s="572"/>
      <c r="O9" s="573"/>
      <c r="P9" s="573"/>
      <c r="Q9" s="572"/>
      <c r="R9" s="573"/>
      <c r="S9" s="573"/>
      <c r="T9" s="572"/>
      <c r="U9" s="573"/>
      <c r="V9" s="573"/>
      <c r="W9" s="572"/>
      <c r="X9" s="573"/>
      <c r="Y9" s="573"/>
      <c r="Z9" s="572"/>
      <c r="AA9" s="573"/>
      <c r="AB9" s="574"/>
    </row>
    <row r="10" spans="1:28" ht="14.45" customHeight="1" thickBot="1" x14ac:dyDescent="0.25"/>
    <row r="11" spans="1:28" ht="14.45" customHeight="1" x14ac:dyDescent="0.25">
      <c r="A11" s="565" t="s">
        <v>450</v>
      </c>
      <c r="B11" s="566">
        <v>4812494.6500000078</v>
      </c>
      <c r="C11" s="567">
        <v>1</v>
      </c>
      <c r="D11" s="567">
        <v>0.9727674043543203</v>
      </c>
      <c r="E11" s="566">
        <v>4947220.3000000063</v>
      </c>
      <c r="F11" s="567">
        <v>1.0279949713814225</v>
      </c>
      <c r="G11" s="567">
        <v>1</v>
      </c>
      <c r="H11" s="566">
        <v>5807816.3300000047</v>
      </c>
      <c r="I11" s="567">
        <v>1.2068203192703799</v>
      </c>
      <c r="J11" s="568">
        <v>1.1739554694986996</v>
      </c>
    </row>
    <row r="12" spans="1:28" ht="14.45" customHeight="1" x14ac:dyDescent="0.25">
      <c r="A12" s="575" t="s">
        <v>1012</v>
      </c>
      <c r="B12" s="569">
        <v>4811199.6500000078</v>
      </c>
      <c r="C12" s="570">
        <v>1</v>
      </c>
      <c r="D12" s="570">
        <v>0.97262930333460174</v>
      </c>
      <c r="E12" s="569">
        <v>4946591.3000000063</v>
      </c>
      <c r="F12" s="570">
        <v>1.0281409336234879</v>
      </c>
      <c r="G12" s="570">
        <v>1</v>
      </c>
      <c r="H12" s="569">
        <v>5807816.3300000047</v>
      </c>
      <c r="I12" s="570">
        <v>1.2071451514176916</v>
      </c>
      <c r="J12" s="571">
        <v>1.1741047476471318</v>
      </c>
    </row>
    <row r="13" spans="1:28" ht="14.45" customHeight="1" x14ac:dyDescent="0.25">
      <c r="A13" s="575" t="s">
        <v>1013</v>
      </c>
      <c r="B13" s="569">
        <v>1295</v>
      </c>
      <c r="C13" s="570">
        <v>1</v>
      </c>
      <c r="D13" s="570">
        <v>2.0588235294117645</v>
      </c>
      <c r="E13" s="569">
        <v>629</v>
      </c>
      <c r="F13" s="570">
        <v>0.48571428571428571</v>
      </c>
      <c r="G13" s="570">
        <v>1</v>
      </c>
      <c r="H13" s="569"/>
      <c r="I13" s="570"/>
      <c r="J13" s="571"/>
    </row>
    <row r="14" spans="1:28" ht="14.45" customHeight="1" x14ac:dyDescent="0.25">
      <c r="A14" s="577" t="s">
        <v>455</v>
      </c>
      <c r="B14" s="578">
        <v>45254421</v>
      </c>
      <c r="C14" s="579">
        <v>1</v>
      </c>
      <c r="D14" s="579">
        <v>2.0334841609842802</v>
      </c>
      <c r="E14" s="578">
        <v>22254621.830000002</v>
      </c>
      <c r="F14" s="579">
        <v>0.49176680064031758</v>
      </c>
      <c r="G14" s="579">
        <v>1</v>
      </c>
      <c r="H14" s="578">
        <v>26922375.360000003</v>
      </c>
      <c r="I14" s="579">
        <v>0.59491149737613491</v>
      </c>
      <c r="J14" s="580">
        <v>1.2097431071018114</v>
      </c>
    </row>
    <row r="15" spans="1:28" ht="14.45" customHeight="1" thickBot="1" x14ac:dyDescent="0.3">
      <c r="A15" s="576" t="s">
        <v>1012</v>
      </c>
      <c r="B15" s="572">
        <v>45254421</v>
      </c>
      <c r="C15" s="573">
        <v>1</v>
      </c>
      <c r="D15" s="573">
        <v>2.0334841609842802</v>
      </c>
      <c r="E15" s="572">
        <v>22254621.830000002</v>
      </c>
      <c r="F15" s="573">
        <v>0.49176680064031758</v>
      </c>
      <c r="G15" s="573">
        <v>1</v>
      </c>
      <c r="H15" s="572">
        <v>26922375.360000003</v>
      </c>
      <c r="I15" s="573">
        <v>0.59491149737613491</v>
      </c>
      <c r="J15" s="574">
        <v>1.2097431071018114</v>
      </c>
    </row>
    <row r="16" spans="1:28" ht="14.45" customHeight="1" x14ac:dyDescent="0.2">
      <c r="A16" s="523" t="s">
        <v>233</v>
      </c>
    </row>
    <row r="17" spans="1:1" ht="14.45" customHeight="1" x14ac:dyDescent="0.2">
      <c r="A17" s="524" t="s">
        <v>482</v>
      </c>
    </row>
    <row r="18" spans="1:1" ht="14.45" customHeight="1" x14ac:dyDescent="0.2">
      <c r="A18" s="523" t="s">
        <v>1014</v>
      </c>
    </row>
    <row r="19" spans="1:1" ht="14.45" customHeight="1" x14ac:dyDescent="0.2">
      <c r="A19" s="523" t="s">
        <v>1015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F599940-F3CE-42DA-83D9-AEFF72A91F91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8" bestFit="1" customWidth="1"/>
    <col min="2" max="2" width="7.7109375" style="196" hidden="1" customWidth="1" outlineLevel="1"/>
    <col min="3" max="3" width="7.7109375" style="196" customWidth="1" collapsed="1"/>
    <col min="4" max="4" width="7.7109375" style="196" customWidth="1"/>
    <col min="5" max="5" width="7.7109375" style="95" hidden="1" customWidth="1" outlineLevel="1"/>
    <col min="6" max="6" width="7.7109375" style="95" customWidth="1" collapsed="1"/>
    <col min="7" max="7" width="7.7109375" style="95" customWidth="1"/>
    <col min="8" max="16384" width="8.85546875" style="118"/>
  </cols>
  <sheetData>
    <row r="1" spans="1:7" ht="18.600000000000001" customHeight="1" thickBot="1" x14ac:dyDescent="0.35">
      <c r="A1" s="417" t="s">
        <v>1017</v>
      </c>
      <c r="B1" s="318"/>
      <c r="C1" s="318"/>
      <c r="D1" s="318"/>
      <c r="E1" s="318"/>
      <c r="F1" s="318"/>
      <c r="G1" s="318"/>
    </row>
    <row r="2" spans="1:7" ht="14.45" customHeight="1" thickBot="1" x14ac:dyDescent="0.25">
      <c r="A2" s="221" t="s">
        <v>256</v>
      </c>
      <c r="B2" s="100"/>
      <c r="C2" s="100"/>
      <c r="D2" s="100"/>
      <c r="E2" s="100"/>
      <c r="F2" s="100"/>
      <c r="G2" s="100"/>
    </row>
    <row r="3" spans="1:7" ht="14.45" customHeight="1" thickBot="1" x14ac:dyDescent="0.25">
      <c r="A3" s="262" t="s">
        <v>127</v>
      </c>
      <c r="B3" s="248">
        <f t="shared" ref="B3:G3" si="0">SUBTOTAL(9,B6:B1048576)</f>
        <v>26350</v>
      </c>
      <c r="C3" s="249">
        <f t="shared" si="0"/>
        <v>12974</v>
      </c>
      <c r="D3" s="261">
        <f t="shared" si="0"/>
        <v>15248</v>
      </c>
      <c r="E3" s="213">
        <f t="shared" si="0"/>
        <v>50066915.649999827</v>
      </c>
      <c r="F3" s="211">
        <f t="shared" si="0"/>
        <v>27201842.129999913</v>
      </c>
      <c r="G3" s="250">
        <f t="shared" si="0"/>
        <v>32730191.689999957</v>
      </c>
    </row>
    <row r="4" spans="1:7" ht="14.45" customHeight="1" x14ac:dyDescent="0.2">
      <c r="A4" s="418" t="s">
        <v>128</v>
      </c>
      <c r="B4" s="423" t="s">
        <v>194</v>
      </c>
      <c r="C4" s="421"/>
      <c r="D4" s="424"/>
      <c r="E4" s="423" t="s">
        <v>98</v>
      </c>
      <c r="F4" s="421"/>
      <c r="G4" s="424"/>
    </row>
    <row r="5" spans="1:7" ht="14.45" customHeight="1" thickBot="1" x14ac:dyDescent="0.25">
      <c r="A5" s="560"/>
      <c r="B5" s="561">
        <v>2015</v>
      </c>
      <c r="C5" s="562">
        <v>2018</v>
      </c>
      <c r="D5" s="581">
        <v>2019</v>
      </c>
      <c r="E5" s="561">
        <v>2015</v>
      </c>
      <c r="F5" s="562">
        <v>2018</v>
      </c>
      <c r="G5" s="581">
        <v>2019</v>
      </c>
    </row>
    <row r="6" spans="1:7" ht="14.45" customHeight="1" x14ac:dyDescent="0.2">
      <c r="A6" s="586" t="s">
        <v>1012</v>
      </c>
      <c r="B6" s="105">
        <v>26322</v>
      </c>
      <c r="C6" s="105">
        <v>12965</v>
      </c>
      <c r="D6" s="105">
        <v>15248</v>
      </c>
      <c r="E6" s="582">
        <v>50065620.649999827</v>
      </c>
      <c r="F6" s="582">
        <v>27201213.129999913</v>
      </c>
      <c r="G6" s="583">
        <v>32730191.689999957</v>
      </c>
    </row>
    <row r="7" spans="1:7" ht="14.45" customHeight="1" thickBot="1" x14ac:dyDescent="0.25">
      <c r="A7" s="587" t="s">
        <v>1016</v>
      </c>
      <c r="B7" s="496">
        <v>28</v>
      </c>
      <c r="C7" s="496">
        <v>9</v>
      </c>
      <c r="D7" s="496"/>
      <c r="E7" s="584">
        <v>1295</v>
      </c>
      <c r="F7" s="584">
        <v>629</v>
      </c>
      <c r="G7" s="585"/>
    </row>
    <row r="8" spans="1:7" ht="14.45" customHeight="1" x14ac:dyDescent="0.2">
      <c r="A8" s="523" t="s">
        <v>233</v>
      </c>
    </row>
    <row r="9" spans="1:7" ht="14.45" customHeight="1" x14ac:dyDescent="0.2">
      <c r="A9" s="524" t="s">
        <v>482</v>
      </c>
    </row>
    <row r="10" spans="1:7" ht="14.45" customHeight="1" x14ac:dyDescent="0.2">
      <c r="A10" s="523" t="s">
        <v>1014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47FD600-EA6F-4569-AE6A-054B7B62CFF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.140625" style="118" bestFit="1" customWidth="1"/>
    <col min="5" max="5" width="8" style="118" customWidth="1"/>
    <col min="6" max="6" width="50.85546875" style="118" bestFit="1" customWidth="1" collapsed="1"/>
    <col min="7" max="8" width="11.140625" style="196" hidden="1" customWidth="1" outlineLevel="1"/>
    <col min="9" max="10" width="9.28515625" style="118" hidden="1" customWidth="1"/>
    <col min="11" max="12" width="11.140625" style="196" customWidth="1"/>
    <col min="13" max="14" width="9.28515625" style="118" hidden="1" customWidth="1"/>
    <col min="15" max="16" width="11.140625" style="196" customWidth="1"/>
    <col min="17" max="17" width="11.140625" style="199" customWidth="1"/>
    <col min="18" max="18" width="11.140625" style="196" customWidth="1"/>
    <col min="19" max="16384" width="8.85546875" style="118"/>
  </cols>
  <sheetData>
    <row r="1" spans="1:18" ht="18.600000000000001" customHeight="1" thickBot="1" x14ac:dyDescent="0.35">
      <c r="A1" s="318" t="s">
        <v>1119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</row>
    <row r="2" spans="1:18" ht="14.45" customHeight="1" thickBot="1" x14ac:dyDescent="0.25">
      <c r="A2" s="221" t="s">
        <v>256</v>
      </c>
      <c r="B2" s="186"/>
      <c r="C2" s="186"/>
      <c r="D2" s="100"/>
      <c r="E2" s="100"/>
      <c r="F2" s="100"/>
      <c r="G2" s="219"/>
      <c r="H2" s="219"/>
      <c r="I2" s="100"/>
      <c r="J2" s="100"/>
      <c r="K2" s="219"/>
      <c r="L2" s="219"/>
      <c r="M2" s="100"/>
      <c r="N2" s="100"/>
      <c r="O2" s="219"/>
      <c r="P2" s="219"/>
      <c r="Q2" s="216"/>
      <c r="R2" s="219"/>
    </row>
    <row r="3" spans="1:18" ht="14.45" customHeight="1" thickBot="1" x14ac:dyDescent="0.25">
      <c r="F3" s="77" t="s">
        <v>127</v>
      </c>
      <c r="G3" s="91">
        <f t="shared" ref="G3:P3" si="0">SUBTOTAL(9,G6:G1048576)</f>
        <v>26350</v>
      </c>
      <c r="H3" s="92">
        <f t="shared" si="0"/>
        <v>50066915.649999999</v>
      </c>
      <c r="I3" s="66"/>
      <c r="J3" s="66"/>
      <c r="K3" s="92">
        <f t="shared" si="0"/>
        <v>12974</v>
      </c>
      <c r="L3" s="92">
        <f t="shared" si="0"/>
        <v>27201842.130000003</v>
      </c>
      <c r="M3" s="66"/>
      <c r="N3" s="66"/>
      <c r="O3" s="92">
        <f t="shared" si="0"/>
        <v>15248</v>
      </c>
      <c r="P3" s="92">
        <f t="shared" si="0"/>
        <v>32730191.689999998</v>
      </c>
      <c r="Q3" s="67">
        <f>IF(L3=0,0,P3/L3)</f>
        <v>1.2032343814650319</v>
      </c>
      <c r="R3" s="93">
        <f>IF(O3=0,0,P3/O3)</f>
        <v>2146.5235893231898</v>
      </c>
    </row>
    <row r="4" spans="1:18" ht="14.45" customHeight="1" x14ac:dyDescent="0.2">
      <c r="A4" s="425" t="s">
        <v>198</v>
      </c>
      <c r="B4" s="425" t="s">
        <v>94</v>
      </c>
      <c r="C4" s="433" t="s">
        <v>0</v>
      </c>
      <c r="D4" s="427" t="s">
        <v>95</v>
      </c>
      <c r="E4" s="432" t="s">
        <v>70</v>
      </c>
      <c r="F4" s="428" t="s">
        <v>69</v>
      </c>
      <c r="G4" s="429">
        <v>2015</v>
      </c>
      <c r="H4" s="430"/>
      <c r="I4" s="90"/>
      <c r="J4" s="90"/>
      <c r="K4" s="429">
        <v>2018</v>
      </c>
      <c r="L4" s="430"/>
      <c r="M4" s="90"/>
      <c r="N4" s="90"/>
      <c r="O4" s="429">
        <v>2019</v>
      </c>
      <c r="P4" s="430"/>
      <c r="Q4" s="431" t="s">
        <v>2</v>
      </c>
      <c r="R4" s="426" t="s">
        <v>97</v>
      </c>
    </row>
    <row r="5" spans="1:18" ht="14.45" customHeight="1" thickBot="1" x14ac:dyDescent="0.25">
      <c r="A5" s="588"/>
      <c r="B5" s="588"/>
      <c r="C5" s="589"/>
      <c r="D5" s="590"/>
      <c r="E5" s="591"/>
      <c r="F5" s="592"/>
      <c r="G5" s="593" t="s">
        <v>71</v>
      </c>
      <c r="H5" s="594" t="s">
        <v>14</v>
      </c>
      <c r="I5" s="595"/>
      <c r="J5" s="595"/>
      <c r="K5" s="593" t="s">
        <v>71</v>
      </c>
      <c r="L5" s="594" t="s">
        <v>14</v>
      </c>
      <c r="M5" s="595"/>
      <c r="N5" s="595"/>
      <c r="O5" s="593" t="s">
        <v>71</v>
      </c>
      <c r="P5" s="594" t="s">
        <v>14</v>
      </c>
      <c r="Q5" s="596"/>
      <c r="R5" s="597"/>
    </row>
    <row r="6" spans="1:18" ht="14.45" customHeight="1" x14ac:dyDescent="0.2">
      <c r="A6" s="543" t="s">
        <v>1018</v>
      </c>
      <c r="B6" s="544" t="s">
        <v>1019</v>
      </c>
      <c r="C6" s="544" t="s">
        <v>450</v>
      </c>
      <c r="D6" s="544" t="s">
        <v>1020</v>
      </c>
      <c r="E6" s="544" t="s">
        <v>1021</v>
      </c>
      <c r="F6" s="544" t="s">
        <v>1022</v>
      </c>
      <c r="G6" s="105">
        <v>1</v>
      </c>
      <c r="H6" s="105">
        <v>37</v>
      </c>
      <c r="I6" s="544"/>
      <c r="J6" s="544">
        <v>37</v>
      </c>
      <c r="K6" s="105"/>
      <c r="L6" s="105"/>
      <c r="M6" s="544"/>
      <c r="N6" s="544"/>
      <c r="O6" s="105"/>
      <c r="P6" s="105"/>
      <c r="Q6" s="549"/>
      <c r="R6" s="559"/>
    </row>
    <row r="7" spans="1:18" ht="14.45" customHeight="1" x14ac:dyDescent="0.2">
      <c r="A7" s="484" t="s">
        <v>1018</v>
      </c>
      <c r="B7" s="485" t="s">
        <v>1023</v>
      </c>
      <c r="C7" s="485" t="s">
        <v>450</v>
      </c>
      <c r="D7" s="485" t="s">
        <v>1020</v>
      </c>
      <c r="E7" s="485" t="s">
        <v>1024</v>
      </c>
      <c r="F7" s="485" t="s">
        <v>1025</v>
      </c>
      <c r="G7" s="489">
        <v>71</v>
      </c>
      <c r="H7" s="489">
        <v>4686</v>
      </c>
      <c r="I7" s="485">
        <v>0.9726027397260274</v>
      </c>
      <c r="J7" s="485">
        <v>66</v>
      </c>
      <c r="K7" s="489">
        <v>73</v>
      </c>
      <c r="L7" s="489">
        <v>4818</v>
      </c>
      <c r="M7" s="485">
        <v>1</v>
      </c>
      <c r="N7" s="485">
        <v>66</v>
      </c>
      <c r="O7" s="489">
        <v>124</v>
      </c>
      <c r="P7" s="489">
        <v>8308</v>
      </c>
      <c r="Q7" s="506">
        <v>1.7243669572436695</v>
      </c>
      <c r="R7" s="490">
        <v>67</v>
      </c>
    </row>
    <row r="8" spans="1:18" ht="14.45" customHeight="1" x14ac:dyDescent="0.2">
      <c r="A8" s="484" t="s">
        <v>1018</v>
      </c>
      <c r="B8" s="485" t="s">
        <v>1023</v>
      </c>
      <c r="C8" s="485" t="s">
        <v>450</v>
      </c>
      <c r="D8" s="485" t="s">
        <v>1020</v>
      </c>
      <c r="E8" s="485" t="s">
        <v>1021</v>
      </c>
      <c r="F8" s="485" t="s">
        <v>1022</v>
      </c>
      <c r="G8" s="489">
        <v>205</v>
      </c>
      <c r="H8" s="489">
        <v>7585</v>
      </c>
      <c r="I8" s="485">
        <v>1.1581920903954803</v>
      </c>
      <c r="J8" s="485">
        <v>37</v>
      </c>
      <c r="K8" s="489">
        <v>177</v>
      </c>
      <c r="L8" s="489">
        <v>6549</v>
      </c>
      <c r="M8" s="485">
        <v>1</v>
      </c>
      <c r="N8" s="485">
        <v>37</v>
      </c>
      <c r="O8" s="489">
        <v>232</v>
      </c>
      <c r="P8" s="489">
        <v>8816</v>
      </c>
      <c r="Q8" s="506">
        <v>1.346159719041075</v>
      </c>
      <c r="R8" s="490">
        <v>38</v>
      </c>
    </row>
    <row r="9" spans="1:18" ht="14.45" customHeight="1" x14ac:dyDescent="0.2">
      <c r="A9" s="484" t="s">
        <v>1018</v>
      </c>
      <c r="B9" s="485" t="s">
        <v>1023</v>
      </c>
      <c r="C9" s="485" t="s">
        <v>450</v>
      </c>
      <c r="D9" s="485" t="s">
        <v>1020</v>
      </c>
      <c r="E9" s="485" t="s">
        <v>1026</v>
      </c>
      <c r="F9" s="485" t="s">
        <v>1027</v>
      </c>
      <c r="G9" s="489">
        <v>743</v>
      </c>
      <c r="H9" s="489">
        <v>1842640</v>
      </c>
      <c r="I9" s="485">
        <v>1.0306976327918735</v>
      </c>
      <c r="J9" s="485">
        <v>2480</v>
      </c>
      <c r="K9" s="489">
        <v>720</v>
      </c>
      <c r="L9" s="489">
        <v>1787760</v>
      </c>
      <c r="M9" s="485">
        <v>1</v>
      </c>
      <c r="N9" s="485">
        <v>2483</v>
      </c>
      <c r="O9" s="489">
        <v>863</v>
      </c>
      <c r="P9" s="489">
        <v>2155774</v>
      </c>
      <c r="Q9" s="506">
        <v>1.2058520159305499</v>
      </c>
      <c r="R9" s="490">
        <v>2498</v>
      </c>
    </row>
    <row r="10" spans="1:18" ht="14.45" customHeight="1" x14ac:dyDescent="0.2">
      <c r="A10" s="484" t="s">
        <v>1018</v>
      </c>
      <c r="B10" s="485" t="s">
        <v>1023</v>
      </c>
      <c r="C10" s="485" t="s">
        <v>450</v>
      </c>
      <c r="D10" s="485" t="s">
        <v>1020</v>
      </c>
      <c r="E10" s="485" t="s">
        <v>1028</v>
      </c>
      <c r="F10" s="485" t="s">
        <v>1029</v>
      </c>
      <c r="G10" s="489">
        <v>22</v>
      </c>
      <c r="H10" s="489">
        <v>7634</v>
      </c>
      <c r="I10" s="485">
        <v>0.15172413793103448</v>
      </c>
      <c r="J10" s="485">
        <v>347</v>
      </c>
      <c r="K10" s="489">
        <v>145</v>
      </c>
      <c r="L10" s="489">
        <v>50315</v>
      </c>
      <c r="M10" s="485">
        <v>1</v>
      </c>
      <c r="N10" s="485">
        <v>347</v>
      </c>
      <c r="O10" s="489">
        <v>165</v>
      </c>
      <c r="P10" s="489">
        <v>57750</v>
      </c>
      <c r="Q10" s="506">
        <v>1.1477690549537911</v>
      </c>
      <c r="R10" s="490">
        <v>350</v>
      </c>
    </row>
    <row r="11" spans="1:18" ht="14.45" customHeight="1" x14ac:dyDescent="0.2">
      <c r="A11" s="484" t="s">
        <v>1018</v>
      </c>
      <c r="B11" s="485" t="s">
        <v>1023</v>
      </c>
      <c r="C11" s="485" t="s">
        <v>450</v>
      </c>
      <c r="D11" s="485" t="s">
        <v>1020</v>
      </c>
      <c r="E11" s="485" t="s">
        <v>1030</v>
      </c>
      <c r="F11" s="485" t="s">
        <v>1031</v>
      </c>
      <c r="G11" s="489">
        <v>1379</v>
      </c>
      <c r="H11" s="489">
        <v>484029</v>
      </c>
      <c r="I11" s="485">
        <v>0.98570407433881346</v>
      </c>
      <c r="J11" s="485">
        <v>351</v>
      </c>
      <c r="K11" s="489">
        <v>1399</v>
      </c>
      <c r="L11" s="489">
        <v>491049</v>
      </c>
      <c r="M11" s="485">
        <v>1</v>
      </c>
      <c r="N11" s="485">
        <v>351</v>
      </c>
      <c r="O11" s="489">
        <v>1684</v>
      </c>
      <c r="P11" s="489">
        <v>596136</v>
      </c>
      <c r="Q11" s="506">
        <v>1.2140051196520103</v>
      </c>
      <c r="R11" s="490">
        <v>354</v>
      </c>
    </row>
    <row r="12" spans="1:18" ht="14.45" customHeight="1" x14ac:dyDescent="0.2">
      <c r="A12" s="484" t="s">
        <v>1018</v>
      </c>
      <c r="B12" s="485" t="s">
        <v>1023</v>
      </c>
      <c r="C12" s="485" t="s">
        <v>450</v>
      </c>
      <c r="D12" s="485" t="s">
        <v>1020</v>
      </c>
      <c r="E12" s="485" t="s">
        <v>1032</v>
      </c>
      <c r="F12" s="485" t="s">
        <v>1033</v>
      </c>
      <c r="G12" s="489">
        <v>2997</v>
      </c>
      <c r="H12" s="489">
        <v>99899.65000000014</v>
      </c>
      <c r="I12" s="485">
        <v>1.2879259420650453</v>
      </c>
      <c r="J12" s="485">
        <v>33.333216549883261</v>
      </c>
      <c r="K12" s="489">
        <v>2327</v>
      </c>
      <c r="L12" s="489">
        <v>77566.300000000163</v>
      </c>
      <c r="M12" s="485">
        <v>1</v>
      </c>
      <c r="N12" s="485">
        <v>33.333175762784769</v>
      </c>
      <c r="O12" s="489">
        <v>2825</v>
      </c>
      <c r="P12" s="489">
        <v>94166.330000000118</v>
      </c>
      <c r="Q12" s="506">
        <v>1.2140108526512148</v>
      </c>
      <c r="R12" s="490">
        <v>33.333214159292076</v>
      </c>
    </row>
    <row r="13" spans="1:18" ht="14.45" customHeight="1" x14ac:dyDescent="0.2">
      <c r="A13" s="484" t="s">
        <v>1018</v>
      </c>
      <c r="B13" s="485" t="s">
        <v>1023</v>
      </c>
      <c r="C13" s="485" t="s">
        <v>450</v>
      </c>
      <c r="D13" s="485" t="s">
        <v>1020</v>
      </c>
      <c r="E13" s="485" t="s">
        <v>1034</v>
      </c>
      <c r="F13" s="485" t="s">
        <v>1035</v>
      </c>
      <c r="G13" s="489">
        <v>1514</v>
      </c>
      <c r="H13" s="489">
        <v>2301280</v>
      </c>
      <c r="I13" s="485">
        <v>0.93333982252072489</v>
      </c>
      <c r="J13" s="485">
        <v>1520</v>
      </c>
      <c r="K13" s="489">
        <v>1620</v>
      </c>
      <c r="L13" s="489">
        <v>2465640</v>
      </c>
      <c r="M13" s="485">
        <v>1</v>
      </c>
      <c r="N13" s="485">
        <v>1522</v>
      </c>
      <c r="O13" s="489">
        <v>1833</v>
      </c>
      <c r="P13" s="489">
        <v>2802657</v>
      </c>
      <c r="Q13" s="506">
        <v>1.1366854041952597</v>
      </c>
      <c r="R13" s="490">
        <v>1529</v>
      </c>
    </row>
    <row r="14" spans="1:18" ht="14.45" customHeight="1" x14ac:dyDescent="0.2">
      <c r="A14" s="484" t="s">
        <v>1018</v>
      </c>
      <c r="B14" s="485" t="s">
        <v>1023</v>
      </c>
      <c r="C14" s="485" t="s">
        <v>450</v>
      </c>
      <c r="D14" s="485" t="s">
        <v>1020</v>
      </c>
      <c r="E14" s="485" t="s">
        <v>1036</v>
      </c>
      <c r="F14" s="485" t="s">
        <v>1037</v>
      </c>
      <c r="G14" s="489">
        <v>309</v>
      </c>
      <c r="H14" s="489">
        <v>35844</v>
      </c>
      <c r="I14" s="485">
        <v>1.1035714285714286</v>
      </c>
      <c r="J14" s="485">
        <v>116</v>
      </c>
      <c r="K14" s="489">
        <v>280</v>
      </c>
      <c r="L14" s="489">
        <v>32480</v>
      </c>
      <c r="M14" s="485">
        <v>1</v>
      </c>
      <c r="N14" s="485">
        <v>116</v>
      </c>
      <c r="O14" s="489">
        <v>366</v>
      </c>
      <c r="P14" s="489">
        <v>42456</v>
      </c>
      <c r="Q14" s="506">
        <v>1.3071428571428572</v>
      </c>
      <c r="R14" s="490">
        <v>116</v>
      </c>
    </row>
    <row r="15" spans="1:18" ht="14.45" customHeight="1" x14ac:dyDescent="0.2">
      <c r="A15" s="484" t="s">
        <v>1018</v>
      </c>
      <c r="B15" s="485" t="s">
        <v>1023</v>
      </c>
      <c r="C15" s="485" t="s">
        <v>450</v>
      </c>
      <c r="D15" s="485" t="s">
        <v>1020</v>
      </c>
      <c r="E15" s="485" t="s">
        <v>1038</v>
      </c>
      <c r="F15" s="485" t="s">
        <v>1039</v>
      </c>
      <c r="G15" s="489">
        <v>744</v>
      </c>
      <c r="H15" s="489">
        <v>27528</v>
      </c>
      <c r="I15" s="485">
        <v>0.93820933165195464</v>
      </c>
      <c r="J15" s="485">
        <v>37</v>
      </c>
      <c r="K15" s="489">
        <v>793</v>
      </c>
      <c r="L15" s="489">
        <v>29341</v>
      </c>
      <c r="M15" s="485">
        <v>1</v>
      </c>
      <c r="N15" s="485">
        <v>37</v>
      </c>
      <c r="O15" s="489">
        <v>901</v>
      </c>
      <c r="P15" s="489">
        <v>34238</v>
      </c>
      <c r="Q15" s="506">
        <v>1.1668995603421832</v>
      </c>
      <c r="R15" s="490">
        <v>38</v>
      </c>
    </row>
    <row r="16" spans="1:18" ht="14.45" customHeight="1" x14ac:dyDescent="0.2">
      <c r="A16" s="484" t="s">
        <v>1018</v>
      </c>
      <c r="B16" s="485" t="s">
        <v>1023</v>
      </c>
      <c r="C16" s="485" t="s">
        <v>450</v>
      </c>
      <c r="D16" s="485" t="s">
        <v>1020</v>
      </c>
      <c r="E16" s="485" t="s">
        <v>1040</v>
      </c>
      <c r="F16" s="485" t="s">
        <v>1041</v>
      </c>
      <c r="G16" s="489">
        <v>18</v>
      </c>
      <c r="H16" s="489">
        <v>1332</v>
      </c>
      <c r="I16" s="485">
        <v>0.78260869565217395</v>
      </c>
      <c r="J16" s="485">
        <v>74</v>
      </c>
      <c r="K16" s="489">
        <v>23</v>
      </c>
      <c r="L16" s="489">
        <v>1702</v>
      </c>
      <c r="M16" s="485">
        <v>1</v>
      </c>
      <c r="N16" s="485">
        <v>74</v>
      </c>
      <c r="O16" s="489">
        <v>46</v>
      </c>
      <c r="P16" s="489">
        <v>3450</v>
      </c>
      <c r="Q16" s="506">
        <v>2.0270270270270272</v>
      </c>
      <c r="R16" s="490">
        <v>75</v>
      </c>
    </row>
    <row r="17" spans="1:18" ht="14.45" customHeight="1" x14ac:dyDescent="0.2">
      <c r="A17" s="484" t="s">
        <v>1018</v>
      </c>
      <c r="B17" s="485" t="s">
        <v>1023</v>
      </c>
      <c r="C17" s="485" t="s">
        <v>450</v>
      </c>
      <c r="D17" s="485" t="s">
        <v>1020</v>
      </c>
      <c r="E17" s="485" t="s">
        <v>1042</v>
      </c>
      <c r="F17" s="485"/>
      <c r="G17" s="489"/>
      <c r="H17" s="489"/>
      <c r="I17" s="485"/>
      <c r="J17" s="485"/>
      <c r="K17" s="489"/>
      <c r="L17" s="489"/>
      <c r="M17" s="485"/>
      <c r="N17" s="485"/>
      <c r="O17" s="489">
        <v>1</v>
      </c>
      <c r="P17" s="489">
        <v>4065</v>
      </c>
      <c r="Q17" s="506"/>
      <c r="R17" s="490">
        <v>4065</v>
      </c>
    </row>
    <row r="18" spans="1:18" ht="14.45" customHeight="1" x14ac:dyDescent="0.2">
      <c r="A18" s="484" t="s">
        <v>1018</v>
      </c>
      <c r="B18" s="485" t="s">
        <v>1023</v>
      </c>
      <c r="C18" s="485" t="s">
        <v>455</v>
      </c>
      <c r="D18" s="485" t="s">
        <v>1020</v>
      </c>
      <c r="E18" s="485" t="s">
        <v>1043</v>
      </c>
      <c r="F18" s="485" t="s">
        <v>1044</v>
      </c>
      <c r="G18" s="489"/>
      <c r="H18" s="489"/>
      <c r="I18" s="485"/>
      <c r="J18" s="485"/>
      <c r="K18" s="489"/>
      <c r="L18" s="489"/>
      <c r="M18" s="485"/>
      <c r="N18" s="485"/>
      <c r="O18" s="489">
        <v>3</v>
      </c>
      <c r="P18" s="489">
        <v>0</v>
      </c>
      <c r="Q18" s="506"/>
      <c r="R18" s="490">
        <v>0</v>
      </c>
    </row>
    <row r="19" spans="1:18" ht="14.45" customHeight="1" x14ac:dyDescent="0.2">
      <c r="A19" s="484" t="s">
        <v>1045</v>
      </c>
      <c r="B19" s="485" t="s">
        <v>1046</v>
      </c>
      <c r="C19" s="485" t="s">
        <v>455</v>
      </c>
      <c r="D19" s="485" t="s">
        <v>1020</v>
      </c>
      <c r="E19" s="485" t="s">
        <v>1047</v>
      </c>
      <c r="F19" s="485" t="s">
        <v>1048</v>
      </c>
      <c r="G19" s="489">
        <v>58</v>
      </c>
      <c r="H19" s="489">
        <v>648092</v>
      </c>
      <c r="I19" s="485">
        <v>0.68538227903789373</v>
      </c>
      <c r="J19" s="485">
        <v>11174</v>
      </c>
      <c r="K19" s="489">
        <v>76</v>
      </c>
      <c r="L19" s="489">
        <v>945592</v>
      </c>
      <c r="M19" s="485">
        <v>1</v>
      </c>
      <c r="N19" s="485">
        <v>12442</v>
      </c>
      <c r="O19" s="489">
        <v>68</v>
      </c>
      <c r="P19" s="489">
        <v>850340</v>
      </c>
      <c r="Q19" s="506">
        <v>0.8992673372871175</v>
      </c>
      <c r="R19" s="490">
        <v>12505</v>
      </c>
    </row>
    <row r="20" spans="1:18" ht="14.45" customHeight="1" x14ac:dyDescent="0.2">
      <c r="A20" s="484" t="s">
        <v>1045</v>
      </c>
      <c r="B20" s="485" t="s">
        <v>1046</v>
      </c>
      <c r="C20" s="485" t="s">
        <v>455</v>
      </c>
      <c r="D20" s="485" t="s">
        <v>1020</v>
      </c>
      <c r="E20" s="485" t="s">
        <v>1049</v>
      </c>
      <c r="F20" s="485" t="s">
        <v>1050</v>
      </c>
      <c r="G20" s="489">
        <v>879</v>
      </c>
      <c r="H20" s="489">
        <v>276885</v>
      </c>
      <c r="I20" s="485">
        <v>0.54313008169950672</v>
      </c>
      <c r="J20" s="485">
        <v>315</v>
      </c>
      <c r="K20" s="489">
        <v>1705</v>
      </c>
      <c r="L20" s="489">
        <v>509795</v>
      </c>
      <c r="M20" s="485">
        <v>1</v>
      </c>
      <c r="N20" s="485">
        <v>299</v>
      </c>
      <c r="O20" s="489">
        <v>1835</v>
      </c>
      <c r="P20" s="489">
        <v>554170</v>
      </c>
      <c r="Q20" s="506">
        <v>1.0870447925146383</v>
      </c>
      <c r="R20" s="490">
        <v>302</v>
      </c>
    </row>
    <row r="21" spans="1:18" ht="14.45" customHeight="1" x14ac:dyDescent="0.2">
      <c r="A21" s="484" t="s">
        <v>1045</v>
      </c>
      <c r="B21" s="485" t="s">
        <v>1046</v>
      </c>
      <c r="C21" s="485" t="s">
        <v>455</v>
      </c>
      <c r="D21" s="485" t="s">
        <v>1020</v>
      </c>
      <c r="E21" s="485" t="s">
        <v>1051</v>
      </c>
      <c r="F21" s="485"/>
      <c r="G21" s="489">
        <v>1262</v>
      </c>
      <c r="H21" s="489">
        <v>1621670</v>
      </c>
      <c r="I21" s="485"/>
      <c r="J21" s="485">
        <v>1285</v>
      </c>
      <c r="K21" s="489"/>
      <c r="L21" s="489"/>
      <c r="M21" s="485"/>
      <c r="N21" s="485"/>
      <c r="O21" s="489"/>
      <c r="P21" s="489"/>
      <c r="Q21" s="506"/>
      <c r="R21" s="490"/>
    </row>
    <row r="22" spans="1:18" ht="14.45" customHeight="1" x14ac:dyDescent="0.2">
      <c r="A22" s="484" t="s">
        <v>1045</v>
      </c>
      <c r="B22" s="485" t="s">
        <v>1046</v>
      </c>
      <c r="C22" s="485" t="s">
        <v>455</v>
      </c>
      <c r="D22" s="485" t="s">
        <v>1020</v>
      </c>
      <c r="E22" s="485" t="s">
        <v>1052</v>
      </c>
      <c r="F22" s="485" t="s">
        <v>1053</v>
      </c>
      <c r="G22" s="489">
        <v>53</v>
      </c>
      <c r="H22" s="489">
        <v>517386</v>
      </c>
      <c r="I22" s="485">
        <v>0.88268230766081157</v>
      </c>
      <c r="J22" s="485">
        <v>9762</v>
      </c>
      <c r="K22" s="489">
        <v>56</v>
      </c>
      <c r="L22" s="489">
        <v>586152</v>
      </c>
      <c r="M22" s="485">
        <v>1</v>
      </c>
      <c r="N22" s="485">
        <v>10467</v>
      </c>
      <c r="O22" s="489">
        <v>51</v>
      </c>
      <c r="P22" s="489">
        <v>535500</v>
      </c>
      <c r="Q22" s="506">
        <v>0.91358555460017199</v>
      </c>
      <c r="R22" s="490">
        <v>10500</v>
      </c>
    </row>
    <row r="23" spans="1:18" ht="14.45" customHeight="1" x14ac:dyDescent="0.2">
      <c r="A23" s="484" t="s">
        <v>1045</v>
      </c>
      <c r="B23" s="485" t="s">
        <v>1046</v>
      </c>
      <c r="C23" s="485" t="s">
        <v>455</v>
      </c>
      <c r="D23" s="485" t="s">
        <v>1020</v>
      </c>
      <c r="E23" s="485" t="s">
        <v>1054</v>
      </c>
      <c r="F23" s="485"/>
      <c r="G23" s="489">
        <v>1116</v>
      </c>
      <c r="H23" s="489">
        <v>1129392</v>
      </c>
      <c r="I23" s="485"/>
      <c r="J23" s="485">
        <v>1012</v>
      </c>
      <c r="K23" s="489"/>
      <c r="L23" s="489"/>
      <c r="M23" s="485"/>
      <c r="N23" s="485"/>
      <c r="O23" s="489"/>
      <c r="P23" s="489"/>
      <c r="Q23" s="506"/>
      <c r="R23" s="490"/>
    </row>
    <row r="24" spans="1:18" ht="14.45" customHeight="1" x14ac:dyDescent="0.2">
      <c r="A24" s="484" t="s">
        <v>1045</v>
      </c>
      <c r="B24" s="485" t="s">
        <v>1046</v>
      </c>
      <c r="C24" s="485" t="s">
        <v>455</v>
      </c>
      <c r="D24" s="485" t="s">
        <v>1020</v>
      </c>
      <c r="E24" s="485" t="s">
        <v>1055</v>
      </c>
      <c r="F24" s="485"/>
      <c r="G24" s="489">
        <v>14138</v>
      </c>
      <c r="H24" s="489">
        <v>32474986</v>
      </c>
      <c r="I24" s="485"/>
      <c r="J24" s="485">
        <v>2297</v>
      </c>
      <c r="K24" s="489"/>
      <c r="L24" s="489"/>
      <c r="M24" s="485"/>
      <c r="N24" s="485"/>
      <c r="O24" s="489"/>
      <c r="P24" s="489"/>
      <c r="Q24" s="506"/>
      <c r="R24" s="490"/>
    </row>
    <row r="25" spans="1:18" ht="14.45" customHeight="1" x14ac:dyDescent="0.2">
      <c r="A25" s="484" t="s">
        <v>1045</v>
      </c>
      <c r="B25" s="485" t="s">
        <v>1046</v>
      </c>
      <c r="C25" s="485" t="s">
        <v>455</v>
      </c>
      <c r="D25" s="485" t="s">
        <v>1020</v>
      </c>
      <c r="E25" s="485" t="s">
        <v>1056</v>
      </c>
      <c r="F25" s="485" t="s">
        <v>1057</v>
      </c>
      <c r="G25" s="489">
        <v>1</v>
      </c>
      <c r="H25" s="489">
        <v>374</v>
      </c>
      <c r="I25" s="485"/>
      <c r="J25" s="485">
        <v>374</v>
      </c>
      <c r="K25" s="489"/>
      <c r="L25" s="489"/>
      <c r="M25" s="485"/>
      <c r="N25" s="485"/>
      <c r="O25" s="489"/>
      <c r="P25" s="489"/>
      <c r="Q25" s="506"/>
      <c r="R25" s="490"/>
    </row>
    <row r="26" spans="1:18" ht="14.45" customHeight="1" x14ac:dyDescent="0.2">
      <c r="A26" s="484" t="s">
        <v>1045</v>
      </c>
      <c r="B26" s="485" t="s">
        <v>1046</v>
      </c>
      <c r="C26" s="485" t="s">
        <v>455</v>
      </c>
      <c r="D26" s="485" t="s">
        <v>1020</v>
      </c>
      <c r="E26" s="485" t="s">
        <v>1058</v>
      </c>
      <c r="F26" s="485" t="s">
        <v>1059</v>
      </c>
      <c r="G26" s="489">
        <v>60</v>
      </c>
      <c r="H26" s="489">
        <v>31680</v>
      </c>
      <c r="I26" s="485">
        <v>0.61538461538461542</v>
      </c>
      <c r="J26" s="485">
        <v>528</v>
      </c>
      <c r="K26" s="489">
        <v>78</v>
      </c>
      <c r="L26" s="489">
        <v>51480</v>
      </c>
      <c r="M26" s="485">
        <v>1</v>
      </c>
      <c r="N26" s="485">
        <v>660</v>
      </c>
      <c r="O26" s="489">
        <v>69</v>
      </c>
      <c r="P26" s="489">
        <v>45954</v>
      </c>
      <c r="Q26" s="506">
        <v>0.89265734265734265</v>
      </c>
      <c r="R26" s="490">
        <v>666</v>
      </c>
    </row>
    <row r="27" spans="1:18" ht="14.45" customHeight="1" x14ac:dyDescent="0.2">
      <c r="A27" s="484" t="s">
        <v>1045</v>
      </c>
      <c r="B27" s="485" t="s">
        <v>1046</v>
      </c>
      <c r="C27" s="485" t="s">
        <v>455</v>
      </c>
      <c r="D27" s="485" t="s">
        <v>1020</v>
      </c>
      <c r="E27" s="485" t="s">
        <v>1060</v>
      </c>
      <c r="F27" s="485" t="s">
        <v>1061</v>
      </c>
      <c r="G27" s="489">
        <v>121</v>
      </c>
      <c r="H27" s="489">
        <v>113377</v>
      </c>
      <c r="I27" s="485">
        <v>0.84182506682506686</v>
      </c>
      <c r="J27" s="485">
        <v>937</v>
      </c>
      <c r="K27" s="489">
        <v>140</v>
      </c>
      <c r="L27" s="489">
        <v>134680</v>
      </c>
      <c r="M27" s="485">
        <v>1</v>
      </c>
      <c r="N27" s="485">
        <v>962</v>
      </c>
      <c r="O27" s="489">
        <v>123</v>
      </c>
      <c r="P27" s="489">
        <v>119187</v>
      </c>
      <c r="Q27" s="506">
        <v>0.88496435996435996</v>
      </c>
      <c r="R27" s="490">
        <v>969</v>
      </c>
    </row>
    <row r="28" spans="1:18" ht="14.45" customHeight="1" x14ac:dyDescent="0.2">
      <c r="A28" s="484" t="s">
        <v>1045</v>
      </c>
      <c r="B28" s="485" t="s">
        <v>1046</v>
      </c>
      <c r="C28" s="485" t="s">
        <v>455</v>
      </c>
      <c r="D28" s="485" t="s">
        <v>1020</v>
      </c>
      <c r="E28" s="485" t="s">
        <v>1062</v>
      </c>
      <c r="F28" s="485" t="s">
        <v>1063</v>
      </c>
      <c r="G28" s="489">
        <v>367</v>
      </c>
      <c r="H28" s="489">
        <v>2545512</v>
      </c>
      <c r="I28" s="485">
        <v>0.92130756652167589</v>
      </c>
      <c r="J28" s="485">
        <v>6936</v>
      </c>
      <c r="K28" s="489">
        <v>366</v>
      </c>
      <c r="L28" s="489">
        <v>2762934</v>
      </c>
      <c r="M28" s="485">
        <v>1</v>
      </c>
      <c r="N28" s="485">
        <v>7549</v>
      </c>
      <c r="O28" s="489">
        <v>406</v>
      </c>
      <c r="P28" s="489">
        <v>3083164</v>
      </c>
      <c r="Q28" s="506">
        <v>1.1159021532906686</v>
      </c>
      <c r="R28" s="490">
        <v>7594</v>
      </c>
    </row>
    <row r="29" spans="1:18" ht="14.45" customHeight="1" x14ac:dyDescent="0.2">
      <c r="A29" s="484" t="s">
        <v>1045</v>
      </c>
      <c r="B29" s="485" t="s">
        <v>1046</v>
      </c>
      <c r="C29" s="485" t="s">
        <v>455</v>
      </c>
      <c r="D29" s="485" t="s">
        <v>1020</v>
      </c>
      <c r="E29" s="485" t="s">
        <v>1064</v>
      </c>
      <c r="F29" s="485" t="s">
        <v>1065</v>
      </c>
      <c r="G29" s="489">
        <v>13</v>
      </c>
      <c r="H29" s="489">
        <v>46306</v>
      </c>
      <c r="I29" s="485">
        <v>0.25095382614350747</v>
      </c>
      <c r="J29" s="485">
        <v>3562</v>
      </c>
      <c r="K29" s="489">
        <v>35</v>
      </c>
      <c r="L29" s="489">
        <v>184520</v>
      </c>
      <c r="M29" s="485">
        <v>1</v>
      </c>
      <c r="N29" s="485">
        <v>5272</v>
      </c>
      <c r="O29" s="489">
        <v>17</v>
      </c>
      <c r="P29" s="489">
        <v>90100</v>
      </c>
      <c r="Q29" s="506">
        <v>0.48829395187513547</v>
      </c>
      <c r="R29" s="490">
        <v>5300</v>
      </c>
    </row>
    <row r="30" spans="1:18" ht="14.45" customHeight="1" x14ac:dyDescent="0.2">
      <c r="A30" s="484" t="s">
        <v>1045</v>
      </c>
      <c r="B30" s="485" t="s">
        <v>1046</v>
      </c>
      <c r="C30" s="485" t="s">
        <v>455</v>
      </c>
      <c r="D30" s="485" t="s">
        <v>1020</v>
      </c>
      <c r="E30" s="485" t="s">
        <v>1066</v>
      </c>
      <c r="F30" s="485" t="s">
        <v>1067</v>
      </c>
      <c r="G30" s="489">
        <v>62</v>
      </c>
      <c r="H30" s="489">
        <v>554528</v>
      </c>
      <c r="I30" s="485">
        <v>0.81064234131508928</v>
      </c>
      <c r="J30" s="485">
        <v>8944</v>
      </c>
      <c r="K30" s="489">
        <v>65</v>
      </c>
      <c r="L30" s="489">
        <v>684060</v>
      </c>
      <c r="M30" s="485">
        <v>1</v>
      </c>
      <c r="N30" s="485">
        <v>10524</v>
      </c>
      <c r="O30" s="489">
        <v>53</v>
      </c>
      <c r="P30" s="489">
        <v>560475</v>
      </c>
      <c r="Q30" s="506">
        <v>0.81933602315586351</v>
      </c>
      <c r="R30" s="490">
        <v>10575</v>
      </c>
    </row>
    <row r="31" spans="1:18" ht="14.45" customHeight="1" x14ac:dyDescent="0.2">
      <c r="A31" s="484" t="s">
        <v>1045</v>
      </c>
      <c r="B31" s="485" t="s">
        <v>1046</v>
      </c>
      <c r="C31" s="485" t="s">
        <v>455</v>
      </c>
      <c r="D31" s="485" t="s">
        <v>1020</v>
      </c>
      <c r="E31" s="485" t="s">
        <v>1068</v>
      </c>
      <c r="F31" s="485" t="s">
        <v>1069</v>
      </c>
      <c r="G31" s="489">
        <v>5</v>
      </c>
      <c r="H31" s="489">
        <v>54685</v>
      </c>
      <c r="I31" s="485">
        <v>1.0987984246905642</v>
      </c>
      <c r="J31" s="485">
        <v>10937</v>
      </c>
      <c r="K31" s="489">
        <v>4</v>
      </c>
      <c r="L31" s="489">
        <v>49768</v>
      </c>
      <c r="M31" s="485">
        <v>1</v>
      </c>
      <c r="N31" s="485">
        <v>12442</v>
      </c>
      <c r="O31" s="489">
        <v>7</v>
      </c>
      <c r="P31" s="489">
        <v>87535</v>
      </c>
      <c r="Q31" s="506">
        <v>1.7588611155762739</v>
      </c>
      <c r="R31" s="490">
        <v>12505</v>
      </c>
    </row>
    <row r="32" spans="1:18" ht="14.45" customHeight="1" x14ac:dyDescent="0.2">
      <c r="A32" s="484" t="s">
        <v>1045</v>
      </c>
      <c r="B32" s="485" t="s">
        <v>1046</v>
      </c>
      <c r="C32" s="485" t="s">
        <v>455</v>
      </c>
      <c r="D32" s="485" t="s">
        <v>1020</v>
      </c>
      <c r="E32" s="485" t="s">
        <v>1070</v>
      </c>
      <c r="F32" s="485" t="s">
        <v>1071</v>
      </c>
      <c r="G32" s="489">
        <v>2</v>
      </c>
      <c r="H32" s="489">
        <v>2208</v>
      </c>
      <c r="I32" s="485">
        <v>0.66068222621184924</v>
      </c>
      <c r="J32" s="485">
        <v>1104</v>
      </c>
      <c r="K32" s="489">
        <v>3</v>
      </c>
      <c r="L32" s="489">
        <v>3342</v>
      </c>
      <c r="M32" s="485">
        <v>1</v>
      </c>
      <c r="N32" s="485">
        <v>1114</v>
      </c>
      <c r="O32" s="489">
        <v>7</v>
      </c>
      <c r="P32" s="489">
        <v>7861</v>
      </c>
      <c r="Q32" s="506">
        <v>2.3521843207660083</v>
      </c>
      <c r="R32" s="490">
        <v>1123</v>
      </c>
    </row>
    <row r="33" spans="1:18" ht="14.45" customHeight="1" x14ac:dyDescent="0.2">
      <c r="A33" s="484" t="s">
        <v>1045</v>
      </c>
      <c r="B33" s="485" t="s">
        <v>1046</v>
      </c>
      <c r="C33" s="485" t="s">
        <v>455</v>
      </c>
      <c r="D33" s="485" t="s">
        <v>1020</v>
      </c>
      <c r="E33" s="485" t="s">
        <v>1072</v>
      </c>
      <c r="F33" s="485" t="s">
        <v>1073</v>
      </c>
      <c r="G33" s="489">
        <v>4</v>
      </c>
      <c r="H33" s="489">
        <v>2412</v>
      </c>
      <c r="I33" s="485">
        <v>0.96634615384615385</v>
      </c>
      <c r="J33" s="485">
        <v>603</v>
      </c>
      <c r="K33" s="489">
        <v>4</v>
      </c>
      <c r="L33" s="489">
        <v>2496</v>
      </c>
      <c r="M33" s="485">
        <v>1</v>
      </c>
      <c r="N33" s="485">
        <v>624</v>
      </c>
      <c r="O33" s="489"/>
      <c r="P33" s="489"/>
      <c r="Q33" s="506"/>
      <c r="R33" s="490"/>
    </row>
    <row r="34" spans="1:18" ht="14.45" customHeight="1" x14ac:dyDescent="0.2">
      <c r="A34" s="484" t="s">
        <v>1045</v>
      </c>
      <c r="B34" s="485" t="s">
        <v>1046</v>
      </c>
      <c r="C34" s="485" t="s">
        <v>455</v>
      </c>
      <c r="D34" s="485" t="s">
        <v>1020</v>
      </c>
      <c r="E34" s="485" t="s">
        <v>1074</v>
      </c>
      <c r="F34" s="485"/>
      <c r="G34" s="489">
        <v>91</v>
      </c>
      <c r="H34" s="489">
        <v>0</v>
      </c>
      <c r="I34" s="485"/>
      <c r="J34" s="485">
        <v>0</v>
      </c>
      <c r="K34" s="489"/>
      <c r="L34" s="489"/>
      <c r="M34" s="485"/>
      <c r="N34" s="485"/>
      <c r="O34" s="489"/>
      <c r="P34" s="489"/>
      <c r="Q34" s="506"/>
      <c r="R34" s="490"/>
    </row>
    <row r="35" spans="1:18" ht="14.45" customHeight="1" x14ac:dyDescent="0.2">
      <c r="A35" s="484" t="s">
        <v>1045</v>
      </c>
      <c r="B35" s="485" t="s">
        <v>1046</v>
      </c>
      <c r="C35" s="485" t="s">
        <v>455</v>
      </c>
      <c r="D35" s="485" t="s">
        <v>1020</v>
      </c>
      <c r="E35" s="485" t="s">
        <v>1075</v>
      </c>
      <c r="F35" s="485"/>
      <c r="G35" s="489">
        <v>79</v>
      </c>
      <c r="H35" s="489">
        <v>4750428</v>
      </c>
      <c r="I35" s="485"/>
      <c r="J35" s="485">
        <v>60132</v>
      </c>
      <c r="K35" s="489"/>
      <c r="L35" s="489"/>
      <c r="M35" s="485"/>
      <c r="N35" s="485"/>
      <c r="O35" s="489"/>
      <c r="P35" s="489"/>
      <c r="Q35" s="506"/>
      <c r="R35" s="490"/>
    </row>
    <row r="36" spans="1:18" ht="14.45" customHeight="1" x14ac:dyDescent="0.2">
      <c r="A36" s="484" t="s">
        <v>1045</v>
      </c>
      <c r="B36" s="485" t="s">
        <v>1046</v>
      </c>
      <c r="C36" s="485" t="s">
        <v>455</v>
      </c>
      <c r="D36" s="485" t="s">
        <v>1020</v>
      </c>
      <c r="E36" s="485" t="s">
        <v>1076</v>
      </c>
      <c r="F36" s="485"/>
      <c r="G36" s="489">
        <v>11</v>
      </c>
      <c r="H36" s="489">
        <v>0</v>
      </c>
      <c r="I36" s="485"/>
      <c r="J36" s="485">
        <v>0</v>
      </c>
      <c r="K36" s="489"/>
      <c r="L36" s="489"/>
      <c r="M36" s="485"/>
      <c r="N36" s="485"/>
      <c r="O36" s="489"/>
      <c r="P36" s="489"/>
      <c r="Q36" s="506"/>
      <c r="R36" s="490"/>
    </row>
    <row r="37" spans="1:18" ht="14.45" customHeight="1" x14ac:dyDescent="0.2">
      <c r="A37" s="484" t="s">
        <v>1045</v>
      </c>
      <c r="B37" s="485" t="s">
        <v>1046</v>
      </c>
      <c r="C37" s="485" t="s">
        <v>455</v>
      </c>
      <c r="D37" s="485" t="s">
        <v>1020</v>
      </c>
      <c r="E37" s="485" t="s">
        <v>1077</v>
      </c>
      <c r="F37" s="485"/>
      <c r="G37" s="489">
        <v>25</v>
      </c>
      <c r="H37" s="489">
        <v>484500</v>
      </c>
      <c r="I37" s="485"/>
      <c r="J37" s="485">
        <v>19380</v>
      </c>
      <c r="K37" s="489"/>
      <c r="L37" s="489"/>
      <c r="M37" s="485"/>
      <c r="N37" s="485"/>
      <c r="O37" s="489"/>
      <c r="P37" s="489"/>
      <c r="Q37" s="506"/>
      <c r="R37" s="490"/>
    </row>
    <row r="38" spans="1:18" ht="14.45" customHeight="1" x14ac:dyDescent="0.2">
      <c r="A38" s="484" t="s">
        <v>1045</v>
      </c>
      <c r="B38" s="485" t="s">
        <v>1046</v>
      </c>
      <c r="C38" s="485" t="s">
        <v>455</v>
      </c>
      <c r="D38" s="485" t="s">
        <v>1020</v>
      </c>
      <c r="E38" s="485" t="s">
        <v>1078</v>
      </c>
      <c r="F38" s="485" t="s">
        <v>1079</v>
      </c>
      <c r="G38" s="489"/>
      <c r="H38" s="489"/>
      <c r="I38" s="485"/>
      <c r="J38" s="485"/>
      <c r="K38" s="489">
        <v>161</v>
      </c>
      <c r="L38" s="489">
        <v>98049</v>
      </c>
      <c r="M38" s="485">
        <v>1</v>
      </c>
      <c r="N38" s="485">
        <v>609</v>
      </c>
      <c r="O38" s="489">
        <v>174</v>
      </c>
      <c r="P38" s="489">
        <v>106488</v>
      </c>
      <c r="Q38" s="506">
        <v>1.0860692102928127</v>
      </c>
      <c r="R38" s="490">
        <v>612</v>
      </c>
    </row>
    <row r="39" spans="1:18" ht="14.45" customHeight="1" x14ac:dyDescent="0.2">
      <c r="A39" s="484" t="s">
        <v>1045</v>
      </c>
      <c r="B39" s="485" t="s">
        <v>1046</v>
      </c>
      <c r="C39" s="485" t="s">
        <v>455</v>
      </c>
      <c r="D39" s="485" t="s">
        <v>1020</v>
      </c>
      <c r="E39" s="485" t="s">
        <v>1080</v>
      </c>
      <c r="F39" s="485" t="s">
        <v>1081</v>
      </c>
      <c r="G39" s="489"/>
      <c r="H39" s="489"/>
      <c r="I39" s="485"/>
      <c r="J39" s="485"/>
      <c r="K39" s="489">
        <v>110</v>
      </c>
      <c r="L39" s="489">
        <v>492800</v>
      </c>
      <c r="M39" s="485">
        <v>1</v>
      </c>
      <c r="N39" s="485">
        <v>4480</v>
      </c>
      <c r="O39" s="489">
        <v>130</v>
      </c>
      <c r="P39" s="489">
        <v>583310</v>
      </c>
      <c r="Q39" s="506">
        <v>1.1836647727272727</v>
      </c>
      <c r="R39" s="490">
        <v>4487</v>
      </c>
    </row>
    <row r="40" spans="1:18" ht="14.45" customHeight="1" x14ac:dyDescent="0.2">
      <c r="A40" s="484" t="s">
        <v>1045</v>
      </c>
      <c r="B40" s="485" t="s">
        <v>1046</v>
      </c>
      <c r="C40" s="485" t="s">
        <v>455</v>
      </c>
      <c r="D40" s="485" t="s">
        <v>1020</v>
      </c>
      <c r="E40" s="485" t="s">
        <v>1082</v>
      </c>
      <c r="F40" s="485" t="s">
        <v>1083</v>
      </c>
      <c r="G40" s="489"/>
      <c r="H40" s="489"/>
      <c r="I40" s="485"/>
      <c r="J40" s="485"/>
      <c r="K40" s="489">
        <v>783</v>
      </c>
      <c r="L40" s="489">
        <v>866781</v>
      </c>
      <c r="M40" s="485">
        <v>1</v>
      </c>
      <c r="N40" s="485">
        <v>1107</v>
      </c>
      <c r="O40" s="489">
        <v>994</v>
      </c>
      <c r="P40" s="489">
        <v>1103340</v>
      </c>
      <c r="Q40" s="506">
        <v>1.2729166882984284</v>
      </c>
      <c r="R40" s="490">
        <v>1110</v>
      </c>
    </row>
    <row r="41" spans="1:18" ht="14.45" customHeight="1" x14ac:dyDescent="0.2">
      <c r="A41" s="484" t="s">
        <v>1045</v>
      </c>
      <c r="B41" s="485" t="s">
        <v>1046</v>
      </c>
      <c r="C41" s="485" t="s">
        <v>455</v>
      </c>
      <c r="D41" s="485" t="s">
        <v>1020</v>
      </c>
      <c r="E41" s="485" t="s">
        <v>1084</v>
      </c>
      <c r="F41" s="485" t="s">
        <v>1085</v>
      </c>
      <c r="G41" s="489"/>
      <c r="H41" s="489"/>
      <c r="I41" s="485"/>
      <c r="J41" s="485"/>
      <c r="K41" s="489">
        <v>414</v>
      </c>
      <c r="L41" s="489">
        <v>3076020</v>
      </c>
      <c r="M41" s="485">
        <v>1</v>
      </c>
      <c r="N41" s="485">
        <v>7430</v>
      </c>
      <c r="O41" s="489">
        <v>400</v>
      </c>
      <c r="P41" s="489">
        <v>2978800</v>
      </c>
      <c r="Q41" s="506">
        <v>0.96839422370465733</v>
      </c>
      <c r="R41" s="490">
        <v>7447</v>
      </c>
    </row>
    <row r="42" spans="1:18" ht="14.45" customHeight="1" x14ac:dyDescent="0.2">
      <c r="A42" s="484" t="s">
        <v>1045</v>
      </c>
      <c r="B42" s="485" t="s">
        <v>1046</v>
      </c>
      <c r="C42" s="485" t="s">
        <v>455</v>
      </c>
      <c r="D42" s="485" t="s">
        <v>1020</v>
      </c>
      <c r="E42" s="485" t="s">
        <v>1086</v>
      </c>
      <c r="F42" s="485" t="s">
        <v>1087</v>
      </c>
      <c r="G42" s="489"/>
      <c r="H42" s="489"/>
      <c r="I42" s="485"/>
      <c r="J42" s="485"/>
      <c r="K42" s="489">
        <v>620</v>
      </c>
      <c r="L42" s="489">
        <v>2377700</v>
      </c>
      <c r="M42" s="485">
        <v>1</v>
      </c>
      <c r="N42" s="485">
        <v>3835</v>
      </c>
      <c r="O42" s="489">
        <v>104</v>
      </c>
      <c r="P42" s="489">
        <v>399256</v>
      </c>
      <c r="Q42" s="506">
        <v>0.16791689447785677</v>
      </c>
      <c r="R42" s="490">
        <v>3839</v>
      </c>
    </row>
    <row r="43" spans="1:18" ht="14.45" customHeight="1" x14ac:dyDescent="0.2">
      <c r="A43" s="484" t="s">
        <v>1045</v>
      </c>
      <c r="B43" s="485" t="s">
        <v>1046</v>
      </c>
      <c r="C43" s="485" t="s">
        <v>455</v>
      </c>
      <c r="D43" s="485" t="s">
        <v>1020</v>
      </c>
      <c r="E43" s="485" t="s">
        <v>1088</v>
      </c>
      <c r="F43" s="485" t="s">
        <v>1089</v>
      </c>
      <c r="G43" s="489"/>
      <c r="H43" s="489"/>
      <c r="I43" s="485"/>
      <c r="J43" s="485"/>
      <c r="K43" s="489">
        <v>72</v>
      </c>
      <c r="L43" s="489">
        <v>172440</v>
      </c>
      <c r="M43" s="485">
        <v>1</v>
      </c>
      <c r="N43" s="485">
        <v>2395</v>
      </c>
      <c r="O43" s="489">
        <v>582</v>
      </c>
      <c r="P43" s="489">
        <v>1396218</v>
      </c>
      <c r="Q43" s="506">
        <v>8.0968336812804456</v>
      </c>
      <c r="R43" s="490">
        <v>2399</v>
      </c>
    </row>
    <row r="44" spans="1:18" ht="14.45" customHeight="1" x14ac:dyDescent="0.2">
      <c r="A44" s="484" t="s">
        <v>1045</v>
      </c>
      <c r="B44" s="485" t="s">
        <v>1046</v>
      </c>
      <c r="C44" s="485" t="s">
        <v>455</v>
      </c>
      <c r="D44" s="485" t="s">
        <v>1020</v>
      </c>
      <c r="E44" s="485" t="s">
        <v>1090</v>
      </c>
      <c r="F44" s="485" t="s">
        <v>1091</v>
      </c>
      <c r="G44" s="489"/>
      <c r="H44" s="489"/>
      <c r="I44" s="485"/>
      <c r="J44" s="485"/>
      <c r="K44" s="489">
        <v>23</v>
      </c>
      <c r="L44" s="489">
        <v>816477</v>
      </c>
      <c r="M44" s="485">
        <v>1</v>
      </c>
      <c r="N44" s="485">
        <v>35499</v>
      </c>
      <c r="O44" s="489">
        <v>8</v>
      </c>
      <c r="P44" s="489">
        <v>284352</v>
      </c>
      <c r="Q44" s="506">
        <v>0.34826700568417729</v>
      </c>
      <c r="R44" s="490">
        <v>35544</v>
      </c>
    </row>
    <row r="45" spans="1:18" ht="14.45" customHeight="1" x14ac:dyDescent="0.2">
      <c r="A45" s="484" t="s">
        <v>1045</v>
      </c>
      <c r="B45" s="485" t="s">
        <v>1046</v>
      </c>
      <c r="C45" s="485" t="s">
        <v>455</v>
      </c>
      <c r="D45" s="485" t="s">
        <v>1020</v>
      </c>
      <c r="E45" s="485" t="s">
        <v>1092</v>
      </c>
      <c r="F45" s="485" t="s">
        <v>1093</v>
      </c>
      <c r="G45" s="489"/>
      <c r="H45" s="489"/>
      <c r="I45" s="485"/>
      <c r="J45" s="485"/>
      <c r="K45" s="489">
        <v>13</v>
      </c>
      <c r="L45" s="489">
        <v>114478</v>
      </c>
      <c r="M45" s="485">
        <v>1</v>
      </c>
      <c r="N45" s="485">
        <v>8806</v>
      </c>
      <c r="O45" s="489">
        <v>7</v>
      </c>
      <c r="P45" s="489">
        <v>61691</v>
      </c>
      <c r="Q45" s="506">
        <v>0.53888956830133306</v>
      </c>
      <c r="R45" s="490">
        <v>8813</v>
      </c>
    </row>
    <row r="46" spans="1:18" ht="14.45" customHeight="1" x14ac:dyDescent="0.2">
      <c r="A46" s="484" t="s">
        <v>1045</v>
      </c>
      <c r="B46" s="485" t="s">
        <v>1046</v>
      </c>
      <c r="C46" s="485" t="s">
        <v>455</v>
      </c>
      <c r="D46" s="485" t="s">
        <v>1020</v>
      </c>
      <c r="E46" s="485" t="s">
        <v>1094</v>
      </c>
      <c r="F46" s="485" t="s">
        <v>1095</v>
      </c>
      <c r="G46" s="489"/>
      <c r="H46" s="489"/>
      <c r="I46" s="485"/>
      <c r="J46" s="485"/>
      <c r="K46" s="489">
        <v>16</v>
      </c>
      <c r="L46" s="489">
        <v>160000</v>
      </c>
      <c r="M46" s="485">
        <v>1</v>
      </c>
      <c r="N46" s="485">
        <v>10000</v>
      </c>
      <c r="O46" s="489">
        <v>56</v>
      </c>
      <c r="P46" s="489">
        <v>560000</v>
      </c>
      <c r="Q46" s="506">
        <v>3.5</v>
      </c>
      <c r="R46" s="490">
        <v>10000</v>
      </c>
    </row>
    <row r="47" spans="1:18" ht="14.45" customHeight="1" x14ac:dyDescent="0.2">
      <c r="A47" s="484" t="s">
        <v>1045</v>
      </c>
      <c r="B47" s="485" t="s">
        <v>1046</v>
      </c>
      <c r="C47" s="485" t="s">
        <v>455</v>
      </c>
      <c r="D47" s="485" t="s">
        <v>1020</v>
      </c>
      <c r="E47" s="485" t="s">
        <v>1096</v>
      </c>
      <c r="F47" s="485" t="s">
        <v>1097</v>
      </c>
      <c r="G47" s="489"/>
      <c r="H47" s="489"/>
      <c r="I47" s="485"/>
      <c r="J47" s="485"/>
      <c r="K47" s="489">
        <v>193</v>
      </c>
      <c r="L47" s="489">
        <v>2077966.6899999995</v>
      </c>
      <c r="M47" s="485">
        <v>1</v>
      </c>
      <c r="N47" s="485">
        <v>10766.666787564764</v>
      </c>
      <c r="O47" s="489">
        <v>234</v>
      </c>
      <c r="P47" s="489">
        <v>2519400.0199999996</v>
      </c>
      <c r="Q47" s="506">
        <v>1.2124352291710703</v>
      </c>
      <c r="R47" s="490">
        <v>10766.666752136751</v>
      </c>
    </row>
    <row r="48" spans="1:18" ht="14.45" customHeight="1" x14ac:dyDescent="0.2">
      <c r="A48" s="484" t="s">
        <v>1045</v>
      </c>
      <c r="B48" s="485" t="s">
        <v>1046</v>
      </c>
      <c r="C48" s="485" t="s">
        <v>455</v>
      </c>
      <c r="D48" s="485" t="s">
        <v>1020</v>
      </c>
      <c r="E48" s="485" t="s">
        <v>1098</v>
      </c>
      <c r="F48" s="485" t="s">
        <v>1099</v>
      </c>
      <c r="G48" s="489"/>
      <c r="H48" s="489"/>
      <c r="I48" s="485"/>
      <c r="J48" s="485"/>
      <c r="K48" s="489">
        <v>96</v>
      </c>
      <c r="L48" s="489">
        <v>800000</v>
      </c>
      <c r="M48" s="485">
        <v>1</v>
      </c>
      <c r="N48" s="485">
        <v>8333.3333333333339</v>
      </c>
      <c r="O48" s="489">
        <v>122</v>
      </c>
      <c r="P48" s="489">
        <v>1016666.6499999999</v>
      </c>
      <c r="Q48" s="506">
        <v>1.2708333125</v>
      </c>
      <c r="R48" s="490">
        <v>8333.3331967213107</v>
      </c>
    </row>
    <row r="49" spans="1:18" ht="14.45" customHeight="1" x14ac:dyDescent="0.2">
      <c r="A49" s="484" t="s">
        <v>1045</v>
      </c>
      <c r="B49" s="485" t="s">
        <v>1046</v>
      </c>
      <c r="C49" s="485" t="s">
        <v>455</v>
      </c>
      <c r="D49" s="485" t="s">
        <v>1020</v>
      </c>
      <c r="E49" s="485" t="s">
        <v>1043</v>
      </c>
      <c r="F49" s="485" t="s">
        <v>1044</v>
      </c>
      <c r="G49" s="489"/>
      <c r="H49" s="489"/>
      <c r="I49" s="485"/>
      <c r="J49" s="485"/>
      <c r="K49" s="489">
        <v>171</v>
      </c>
      <c r="L49" s="489">
        <v>0</v>
      </c>
      <c r="M49" s="485"/>
      <c r="N49" s="485">
        <v>0</v>
      </c>
      <c r="O49" s="489">
        <v>331</v>
      </c>
      <c r="P49" s="489">
        <v>0</v>
      </c>
      <c r="Q49" s="506"/>
      <c r="R49" s="490">
        <v>0</v>
      </c>
    </row>
    <row r="50" spans="1:18" ht="14.45" customHeight="1" x14ac:dyDescent="0.2">
      <c r="A50" s="484" t="s">
        <v>1045</v>
      </c>
      <c r="B50" s="485" t="s">
        <v>1046</v>
      </c>
      <c r="C50" s="485" t="s">
        <v>455</v>
      </c>
      <c r="D50" s="485" t="s">
        <v>1020</v>
      </c>
      <c r="E50" s="485" t="s">
        <v>1100</v>
      </c>
      <c r="F50" s="485" t="s">
        <v>1101</v>
      </c>
      <c r="G50" s="489"/>
      <c r="H50" s="489"/>
      <c r="I50" s="485"/>
      <c r="J50" s="485"/>
      <c r="K50" s="489">
        <v>26</v>
      </c>
      <c r="L50" s="489">
        <v>214500</v>
      </c>
      <c r="M50" s="485">
        <v>1</v>
      </c>
      <c r="N50" s="485">
        <v>8250</v>
      </c>
      <c r="O50" s="489">
        <v>168</v>
      </c>
      <c r="P50" s="489">
        <v>1386000</v>
      </c>
      <c r="Q50" s="506">
        <v>6.4615384615384617</v>
      </c>
      <c r="R50" s="490">
        <v>8250</v>
      </c>
    </row>
    <row r="51" spans="1:18" ht="14.45" customHeight="1" x14ac:dyDescent="0.2">
      <c r="A51" s="484" t="s">
        <v>1045</v>
      </c>
      <c r="B51" s="485" t="s">
        <v>1046</v>
      </c>
      <c r="C51" s="485" t="s">
        <v>455</v>
      </c>
      <c r="D51" s="485" t="s">
        <v>1020</v>
      </c>
      <c r="E51" s="485" t="s">
        <v>1102</v>
      </c>
      <c r="F51" s="485" t="s">
        <v>1103</v>
      </c>
      <c r="G51" s="489"/>
      <c r="H51" s="489"/>
      <c r="I51" s="485"/>
      <c r="J51" s="485"/>
      <c r="K51" s="489">
        <v>23</v>
      </c>
      <c r="L51" s="489">
        <v>0</v>
      </c>
      <c r="M51" s="485"/>
      <c r="N51" s="485">
        <v>0</v>
      </c>
      <c r="O51" s="489">
        <v>18</v>
      </c>
      <c r="P51" s="489">
        <v>0</v>
      </c>
      <c r="Q51" s="506"/>
      <c r="R51" s="490">
        <v>0</v>
      </c>
    </row>
    <row r="52" spans="1:18" ht="14.45" customHeight="1" x14ac:dyDescent="0.2">
      <c r="A52" s="484" t="s">
        <v>1045</v>
      </c>
      <c r="B52" s="485" t="s">
        <v>1046</v>
      </c>
      <c r="C52" s="485" t="s">
        <v>455</v>
      </c>
      <c r="D52" s="485" t="s">
        <v>1020</v>
      </c>
      <c r="E52" s="485" t="s">
        <v>1104</v>
      </c>
      <c r="F52" s="485" t="s">
        <v>1105</v>
      </c>
      <c r="G52" s="489"/>
      <c r="H52" s="489"/>
      <c r="I52" s="485"/>
      <c r="J52" s="485"/>
      <c r="K52" s="489">
        <v>0</v>
      </c>
      <c r="L52" s="489">
        <v>0</v>
      </c>
      <c r="M52" s="485"/>
      <c r="N52" s="485"/>
      <c r="O52" s="489"/>
      <c r="P52" s="489"/>
      <c r="Q52" s="506"/>
      <c r="R52" s="490"/>
    </row>
    <row r="53" spans="1:18" ht="14.45" customHeight="1" x14ac:dyDescent="0.2">
      <c r="A53" s="484" t="s">
        <v>1045</v>
      </c>
      <c r="B53" s="485" t="s">
        <v>1046</v>
      </c>
      <c r="C53" s="485" t="s">
        <v>455</v>
      </c>
      <c r="D53" s="485" t="s">
        <v>1020</v>
      </c>
      <c r="E53" s="485" t="s">
        <v>1106</v>
      </c>
      <c r="F53" s="485" t="s">
        <v>1107</v>
      </c>
      <c r="G53" s="489"/>
      <c r="H53" s="489"/>
      <c r="I53" s="485"/>
      <c r="J53" s="485"/>
      <c r="K53" s="489">
        <v>28</v>
      </c>
      <c r="L53" s="489">
        <v>855555.5900000002</v>
      </c>
      <c r="M53" s="485">
        <v>1</v>
      </c>
      <c r="N53" s="485">
        <v>30555.556785714292</v>
      </c>
      <c r="O53" s="489">
        <v>20</v>
      </c>
      <c r="P53" s="489">
        <v>611111.14000000013</v>
      </c>
      <c r="Q53" s="506">
        <v>0.71428571929499052</v>
      </c>
      <c r="R53" s="490">
        <v>30555.557000000008</v>
      </c>
    </row>
    <row r="54" spans="1:18" ht="14.45" customHeight="1" x14ac:dyDescent="0.2">
      <c r="A54" s="484" t="s">
        <v>1045</v>
      </c>
      <c r="B54" s="485" t="s">
        <v>1046</v>
      </c>
      <c r="C54" s="485" t="s">
        <v>455</v>
      </c>
      <c r="D54" s="485" t="s">
        <v>1020</v>
      </c>
      <c r="E54" s="485" t="s">
        <v>1108</v>
      </c>
      <c r="F54" s="485" t="s">
        <v>1109</v>
      </c>
      <c r="G54" s="489"/>
      <c r="H54" s="489"/>
      <c r="I54" s="485"/>
      <c r="J54" s="485"/>
      <c r="K54" s="489">
        <v>28</v>
      </c>
      <c r="L54" s="489">
        <v>119280</v>
      </c>
      <c r="M54" s="485">
        <v>1</v>
      </c>
      <c r="N54" s="485">
        <v>4260</v>
      </c>
      <c r="O54" s="489">
        <v>19</v>
      </c>
      <c r="P54" s="489">
        <v>80940</v>
      </c>
      <c r="Q54" s="506">
        <v>0.6785714285714286</v>
      </c>
      <c r="R54" s="490">
        <v>4260</v>
      </c>
    </row>
    <row r="55" spans="1:18" ht="14.45" customHeight="1" x14ac:dyDescent="0.2">
      <c r="A55" s="484" t="s">
        <v>1045</v>
      </c>
      <c r="B55" s="485" t="s">
        <v>1046</v>
      </c>
      <c r="C55" s="485" t="s">
        <v>455</v>
      </c>
      <c r="D55" s="485" t="s">
        <v>1020</v>
      </c>
      <c r="E55" s="485" t="s">
        <v>1110</v>
      </c>
      <c r="F55" s="485" t="s">
        <v>1111</v>
      </c>
      <c r="G55" s="489"/>
      <c r="H55" s="489"/>
      <c r="I55" s="485"/>
      <c r="J55" s="485"/>
      <c r="K55" s="489">
        <v>16</v>
      </c>
      <c r="L55" s="489">
        <v>85155.55</v>
      </c>
      <c r="M55" s="485">
        <v>1</v>
      </c>
      <c r="N55" s="485">
        <v>5322.2218750000002</v>
      </c>
      <c r="O55" s="489">
        <v>25</v>
      </c>
      <c r="P55" s="489">
        <v>133055.54999999999</v>
      </c>
      <c r="Q55" s="506">
        <v>1.5625000366975492</v>
      </c>
      <c r="R55" s="490">
        <v>5322.2219999999998</v>
      </c>
    </row>
    <row r="56" spans="1:18" ht="14.45" customHeight="1" x14ac:dyDescent="0.2">
      <c r="A56" s="484" t="s">
        <v>1045</v>
      </c>
      <c r="B56" s="485" t="s">
        <v>1046</v>
      </c>
      <c r="C56" s="485" t="s">
        <v>455</v>
      </c>
      <c r="D56" s="485" t="s">
        <v>1020</v>
      </c>
      <c r="E56" s="485" t="s">
        <v>1112</v>
      </c>
      <c r="F56" s="485" t="s">
        <v>1113</v>
      </c>
      <c r="G56" s="489"/>
      <c r="H56" s="489"/>
      <c r="I56" s="485"/>
      <c r="J56" s="485"/>
      <c r="K56" s="489">
        <v>91</v>
      </c>
      <c r="L56" s="489">
        <v>4004000</v>
      </c>
      <c r="M56" s="485">
        <v>1</v>
      </c>
      <c r="N56" s="485">
        <v>44000</v>
      </c>
      <c r="O56" s="489">
        <v>174</v>
      </c>
      <c r="P56" s="489">
        <v>7656000</v>
      </c>
      <c r="Q56" s="506">
        <v>1.9120879120879122</v>
      </c>
      <c r="R56" s="490">
        <v>44000</v>
      </c>
    </row>
    <row r="57" spans="1:18" ht="14.45" customHeight="1" x14ac:dyDescent="0.2">
      <c r="A57" s="484" t="s">
        <v>1045</v>
      </c>
      <c r="B57" s="485" t="s">
        <v>1046</v>
      </c>
      <c r="C57" s="485" t="s">
        <v>455</v>
      </c>
      <c r="D57" s="485" t="s">
        <v>1020</v>
      </c>
      <c r="E57" s="485" t="s">
        <v>1114</v>
      </c>
      <c r="F57" s="485" t="s">
        <v>1115</v>
      </c>
      <c r="G57" s="489"/>
      <c r="H57" s="489"/>
      <c r="I57" s="485"/>
      <c r="J57" s="485"/>
      <c r="K57" s="489"/>
      <c r="L57" s="489"/>
      <c r="M57" s="485"/>
      <c r="N57" s="485"/>
      <c r="O57" s="489">
        <v>2</v>
      </c>
      <c r="P57" s="489">
        <v>79594</v>
      </c>
      <c r="Q57" s="506"/>
      <c r="R57" s="490">
        <v>39797</v>
      </c>
    </row>
    <row r="58" spans="1:18" ht="14.45" customHeight="1" x14ac:dyDescent="0.2">
      <c r="A58" s="484" t="s">
        <v>1045</v>
      </c>
      <c r="B58" s="485" t="s">
        <v>1046</v>
      </c>
      <c r="C58" s="485" t="s">
        <v>455</v>
      </c>
      <c r="D58" s="485" t="s">
        <v>1020</v>
      </c>
      <c r="E58" s="485" t="s">
        <v>1116</v>
      </c>
      <c r="F58" s="485"/>
      <c r="G58" s="489"/>
      <c r="H58" s="489"/>
      <c r="I58" s="485"/>
      <c r="J58" s="485"/>
      <c r="K58" s="489"/>
      <c r="L58" s="489"/>
      <c r="M58" s="485"/>
      <c r="N58" s="485"/>
      <c r="O58" s="489">
        <v>1</v>
      </c>
      <c r="P58" s="489">
        <v>31867</v>
      </c>
      <c r="Q58" s="506"/>
      <c r="R58" s="490">
        <v>31867</v>
      </c>
    </row>
    <row r="59" spans="1:18" ht="14.45" customHeight="1" thickBot="1" x14ac:dyDescent="0.25">
      <c r="A59" s="491" t="s">
        <v>1045</v>
      </c>
      <c r="B59" s="492" t="s">
        <v>1046</v>
      </c>
      <c r="C59" s="492" t="s">
        <v>455</v>
      </c>
      <c r="D59" s="492" t="s">
        <v>1020</v>
      </c>
      <c r="E59" s="492" t="s">
        <v>1117</v>
      </c>
      <c r="F59" s="492" t="s">
        <v>1118</v>
      </c>
      <c r="G59" s="496"/>
      <c r="H59" s="496"/>
      <c r="I59" s="492"/>
      <c r="J59" s="492"/>
      <c r="K59" s="496">
        <v>1</v>
      </c>
      <c r="L59" s="496">
        <v>8600</v>
      </c>
      <c r="M59" s="492">
        <v>1</v>
      </c>
      <c r="N59" s="492">
        <v>8600</v>
      </c>
      <c r="O59" s="496"/>
      <c r="P59" s="496"/>
      <c r="Q59" s="508"/>
      <c r="R59" s="497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04BD1C7-873D-4888-844A-93CAFF91D681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9" bestFit="1" customWidth="1"/>
    <col min="2" max="2" width="11.7109375" style="139" hidden="1" customWidth="1"/>
    <col min="3" max="4" width="11" style="141" customWidth="1"/>
    <col min="5" max="5" width="11" style="142" customWidth="1"/>
    <col min="6" max="16384" width="8.85546875" style="139"/>
  </cols>
  <sheetData>
    <row r="1" spans="1:5" ht="19.5" thickBot="1" x14ac:dyDescent="0.35">
      <c r="A1" s="318" t="s">
        <v>120</v>
      </c>
      <c r="B1" s="318"/>
      <c r="C1" s="319"/>
      <c r="D1" s="319"/>
      <c r="E1" s="319"/>
    </row>
    <row r="2" spans="1:5" ht="14.45" customHeight="1" thickBot="1" x14ac:dyDescent="0.25">
      <c r="A2" s="221" t="s">
        <v>256</v>
      </c>
      <c r="B2" s="140"/>
    </row>
    <row r="3" spans="1:5" ht="14.45" customHeight="1" thickBot="1" x14ac:dyDescent="0.25">
      <c r="A3" s="143"/>
      <c r="C3" s="144" t="s">
        <v>106</v>
      </c>
      <c r="D3" s="145" t="s">
        <v>72</v>
      </c>
      <c r="E3" s="146" t="s">
        <v>74</v>
      </c>
    </row>
    <row r="4" spans="1:5" ht="14.45" customHeight="1" thickBot="1" x14ac:dyDescent="0.25">
      <c r="A4" s="147" t="str">
        <f>HYPERLINK("#HI!A1","NÁKLADY CELKEM (v tisících Kč)")</f>
        <v>NÁKLADY CELKEM (v tisících Kč)</v>
      </c>
      <c r="B4" s="148"/>
      <c r="C4" s="149">
        <f ca="1">IF(ISERROR(VLOOKUP("Náklady celkem",INDIRECT("HI!$A:$G"),6,0)),0,VLOOKUP("Náklady celkem",INDIRECT("HI!$A:$G"),6,0))</f>
        <v>20373.041042722703</v>
      </c>
      <c r="D4" s="149">
        <f ca="1">IF(ISERROR(VLOOKUP("Náklady celkem",INDIRECT("HI!$A:$G"),5,0)),0,VLOOKUP("Náklady celkem",INDIRECT("HI!$A:$G"),5,0))</f>
        <v>18257.55027</v>
      </c>
      <c r="E4" s="150">
        <f ca="1">IF(C4=0,0,D4/C4)</f>
        <v>0.89616224851820236</v>
      </c>
    </row>
    <row r="5" spans="1:5" ht="14.45" customHeight="1" x14ac:dyDescent="0.2">
      <c r="A5" s="151" t="s">
        <v>140</v>
      </c>
      <c r="B5" s="152"/>
      <c r="C5" s="153"/>
      <c r="D5" s="153"/>
      <c r="E5" s="154"/>
    </row>
    <row r="6" spans="1:5" ht="14.45" customHeight="1" x14ac:dyDescent="0.2">
      <c r="A6" s="155" t="s">
        <v>145</v>
      </c>
      <c r="B6" s="156"/>
      <c r="C6" s="157"/>
      <c r="D6" s="157"/>
      <c r="E6" s="154"/>
    </row>
    <row r="7" spans="1:5" ht="14.45" customHeight="1" x14ac:dyDescent="0.25">
      <c r="A7" s="2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6" t="s">
        <v>110</v>
      </c>
      <c r="C7" s="157">
        <f>IF(ISERROR(HI!F5),"",HI!F5)</f>
        <v>26.666668609619141</v>
      </c>
      <c r="D7" s="157">
        <f>IF(ISERROR(HI!E5),"",HI!E5)</f>
        <v>21.338940000000001</v>
      </c>
      <c r="E7" s="154">
        <f t="shared" ref="E7:E13" si="0">IF(C7=0,0,D7/C7)</f>
        <v>0.80021019169611107</v>
      </c>
    </row>
    <row r="8" spans="1:5" ht="14.45" customHeight="1" x14ac:dyDescent="0.25">
      <c r="A8" s="246" t="str">
        <f>HYPERLINK("#'LŽ Statim'!A1","Podíl statimových žádanek (max. 30%)")</f>
        <v>Podíl statimových žádanek (max. 30%)</v>
      </c>
      <c r="B8" s="244" t="s">
        <v>192</v>
      </c>
      <c r="C8" s="245">
        <v>0.3</v>
      </c>
      <c r="D8" s="245">
        <f>IF('LŽ Statim'!G3="",0,'LŽ Statim'!G3)</f>
        <v>0</v>
      </c>
      <c r="E8" s="154">
        <f>IF(C8=0,0,D8/C8)</f>
        <v>0</v>
      </c>
    </row>
    <row r="9" spans="1:5" ht="14.45" customHeight="1" x14ac:dyDescent="0.2">
      <c r="A9" s="159" t="s">
        <v>141</v>
      </c>
      <c r="B9" s="156"/>
      <c r="C9" s="157"/>
      <c r="D9" s="157"/>
      <c r="E9" s="154"/>
    </row>
    <row r="10" spans="1:5" ht="14.45" customHeight="1" x14ac:dyDescent="0.25">
      <c r="A10" s="246" t="str">
        <f>HYPERLINK("#'Léky Recepty'!A1","Záchyt v lékárně (Úhrada Kč, min. 60%)")</f>
        <v>Záchyt v lékárně (Úhrada Kč, min. 60%)</v>
      </c>
      <c r="B10" s="156" t="s">
        <v>115</v>
      </c>
      <c r="C10" s="158">
        <v>0.6</v>
      </c>
      <c r="D10" s="158">
        <f>IF(ISERROR(VLOOKUP("Celkem",'Léky Recepty'!B:H,5,0)),0,VLOOKUP("Celkem",'Léky Recepty'!B:H,5,0))</f>
        <v>0.85815326012324133</v>
      </c>
      <c r="E10" s="154">
        <f t="shared" si="0"/>
        <v>1.4302554335387356</v>
      </c>
    </row>
    <row r="11" spans="1:5" ht="14.45" customHeight="1" x14ac:dyDescent="0.2">
      <c r="A11" s="159" t="s">
        <v>142</v>
      </c>
      <c r="B11" s="156"/>
      <c r="C11" s="157"/>
      <c r="D11" s="157"/>
      <c r="E11" s="154"/>
    </row>
    <row r="12" spans="1:5" ht="14.45" customHeight="1" x14ac:dyDescent="0.2">
      <c r="A12" s="160" t="s">
        <v>146</v>
      </c>
      <c r="B12" s="156"/>
      <c r="C12" s="153"/>
      <c r="D12" s="153"/>
      <c r="E12" s="154"/>
    </row>
    <row r="13" spans="1:5" ht="14.45" customHeight="1" x14ac:dyDescent="0.2">
      <c r="A13" s="16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6" t="s">
        <v>110</v>
      </c>
      <c r="C13" s="157">
        <f>IF(ISERROR(HI!F6),"",HI!F6)</f>
        <v>2416.6667564086911</v>
      </c>
      <c r="D13" s="157">
        <f>IF(ISERROR(HI!E6),"",HI!E6)</f>
        <v>2148.2716699999996</v>
      </c>
      <c r="E13" s="154">
        <f t="shared" si="0"/>
        <v>0.8889399683688527</v>
      </c>
    </row>
    <row r="14" spans="1:5" ht="14.45" customHeight="1" thickBot="1" x14ac:dyDescent="0.25">
      <c r="A14" s="162" t="str">
        <f>HYPERLINK("#HI!A1","Osobní náklady")</f>
        <v>Osobní náklady</v>
      </c>
      <c r="B14" s="156"/>
      <c r="C14" s="153">
        <f ca="1">IF(ISERROR(VLOOKUP("Osobní náklady (Kč) *",INDIRECT("HI!$A:$G"),6,0)),0,VLOOKUP("Osobní náklady (Kč) *",INDIRECT("HI!$A:$G"),6,0))</f>
        <v>15344.430433898928</v>
      </c>
      <c r="D14" s="153">
        <f ca="1">IF(ISERROR(VLOOKUP("Osobní náklady (Kč) *",INDIRECT("HI!$A:$G"),5,0)),0,VLOOKUP("Osobní náklady (Kč) *",INDIRECT("HI!$A:$G"),5,0))</f>
        <v>14061.096900000002</v>
      </c>
      <c r="E14" s="154">
        <f ca="1">IF(C14=0,0,D14/C14)</f>
        <v>0.91636486349706514</v>
      </c>
    </row>
    <row r="15" spans="1:5" ht="14.45" customHeight="1" thickBot="1" x14ac:dyDescent="0.25">
      <c r="A15" s="166"/>
      <c r="B15" s="167"/>
      <c r="C15" s="168"/>
      <c r="D15" s="168"/>
      <c r="E15" s="169"/>
    </row>
    <row r="16" spans="1:5" ht="14.45" customHeight="1" thickBot="1" x14ac:dyDescent="0.25">
      <c r="A16" s="170" t="str">
        <f>HYPERLINK("#HI!A1","VÝNOSY CELKEM (v tisících)")</f>
        <v>VÝNOSY CELKEM (v tisících)</v>
      </c>
      <c r="B16" s="171"/>
      <c r="C16" s="172">
        <f ca="1">IF(ISERROR(VLOOKUP("Výnosy celkem",INDIRECT("HI!$A:$G"),6,0)),0,VLOOKUP("Výnosy celkem",INDIRECT("HI!$A:$G"),6,0))</f>
        <v>27201.842130000012</v>
      </c>
      <c r="D16" s="172">
        <f ca="1">IF(ISERROR(VLOOKUP("Výnosy celkem",INDIRECT("HI!$A:$G"),5,0)),0,VLOOKUP("Výnosy celkem",INDIRECT("HI!$A:$G"),5,0))</f>
        <v>32730.191689999996</v>
      </c>
      <c r="E16" s="173">
        <f t="shared" ref="E16:E21" ca="1" si="1">IF(C16=0,0,D16/C16)</f>
        <v>1.2032343814650315</v>
      </c>
    </row>
    <row r="17" spans="1:5" ht="14.45" customHeight="1" x14ac:dyDescent="0.2">
      <c r="A17" s="174" t="str">
        <f>HYPERLINK("#HI!A1","Ambulance (body za výkony + Kč za ZUM a ZULP)")</f>
        <v>Ambulance (body za výkony + Kč za ZUM a ZULP)</v>
      </c>
      <c r="B17" s="152"/>
      <c r="C17" s="153">
        <f ca="1">IF(ISERROR(VLOOKUP("Ambulance *",INDIRECT("HI!$A:$G"),6,0)),0,VLOOKUP("Ambulance *",INDIRECT("HI!$A:$G"),6,0))</f>
        <v>27201.842130000012</v>
      </c>
      <c r="D17" s="153">
        <f ca="1">IF(ISERROR(VLOOKUP("Ambulance *",INDIRECT("HI!$A:$G"),5,0)),0,VLOOKUP("Ambulance *",INDIRECT("HI!$A:$G"),5,0))</f>
        <v>32730.191689999996</v>
      </c>
      <c r="E17" s="154">
        <f t="shared" ca="1" si="1"/>
        <v>1.2032343814650315</v>
      </c>
    </row>
    <row r="18" spans="1:5" ht="14.45" customHeight="1" x14ac:dyDescent="0.25">
      <c r="A18" s="253" t="str">
        <f>HYPERLINK("#'ZV Vykáz.-A'!A1","Zdravotní výkony vykázané u ambulantních pacientů (min. 100 % 2016)")</f>
        <v>Zdravotní výkony vykázané u ambulantních pacientů (min. 100 % 2016)</v>
      </c>
      <c r="B18" s="254" t="s">
        <v>122</v>
      </c>
      <c r="C18" s="158">
        <v>1</v>
      </c>
      <c r="D18" s="158">
        <f>IF(ISERROR(VLOOKUP("Celkem:",'ZV Vykáz.-A'!$A:$AB,10,0)),"",VLOOKUP("Celkem:",'ZV Vykáz.-A'!$A:$AB,10,0))</f>
        <v>1.2032343814650315</v>
      </c>
      <c r="E18" s="154">
        <f t="shared" si="1"/>
        <v>1.2032343814650315</v>
      </c>
    </row>
    <row r="19" spans="1:5" ht="14.45" customHeight="1" x14ac:dyDescent="0.25">
      <c r="A19" s="252" t="str">
        <f>HYPERLINK("#'ZV Vykáz.-A'!A1","Specializovaná ambulantní péče")</f>
        <v>Specializovaná ambulantní péče</v>
      </c>
      <c r="B19" s="254" t="s">
        <v>122</v>
      </c>
      <c r="C19" s="158">
        <v>1</v>
      </c>
      <c r="D19" s="245">
        <f>IF(ISERROR(VLOOKUP("Specializovaná ambulantní péče",'ZV Vykáz.-A'!$A:$AB,10,0)),"",VLOOKUP("Specializovaná ambulantní péče",'ZV Vykáz.-A'!$A:$AB,10,0))</f>
        <v>1.2032343814650313</v>
      </c>
      <c r="E19" s="154">
        <f t="shared" si="1"/>
        <v>1.2032343814650313</v>
      </c>
    </row>
    <row r="20" spans="1:5" ht="14.45" customHeight="1" x14ac:dyDescent="0.25">
      <c r="A20" s="252" t="str">
        <f>HYPERLINK("#'ZV Vykáz.-A'!A1","Ambulantní péče ve vyjmenovaných odbornostech (§9)")</f>
        <v>Ambulantní péče ve vyjmenovaných odbornostech (§9)</v>
      </c>
      <c r="B20" s="254" t="s">
        <v>122</v>
      </c>
      <c r="C20" s="158">
        <v>1</v>
      </c>
      <c r="D20" s="245" t="str">
        <f>IF(ISERROR(VLOOKUP("Ambulantní péče ve vyjmenovaných odbornostech (§9) *",'ZV Vykáz.-A'!$A:$AB,10,0)),"",VLOOKUP("Ambulantní péče ve vyjmenovaných odbornostech (§9) *",'ZV Vykáz.-A'!$A:$AB,10,0))</f>
        <v/>
      </c>
      <c r="E20" s="154">
        <f>IF(OR(C20=0,D20=""),0,IF(C20="","",D20/C20))</f>
        <v>0</v>
      </c>
    </row>
    <row r="21" spans="1:5" ht="14.45" customHeight="1" x14ac:dyDescent="0.2">
      <c r="A21" s="175" t="str">
        <f>HYPERLINK("#'ZV Vykáz.-H'!A1","Zdravotní výkony vykázané u hospitalizovaných pacientů (max. 85 %)")</f>
        <v>Zdravotní výkony vykázané u hospitalizovaných pacientů (max. 85 %)</v>
      </c>
      <c r="B21" s="254" t="s">
        <v>124</v>
      </c>
      <c r="C21" s="158">
        <v>0.85</v>
      </c>
      <c r="D21" s="158">
        <f>IF(ISERROR(VLOOKUP("Celkem:",'ZV Vykáz.-H'!$A:$S,7,0)),"",VLOOKUP("Celkem:",'ZV Vykáz.-H'!$A:$S,7,0))</f>
        <v>1.0600571791006244</v>
      </c>
      <c r="E21" s="154">
        <f t="shared" si="1"/>
        <v>1.247126093059558</v>
      </c>
    </row>
    <row r="22" spans="1:5" ht="14.45" customHeight="1" x14ac:dyDescent="0.2">
      <c r="A22" s="176" t="str">
        <f>HYPERLINK("#HI!A1","Hospitalizace (casemix * 30000)")</f>
        <v>Hospitalizace (casemix * 30000)</v>
      </c>
      <c r="B22" s="156"/>
      <c r="C22" s="153">
        <f ca="1">IF(ISERROR(VLOOKUP("Hospitalizace *",INDIRECT("HI!$A:$G"),6,0)),0,VLOOKUP("Hospitalizace *",INDIRECT("HI!$A:$G"),6,0))</f>
        <v>0</v>
      </c>
      <c r="D22" s="153">
        <f ca="1">IF(ISERROR(VLOOKUP("Hospitalizace *",INDIRECT("HI!$A:$G"),5,0)),0,VLOOKUP("Hospitalizace *",INDIRECT("HI!$A:$G"),5,0))</f>
        <v>0</v>
      </c>
      <c r="E22" s="154">
        <f ca="1">IF(C22=0,0,D22/C22)</f>
        <v>0</v>
      </c>
    </row>
    <row r="23" spans="1:5" ht="14.45" customHeight="1" thickBot="1" x14ac:dyDescent="0.25">
      <c r="A23" s="177" t="s">
        <v>143</v>
      </c>
      <c r="B23" s="163"/>
      <c r="C23" s="164"/>
      <c r="D23" s="164"/>
      <c r="E23" s="165"/>
    </row>
    <row r="24" spans="1:5" ht="14.45" customHeight="1" thickBot="1" x14ac:dyDescent="0.25">
      <c r="A24" s="178"/>
      <c r="B24" s="179"/>
      <c r="C24" s="180"/>
      <c r="D24" s="180"/>
      <c r="E24" s="181"/>
    </row>
    <row r="25" spans="1:5" ht="14.45" customHeight="1" thickBot="1" x14ac:dyDescent="0.25">
      <c r="A25" s="182" t="s">
        <v>144</v>
      </c>
      <c r="B25" s="183"/>
      <c r="C25" s="184"/>
      <c r="D25" s="184"/>
      <c r="E25" s="185"/>
    </row>
  </sheetData>
  <mergeCells count="1">
    <mergeCell ref="A1:E1"/>
  </mergeCells>
  <conditionalFormatting sqref="E5">
    <cfRule type="cellIs" dxfId="6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6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6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6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6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10 E18:E19">
    <cfRule type="cellIs" dxfId="5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6D924169-E8B6-4048-89A4-67ADB8E63D87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8" customWidth="1"/>
    <col min="2" max="2" width="8.7109375" style="118" bestFit="1" customWidth="1"/>
    <col min="3" max="3" width="6.140625" style="118" customWidth="1"/>
    <col min="4" max="4" width="27.7109375" style="118" customWidth="1"/>
    <col min="5" max="5" width="2.140625" style="118" bestFit="1" customWidth="1"/>
    <col min="6" max="6" width="8" style="118" customWidth="1"/>
    <col min="7" max="7" width="50.85546875" style="118" bestFit="1" customWidth="1" collapsed="1"/>
    <col min="8" max="9" width="11.140625" style="196" hidden="1" customWidth="1" outlineLevel="1"/>
    <col min="10" max="11" width="9.28515625" style="118" hidden="1" customWidth="1"/>
    <col min="12" max="13" width="11.140625" style="196" customWidth="1"/>
    <col min="14" max="15" width="9.28515625" style="118" hidden="1" customWidth="1"/>
    <col min="16" max="17" width="11.140625" style="196" customWidth="1"/>
    <col min="18" max="18" width="11.140625" style="199" customWidth="1"/>
    <col min="19" max="19" width="11.140625" style="196" customWidth="1"/>
    <col min="20" max="16384" width="8.85546875" style="118"/>
  </cols>
  <sheetData>
    <row r="1" spans="1:19" ht="18.600000000000001" customHeight="1" thickBot="1" x14ac:dyDescent="0.35">
      <c r="A1" s="318" t="s">
        <v>1120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14.45" customHeight="1" thickBot="1" x14ac:dyDescent="0.25">
      <c r="A2" s="221" t="s">
        <v>256</v>
      </c>
      <c r="B2" s="186"/>
      <c r="C2" s="186"/>
      <c r="D2" s="186"/>
      <c r="E2" s="100"/>
      <c r="F2" s="100"/>
      <c r="G2" s="100"/>
      <c r="H2" s="219"/>
      <c r="I2" s="219"/>
      <c r="J2" s="100"/>
      <c r="K2" s="100"/>
      <c r="L2" s="219"/>
      <c r="M2" s="219"/>
      <c r="N2" s="100"/>
      <c r="O2" s="100"/>
      <c r="P2" s="219"/>
      <c r="Q2" s="219"/>
      <c r="R2" s="216"/>
      <c r="S2" s="219"/>
    </row>
    <row r="3" spans="1:19" ht="14.45" customHeight="1" thickBot="1" x14ac:dyDescent="0.25">
      <c r="G3" s="77" t="s">
        <v>127</v>
      </c>
      <c r="H3" s="91">
        <f t="shared" ref="H3:Q3" si="0">SUBTOTAL(9,H6:H1048576)</f>
        <v>26350</v>
      </c>
      <c r="I3" s="92">
        <f t="shared" si="0"/>
        <v>50066915.649999999</v>
      </c>
      <c r="J3" s="66"/>
      <c r="K3" s="66"/>
      <c r="L3" s="92">
        <f t="shared" si="0"/>
        <v>12974</v>
      </c>
      <c r="M3" s="92">
        <f t="shared" si="0"/>
        <v>27201842.130000003</v>
      </c>
      <c r="N3" s="66"/>
      <c r="O3" s="66"/>
      <c r="P3" s="92">
        <f t="shared" si="0"/>
        <v>15248</v>
      </c>
      <c r="Q3" s="92">
        <f t="shared" si="0"/>
        <v>32730191.689999998</v>
      </c>
      <c r="R3" s="67">
        <f>IF(M3=0,0,Q3/M3)</f>
        <v>1.2032343814650319</v>
      </c>
      <c r="S3" s="93">
        <f>IF(P3=0,0,Q3/P3)</f>
        <v>2146.5235893231898</v>
      </c>
    </row>
    <row r="4" spans="1:19" ht="14.45" customHeight="1" x14ac:dyDescent="0.2">
      <c r="A4" s="425" t="s">
        <v>198</v>
      </c>
      <c r="B4" s="425" t="s">
        <v>94</v>
      </c>
      <c r="C4" s="433" t="s">
        <v>0</v>
      </c>
      <c r="D4" s="255" t="s">
        <v>128</v>
      </c>
      <c r="E4" s="427" t="s">
        <v>95</v>
      </c>
      <c r="F4" s="432" t="s">
        <v>70</v>
      </c>
      <c r="G4" s="428" t="s">
        <v>69</v>
      </c>
      <c r="H4" s="429">
        <v>2015</v>
      </c>
      <c r="I4" s="430"/>
      <c r="J4" s="90"/>
      <c r="K4" s="90"/>
      <c r="L4" s="429">
        <v>2018</v>
      </c>
      <c r="M4" s="430"/>
      <c r="N4" s="90"/>
      <c r="O4" s="90"/>
      <c r="P4" s="429">
        <v>2019</v>
      </c>
      <c r="Q4" s="430"/>
      <c r="R4" s="431" t="s">
        <v>2</v>
      </c>
      <c r="S4" s="426" t="s">
        <v>97</v>
      </c>
    </row>
    <row r="5" spans="1:19" ht="14.45" customHeight="1" thickBot="1" x14ac:dyDescent="0.25">
      <c r="A5" s="588"/>
      <c r="B5" s="588"/>
      <c r="C5" s="589"/>
      <c r="D5" s="598"/>
      <c r="E5" s="590"/>
      <c r="F5" s="591"/>
      <c r="G5" s="592"/>
      <c r="H5" s="593" t="s">
        <v>71</v>
      </c>
      <c r="I5" s="594" t="s">
        <v>14</v>
      </c>
      <c r="J5" s="595"/>
      <c r="K5" s="595"/>
      <c r="L5" s="593" t="s">
        <v>71</v>
      </c>
      <c r="M5" s="594" t="s">
        <v>14</v>
      </c>
      <c r="N5" s="595"/>
      <c r="O5" s="595"/>
      <c r="P5" s="593" t="s">
        <v>71</v>
      </c>
      <c r="Q5" s="594" t="s">
        <v>14</v>
      </c>
      <c r="R5" s="596"/>
      <c r="S5" s="597"/>
    </row>
    <row r="6" spans="1:19" ht="14.45" customHeight="1" x14ac:dyDescent="0.2">
      <c r="A6" s="543" t="s">
        <v>1018</v>
      </c>
      <c r="B6" s="544" t="s">
        <v>1019</v>
      </c>
      <c r="C6" s="544" t="s">
        <v>450</v>
      </c>
      <c r="D6" s="544" t="s">
        <v>1016</v>
      </c>
      <c r="E6" s="544" t="s">
        <v>1020</v>
      </c>
      <c r="F6" s="544" t="s">
        <v>1021</v>
      </c>
      <c r="G6" s="544" t="s">
        <v>1022</v>
      </c>
      <c r="H6" s="105">
        <v>1</v>
      </c>
      <c r="I6" s="105">
        <v>37</v>
      </c>
      <c r="J6" s="544"/>
      <c r="K6" s="544">
        <v>37</v>
      </c>
      <c r="L6" s="105"/>
      <c r="M6" s="105"/>
      <c r="N6" s="544"/>
      <c r="O6" s="544"/>
      <c r="P6" s="105"/>
      <c r="Q6" s="105"/>
      <c r="R6" s="549"/>
      <c r="S6" s="559"/>
    </row>
    <row r="7" spans="1:19" ht="14.45" customHeight="1" x14ac:dyDescent="0.2">
      <c r="A7" s="484" t="s">
        <v>1018</v>
      </c>
      <c r="B7" s="485" t="s">
        <v>1023</v>
      </c>
      <c r="C7" s="485" t="s">
        <v>450</v>
      </c>
      <c r="D7" s="485" t="s">
        <v>1012</v>
      </c>
      <c r="E7" s="485" t="s">
        <v>1020</v>
      </c>
      <c r="F7" s="485" t="s">
        <v>1024</v>
      </c>
      <c r="G7" s="485" t="s">
        <v>1025</v>
      </c>
      <c r="H7" s="489">
        <v>71</v>
      </c>
      <c r="I7" s="489">
        <v>4686</v>
      </c>
      <c r="J7" s="485">
        <v>0.9726027397260274</v>
      </c>
      <c r="K7" s="485">
        <v>66</v>
      </c>
      <c r="L7" s="489">
        <v>73</v>
      </c>
      <c r="M7" s="489">
        <v>4818</v>
      </c>
      <c r="N7" s="485">
        <v>1</v>
      </c>
      <c r="O7" s="485">
        <v>66</v>
      </c>
      <c r="P7" s="489">
        <v>124</v>
      </c>
      <c r="Q7" s="489">
        <v>8308</v>
      </c>
      <c r="R7" s="506">
        <v>1.7243669572436695</v>
      </c>
      <c r="S7" s="490">
        <v>67</v>
      </c>
    </row>
    <row r="8" spans="1:19" ht="14.45" customHeight="1" x14ac:dyDescent="0.2">
      <c r="A8" s="484" t="s">
        <v>1018</v>
      </c>
      <c r="B8" s="485" t="s">
        <v>1023</v>
      </c>
      <c r="C8" s="485" t="s">
        <v>450</v>
      </c>
      <c r="D8" s="485" t="s">
        <v>1012</v>
      </c>
      <c r="E8" s="485" t="s">
        <v>1020</v>
      </c>
      <c r="F8" s="485" t="s">
        <v>1021</v>
      </c>
      <c r="G8" s="485" t="s">
        <v>1022</v>
      </c>
      <c r="H8" s="489">
        <v>185</v>
      </c>
      <c r="I8" s="489">
        <v>6845</v>
      </c>
      <c r="J8" s="485">
        <v>1.0511363636363635</v>
      </c>
      <c r="K8" s="485">
        <v>37</v>
      </c>
      <c r="L8" s="489">
        <v>176</v>
      </c>
      <c r="M8" s="489">
        <v>6512</v>
      </c>
      <c r="N8" s="485">
        <v>1</v>
      </c>
      <c r="O8" s="485">
        <v>37</v>
      </c>
      <c r="P8" s="489">
        <v>232</v>
      </c>
      <c r="Q8" s="489">
        <v>8816</v>
      </c>
      <c r="R8" s="506">
        <v>1.3538083538083538</v>
      </c>
      <c r="S8" s="490">
        <v>38</v>
      </c>
    </row>
    <row r="9" spans="1:19" ht="14.45" customHeight="1" x14ac:dyDescent="0.2">
      <c r="A9" s="484" t="s">
        <v>1018</v>
      </c>
      <c r="B9" s="485" t="s">
        <v>1023</v>
      </c>
      <c r="C9" s="485" t="s">
        <v>450</v>
      </c>
      <c r="D9" s="485" t="s">
        <v>1012</v>
      </c>
      <c r="E9" s="485" t="s">
        <v>1020</v>
      </c>
      <c r="F9" s="485" t="s">
        <v>1026</v>
      </c>
      <c r="G9" s="485" t="s">
        <v>1027</v>
      </c>
      <c r="H9" s="489">
        <v>743</v>
      </c>
      <c r="I9" s="489">
        <v>1842640</v>
      </c>
      <c r="J9" s="485">
        <v>1.0306976327918735</v>
      </c>
      <c r="K9" s="485">
        <v>2480</v>
      </c>
      <c r="L9" s="489">
        <v>720</v>
      </c>
      <c r="M9" s="489">
        <v>1787760</v>
      </c>
      <c r="N9" s="485">
        <v>1</v>
      </c>
      <c r="O9" s="485">
        <v>2483</v>
      </c>
      <c r="P9" s="489">
        <v>863</v>
      </c>
      <c r="Q9" s="489">
        <v>2155774</v>
      </c>
      <c r="R9" s="506">
        <v>1.2058520159305499</v>
      </c>
      <c r="S9" s="490">
        <v>2498</v>
      </c>
    </row>
    <row r="10" spans="1:19" ht="14.45" customHeight="1" x14ac:dyDescent="0.2">
      <c r="A10" s="484" t="s">
        <v>1018</v>
      </c>
      <c r="B10" s="485" t="s">
        <v>1023</v>
      </c>
      <c r="C10" s="485" t="s">
        <v>450</v>
      </c>
      <c r="D10" s="485" t="s">
        <v>1012</v>
      </c>
      <c r="E10" s="485" t="s">
        <v>1020</v>
      </c>
      <c r="F10" s="485" t="s">
        <v>1028</v>
      </c>
      <c r="G10" s="485" t="s">
        <v>1029</v>
      </c>
      <c r="H10" s="489">
        <v>22</v>
      </c>
      <c r="I10" s="489">
        <v>7634</v>
      </c>
      <c r="J10" s="485">
        <v>0.15172413793103448</v>
      </c>
      <c r="K10" s="485">
        <v>347</v>
      </c>
      <c r="L10" s="489">
        <v>145</v>
      </c>
      <c r="M10" s="489">
        <v>50315</v>
      </c>
      <c r="N10" s="485">
        <v>1</v>
      </c>
      <c r="O10" s="485">
        <v>347</v>
      </c>
      <c r="P10" s="489">
        <v>165</v>
      </c>
      <c r="Q10" s="489">
        <v>57750</v>
      </c>
      <c r="R10" s="506">
        <v>1.1477690549537911</v>
      </c>
      <c r="S10" s="490">
        <v>350</v>
      </c>
    </row>
    <row r="11" spans="1:19" ht="14.45" customHeight="1" x14ac:dyDescent="0.2">
      <c r="A11" s="484" t="s">
        <v>1018</v>
      </c>
      <c r="B11" s="485" t="s">
        <v>1023</v>
      </c>
      <c r="C11" s="485" t="s">
        <v>450</v>
      </c>
      <c r="D11" s="485" t="s">
        <v>1012</v>
      </c>
      <c r="E11" s="485" t="s">
        <v>1020</v>
      </c>
      <c r="F11" s="485" t="s">
        <v>1030</v>
      </c>
      <c r="G11" s="485" t="s">
        <v>1031</v>
      </c>
      <c r="H11" s="489">
        <v>1379</v>
      </c>
      <c r="I11" s="489">
        <v>484029</v>
      </c>
      <c r="J11" s="485">
        <v>0.98570407433881346</v>
      </c>
      <c r="K11" s="485">
        <v>351</v>
      </c>
      <c r="L11" s="489">
        <v>1399</v>
      </c>
      <c r="M11" s="489">
        <v>491049</v>
      </c>
      <c r="N11" s="485">
        <v>1</v>
      </c>
      <c r="O11" s="485">
        <v>351</v>
      </c>
      <c r="P11" s="489">
        <v>1684</v>
      </c>
      <c r="Q11" s="489">
        <v>596136</v>
      </c>
      <c r="R11" s="506">
        <v>1.2140051196520103</v>
      </c>
      <c r="S11" s="490">
        <v>354</v>
      </c>
    </row>
    <row r="12" spans="1:19" ht="14.45" customHeight="1" x14ac:dyDescent="0.2">
      <c r="A12" s="484" t="s">
        <v>1018</v>
      </c>
      <c r="B12" s="485" t="s">
        <v>1023</v>
      </c>
      <c r="C12" s="485" t="s">
        <v>450</v>
      </c>
      <c r="D12" s="485" t="s">
        <v>1012</v>
      </c>
      <c r="E12" s="485" t="s">
        <v>1020</v>
      </c>
      <c r="F12" s="485" t="s">
        <v>1032</v>
      </c>
      <c r="G12" s="485" t="s">
        <v>1033</v>
      </c>
      <c r="H12" s="489">
        <v>2997</v>
      </c>
      <c r="I12" s="489">
        <v>99899.65000000014</v>
      </c>
      <c r="J12" s="485">
        <v>1.2879259420650453</v>
      </c>
      <c r="K12" s="485">
        <v>33.333216549883261</v>
      </c>
      <c r="L12" s="489">
        <v>2327</v>
      </c>
      <c r="M12" s="489">
        <v>77566.300000000163</v>
      </c>
      <c r="N12" s="485">
        <v>1</v>
      </c>
      <c r="O12" s="485">
        <v>33.333175762784769</v>
      </c>
      <c r="P12" s="489">
        <v>2825</v>
      </c>
      <c r="Q12" s="489">
        <v>94166.330000000118</v>
      </c>
      <c r="R12" s="506">
        <v>1.2140108526512148</v>
      </c>
      <c r="S12" s="490">
        <v>33.333214159292076</v>
      </c>
    </row>
    <row r="13" spans="1:19" ht="14.45" customHeight="1" x14ac:dyDescent="0.2">
      <c r="A13" s="484" t="s">
        <v>1018</v>
      </c>
      <c r="B13" s="485" t="s">
        <v>1023</v>
      </c>
      <c r="C13" s="485" t="s">
        <v>450</v>
      </c>
      <c r="D13" s="485" t="s">
        <v>1012</v>
      </c>
      <c r="E13" s="485" t="s">
        <v>1020</v>
      </c>
      <c r="F13" s="485" t="s">
        <v>1034</v>
      </c>
      <c r="G13" s="485" t="s">
        <v>1035</v>
      </c>
      <c r="H13" s="489">
        <v>1514</v>
      </c>
      <c r="I13" s="489">
        <v>2301280</v>
      </c>
      <c r="J13" s="485">
        <v>0.93333982252072489</v>
      </c>
      <c r="K13" s="485">
        <v>1520</v>
      </c>
      <c r="L13" s="489">
        <v>1620</v>
      </c>
      <c r="M13" s="489">
        <v>2465640</v>
      </c>
      <c r="N13" s="485">
        <v>1</v>
      </c>
      <c r="O13" s="485">
        <v>1522</v>
      </c>
      <c r="P13" s="489">
        <v>1833</v>
      </c>
      <c r="Q13" s="489">
        <v>2802657</v>
      </c>
      <c r="R13" s="506">
        <v>1.1366854041952597</v>
      </c>
      <c r="S13" s="490">
        <v>1529</v>
      </c>
    </row>
    <row r="14" spans="1:19" ht="14.45" customHeight="1" x14ac:dyDescent="0.2">
      <c r="A14" s="484" t="s">
        <v>1018</v>
      </c>
      <c r="B14" s="485" t="s">
        <v>1023</v>
      </c>
      <c r="C14" s="485" t="s">
        <v>450</v>
      </c>
      <c r="D14" s="485" t="s">
        <v>1012</v>
      </c>
      <c r="E14" s="485" t="s">
        <v>1020</v>
      </c>
      <c r="F14" s="485" t="s">
        <v>1036</v>
      </c>
      <c r="G14" s="485" t="s">
        <v>1037</v>
      </c>
      <c r="H14" s="489">
        <v>309</v>
      </c>
      <c r="I14" s="489">
        <v>35844</v>
      </c>
      <c r="J14" s="485">
        <v>1.1035714285714286</v>
      </c>
      <c r="K14" s="485">
        <v>116</v>
      </c>
      <c r="L14" s="489">
        <v>280</v>
      </c>
      <c r="M14" s="489">
        <v>32480</v>
      </c>
      <c r="N14" s="485">
        <v>1</v>
      </c>
      <c r="O14" s="485">
        <v>116</v>
      </c>
      <c r="P14" s="489">
        <v>366</v>
      </c>
      <c r="Q14" s="489">
        <v>42456</v>
      </c>
      <c r="R14" s="506">
        <v>1.3071428571428572</v>
      </c>
      <c r="S14" s="490">
        <v>116</v>
      </c>
    </row>
    <row r="15" spans="1:19" ht="14.45" customHeight="1" x14ac:dyDescent="0.2">
      <c r="A15" s="484" t="s">
        <v>1018</v>
      </c>
      <c r="B15" s="485" t="s">
        <v>1023</v>
      </c>
      <c r="C15" s="485" t="s">
        <v>450</v>
      </c>
      <c r="D15" s="485" t="s">
        <v>1012</v>
      </c>
      <c r="E15" s="485" t="s">
        <v>1020</v>
      </c>
      <c r="F15" s="485" t="s">
        <v>1038</v>
      </c>
      <c r="G15" s="485" t="s">
        <v>1039</v>
      </c>
      <c r="H15" s="489">
        <v>744</v>
      </c>
      <c r="I15" s="489">
        <v>27528</v>
      </c>
      <c r="J15" s="485">
        <v>0.93820933165195464</v>
      </c>
      <c r="K15" s="485">
        <v>37</v>
      </c>
      <c r="L15" s="489">
        <v>793</v>
      </c>
      <c r="M15" s="489">
        <v>29341</v>
      </c>
      <c r="N15" s="485">
        <v>1</v>
      </c>
      <c r="O15" s="485">
        <v>37</v>
      </c>
      <c r="P15" s="489">
        <v>901</v>
      </c>
      <c r="Q15" s="489">
        <v>34238</v>
      </c>
      <c r="R15" s="506">
        <v>1.1668995603421832</v>
      </c>
      <c r="S15" s="490">
        <v>38</v>
      </c>
    </row>
    <row r="16" spans="1:19" ht="14.45" customHeight="1" x14ac:dyDescent="0.2">
      <c r="A16" s="484" t="s">
        <v>1018</v>
      </c>
      <c r="B16" s="485" t="s">
        <v>1023</v>
      </c>
      <c r="C16" s="485" t="s">
        <v>450</v>
      </c>
      <c r="D16" s="485" t="s">
        <v>1012</v>
      </c>
      <c r="E16" s="485" t="s">
        <v>1020</v>
      </c>
      <c r="F16" s="485" t="s">
        <v>1040</v>
      </c>
      <c r="G16" s="485" t="s">
        <v>1041</v>
      </c>
      <c r="H16" s="489">
        <v>11</v>
      </c>
      <c r="I16" s="489">
        <v>814</v>
      </c>
      <c r="J16" s="485">
        <v>0.73333333333333328</v>
      </c>
      <c r="K16" s="485">
        <v>74</v>
      </c>
      <c r="L16" s="489">
        <v>15</v>
      </c>
      <c r="M16" s="489">
        <v>1110</v>
      </c>
      <c r="N16" s="485">
        <v>1</v>
      </c>
      <c r="O16" s="485">
        <v>74</v>
      </c>
      <c r="P16" s="489">
        <v>46</v>
      </c>
      <c r="Q16" s="489">
        <v>3450</v>
      </c>
      <c r="R16" s="506">
        <v>3.1081081081081079</v>
      </c>
      <c r="S16" s="490">
        <v>75</v>
      </c>
    </row>
    <row r="17" spans="1:19" ht="14.45" customHeight="1" x14ac:dyDescent="0.2">
      <c r="A17" s="484" t="s">
        <v>1018</v>
      </c>
      <c r="B17" s="485" t="s">
        <v>1023</v>
      </c>
      <c r="C17" s="485" t="s">
        <v>450</v>
      </c>
      <c r="D17" s="485" t="s">
        <v>1012</v>
      </c>
      <c r="E17" s="485" t="s">
        <v>1020</v>
      </c>
      <c r="F17" s="485" t="s">
        <v>1042</v>
      </c>
      <c r="G17" s="485"/>
      <c r="H17" s="489"/>
      <c r="I17" s="489"/>
      <c r="J17" s="485"/>
      <c r="K17" s="485"/>
      <c r="L17" s="489"/>
      <c r="M17" s="489"/>
      <c r="N17" s="485"/>
      <c r="O17" s="485"/>
      <c r="P17" s="489">
        <v>1</v>
      </c>
      <c r="Q17" s="489">
        <v>4065</v>
      </c>
      <c r="R17" s="506"/>
      <c r="S17" s="490">
        <v>4065</v>
      </c>
    </row>
    <row r="18" spans="1:19" ht="14.45" customHeight="1" x14ac:dyDescent="0.2">
      <c r="A18" s="484" t="s">
        <v>1018</v>
      </c>
      <c r="B18" s="485" t="s">
        <v>1023</v>
      </c>
      <c r="C18" s="485" t="s">
        <v>450</v>
      </c>
      <c r="D18" s="485" t="s">
        <v>1016</v>
      </c>
      <c r="E18" s="485" t="s">
        <v>1020</v>
      </c>
      <c r="F18" s="485" t="s">
        <v>1021</v>
      </c>
      <c r="G18" s="485" t="s">
        <v>1022</v>
      </c>
      <c r="H18" s="489">
        <v>20</v>
      </c>
      <c r="I18" s="489">
        <v>740</v>
      </c>
      <c r="J18" s="485">
        <v>20</v>
      </c>
      <c r="K18" s="485">
        <v>37</v>
      </c>
      <c r="L18" s="489">
        <v>1</v>
      </c>
      <c r="M18" s="489">
        <v>37</v>
      </c>
      <c r="N18" s="485">
        <v>1</v>
      </c>
      <c r="O18" s="485">
        <v>37</v>
      </c>
      <c r="P18" s="489"/>
      <c r="Q18" s="489"/>
      <c r="R18" s="506"/>
      <c r="S18" s="490"/>
    </row>
    <row r="19" spans="1:19" ht="14.45" customHeight="1" x14ac:dyDescent="0.2">
      <c r="A19" s="484" t="s">
        <v>1018</v>
      </c>
      <c r="B19" s="485" t="s">
        <v>1023</v>
      </c>
      <c r="C19" s="485" t="s">
        <v>450</v>
      </c>
      <c r="D19" s="485" t="s">
        <v>1016</v>
      </c>
      <c r="E19" s="485" t="s">
        <v>1020</v>
      </c>
      <c r="F19" s="485" t="s">
        <v>1040</v>
      </c>
      <c r="G19" s="485" t="s">
        <v>1041</v>
      </c>
      <c r="H19" s="489">
        <v>7</v>
      </c>
      <c r="I19" s="489">
        <v>518</v>
      </c>
      <c r="J19" s="485">
        <v>0.875</v>
      </c>
      <c r="K19" s="485">
        <v>74</v>
      </c>
      <c r="L19" s="489">
        <v>8</v>
      </c>
      <c r="M19" s="489">
        <v>592</v>
      </c>
      <c r="N19" s="485">
        <v>1</v>
      </c>
      <c r="O19" s="485">
        <v>74</v>
      </c>
      <c r="P19" s="489"/>
      <c r="Q19" s="489"/>
      <c r="R19" s="506"/>
      <c r="S19" s="490"/>
    </row>
    <row r="20" spans="1:19" ht="14.45" customHeight="1" x14ac:dyDescent="0.2">
      <c r="A20" s="484" t="s">
        <v>1018</v>
      </c>
      <c r="B20" s="485" t="s">
        <v>1023</v>
      </c>
      <c r="C20" s="485" t="s">
        <v>455</v>
      </c>
      <c r="D20" s="485" t="s">
        <v>1012</v>
      </c>
      <c r="E20" s="485" t="s">
        <v>1020</v>
      </c>
      <c r="F20" s="485" t="s">
        <v>1043</v>
      </c>
      <c r="G20" s="485" t="s">
        <v>1044</v>
      </c>
      <c r="H20" s="489"/>
      <c r="I20" s="489"/>
      <c r="J20" s="485"/>
      <c r="K20" s="485"/>
      <c r="L20" s="489"/>
      <c r="M20" s="489"/>
      <c r="N20" s="485"/>
      <c r="O20" s="485"/>
      <c r="P20" s="489">
        <v>3</v>
      </c>
      <c r="Q20" s="489">
        <v>0</v>
      </c>
      <c r="R20" s="506"/>
      <c r="S20" s="490">
        <v>0</v>
      </c>
    </row>
    <row r="21" spans="1:19" ht="14.45" customHeight="1" x14ac:dyDescent="0.2">
      <c r="A21" s="484" t="s">
        <v>1045</v>
      </c>
      <c r="B21" s="485" t="s">
        <v>1046</v>
      </c>
      <c r="C21" s="485" t="s">
        <v>455</v>
      </c>
      <c r="D21" s="485" t="s">
        <v>1012</v>
      </c>
      <c r="E21" s="485" t="s">
        <v>1020</v>
      </c>
      <c r="F21" s="485" t="s">
        <v>1047</v>
      </c>
      <c r="G21" s="485" t="s">
        <v>1048</v>
      </c>
      <c r="H21" s="489">
        <v>58</v>
      </c>
      <c r="I21" s="489">
        <v>648092</v>
      </c>
      <c r="J21" s="485">
        <v>0.68538227903789373</v>
      </c>
      <c r="K21" s="485">
        <v>11174</v>
      </c>
      <c r="L21" s="489">
        <v>76</v>
      </c>
      <c r="M21" s="489">
        <v>945592</v>
      </c>
      <c r="N21" s="485">
        <v>1</v>
      </c>
      <c r="O21" s="485">
        <v>12442</v>
      </c>
      <c r="P21" s="489">
        <v>68</v>
      </c>
      <c r="Q21" s="489">
        <v>850340</v>
      </c>
      <c r="R21" s="506">
        <v>0.8992673372871175</v>
      </c>
      <c r="S21" s="490">
        <v>12505</v>
      </c>
    </row>
    <row r="22" spans="1:19" ht="14.45" customHeight="1" x14ac:dyDescent="0.2">
      <c r="A22" s="484" t="s">
        <v>1045</v>
      </c>
      <c r="B22" s="485" t="s">
        <v>1046</v>
      </c>
      <c r="C22" s="485" t="s">
        <v>455</v>
      </c>
      <c r="D22" s="485" t="s">
        <v>1012</v>
      </c>
      <c r="E22" s="485" t="s">
        <v>1020</v>
      </c>
      <c r="F22" s="485" t="s">
        <v>1049</v>
      </c>
      <c r="G22" s="485" t="s">
        <v>1050</v>
      </c>
      <c r="H22" s="489">
        <v>879</v>
      </c>
      <c r="I22" s="489">
        <v>276885</v>
      </c>
      <c r="J22" s="485">
        <v>0.54313008169950672</v>
      </c>
      <c r="K22" s="485">
        <v>315</v>
      </c>
      <c r="L22" s="489">
        <v>1705</v>
      </c>
      <c r="M22" s="489">
        <v>509795</v>
      </c>
      <c r="N22" s="485">
        <v>1</v>
      </c>
      <c r="O22" s="485">
        <v>299</v>
      </c>
      <c r="P22" s="489">
        <v>1835</v>
      </c>
      <c r="Q22" s="489">
        <v>554170</v>
      </c>
      <c r="R22" s="506">
        <v>1.0870447925146383</v>
      </c>
      <c r="S22" s="490">
        <v>302</v>
      </c>
    </row>
    <row r="23" spans="1:19" ht="14.45" customHeight="1" x14ac:dyDescent="0.2">
      <c r="A23" s="484" t="s">
        <v>1045</v>
      </c>
      <c r="B23" s="485" t="s">
        <v>1046</v>
      </c>
      <c r="C23" s="485" t="s">
        <v>455</v>
      </c>
      <c r="D23" s="485" t="s">
        <v>1012</v>
      </c>
      <c r="E23" s="485" t="s">
        <v>1020</v>
      </c>
      <c r="F23" s="485" t="s">
        <v>1051</v>
      </c>
      <c r="G23" s="485"/>
      <c r="H23" s="489">
        <v>1262</v>
      </c>
      <c r="I23" s="489">
        <v>1621670</v>
      </c>
      <c r="J23" s="485"/>
      <c r="K23" s="485">
        <v>1285</v>
      </c>
      <c r="L23" s="489"/>
      <c r="M23" s="489"/>
      <c r="N23" s="485"/>
      <c r="O23" s="485"/>
      <c r="P23" s="489"/>
      <c r="Q23" s="489"/>
      <c r="R23" s="506"/>
      <c r="S23" s="490"/>
    </row>
    <row r="24" spans="1:19" ht="14.45" customHeight="1" x14ac:dyDescent="0.2">
      <c r="A24" s="484" t="s">
        <v>1045</v>
      </c>
      <c r="B24" s="485" t="s">
        <v>1046</v>
      </c>
      <c r="C24" s="485" t="s">
        <v>455</v>
      </c>
      <c r="D24" s="485" t="s">
        <v>1012</v>
      </c>
      <c r="E24" s="485" t="s">
        <v>1020</v>
      </c>
      <c r="F24" s="485" t="s">
        <v>1052</v>
      </c>
      <c r="G24" s="485" t="s">
        <v>1053</v>
      </c>
      <c r="H24" s="489">
        <v>53</v>
      </c>
      <c r="I24" s="489">
        <v>517386</v>
      </c>
      <c r="J24" s="485">
        <v>0.88268230766081157</v>
      </c>
      <c r="K24" s="485">
        <v>9762</v>
      </c>
      <c r="L24" s="489">
        <v>56</v>
      </c>
      <c r="M24" s="489">
        <v>586152</v>
      </c>
      <c r="N24" s="485">
        <v>1</v>
      </c>
      <c r="O24" s="485">
        <v>10467</v>
      </c>
      <c r="P24" s="489">
        <v>51</v>
      </c>
      <c r="Q24" s="489">
        <v>535500</v>
      </c>
      <c r="R24" s="506">
        <v>0.91358555460017199</v>
      </c>
      <c r="S24" s="490">
        <v>10500</v>
      </c>
    </row>
    <row r="25" spans="1:19" ht="14.45" customHeight="1" x14ac:dyDescent="0.2">
      <c r="A25" s="484" t="s">
        <v>1045</v>
      </c>
      <c r="B25" s="485" t="s">
        <v>1046</v>
      </c>
      <c r="C25" s="485" t="s">
        <v>455</v>
      </c>
      <c r="D25" s="485" t="s">
        <v>1012</v>
      </c>
      <c r="E25" s="485" t="s">
        <v>1020</v>
      </c>
      <c r="F25" s="485" t="s">
        <v>1054</v>
      </c>
      <c r="G25" s="485"/>
      <c r="H25" s="489">
        <v>1116</v>
      </c>
      <c r="I25" s="489">
        <v>1129392</v>
      </c>
      <c r="J25" s="485"/>
      <c r="K25" s="485">
        <v>1012</v>
      </c>
      <c r="L25" s="489"/>
      <c r="M25" s="489"/>
      <c r="N25" s="485"/>
      <c r="O25" s="485"/>
      <c r="P25" s="489"/>
      <c r="Q25" s="489"/>
      <c r="R25" s="506"/>
      <c r="S25" s="490"/>
    </row>
    <row r="26" spans="1:19" ht="14.45" customHeight="1" x14ac:dyDescent="0.2">
      <c r="A26" s="484" t="s">
        <v>1045</v>
      </c>
      <c r="B26" s="485" t="s">
        <v>1046</v>
      </c>
      <c r="C26" s="485" t="s">
        <v>455</v>
      </c>
      <c r="D26" s="485" t="s">
        <v>1012</v>
      </c>
      <c r="E26" s="485" t="s">
        <v>1020</v>
      </c>
      <c r="F26" s="485" t="s">
        <v>1055</v>
      </c>
      <c r="G26" s="485"/>
      <c r="H26" s="489">
        <v>14138</v>
      </c>
      <c r="I26" s="489">
        <v>32474986</v>
      </c>
      <c r="J26" s="485"/>
      <c r="K26" s="485">
        <v>2297</v>
      </c>
      <c r="L26" s="489"/>
      <c r="M26" s="489"/>
      <c r="N26" s="485"/>
      <c r="O26" s="485"/>
      <c r="P26" s="489"/>
      <c r="Q26" s="489"/>
      <c r="R26" s="506"/>
      <c r="S26" s="490"/>
    </row>
    <row r="27" spans="1:19" ht="14.45" customHeight="1" x14ac:dyDescent="0.2">
      <c r="A27" s="484" t="s">
        <v>1045</v>
      </c>
      <c r="B27" s="485" t="s">
        <v>1046</v>
      </c>
      <c r="C27" s="485" t="s">
        <v>455</v>
      </c>
      <c r="D27" s="485" t="s">
        <v>1012</v>
      </c>
      <c r="E27" s="485" t="s">
        <v>1020</v>
      </c>
      <c r="F27" s="485" t="s">
        <v>1056</v>
      </c>
      <c r="G27" s="485" t="s">
        <v>1057</v>
      </c>
      <c r="H27" s="489">
        <v>1</v>
      </c>
      <c r="I27" s="489">
        <v>374</v>
      </c>
      <c r="J27" s="485"/>
      <c r="K27" s="485">
        <v>374</v>
      </c>
      <c r="L27" s="489"/>
      <c r="M27" s="489"/>
      <c r="N27" s="485"/>
      <c r="O27" s="485"/>
      <c r="P27" s="489"/>
      <c r="Q27" s="489"/>
      <c r="R27" s="506"/>
      <c r="S27" s="490"/>
    </row>
    <row r="28" spans="1:19" ht="14.45" customHeight="1" x14ac:dyDescent="0.2">
      <c r="A28" s="484" t="s">
        <v>1045</v>
      </c>
      <c r="B28" s="485" t="s">
        <v>1046</v>
      </c>
      <c r="C28" s="485" t="s">
        <v>455</v>
      </c>
      <c r="D28" s="485" t="s">
        <v>1012</v>
      </c>
      <c r="E28" s="485" t="s">
        <v>1020</v>
      </c>
      <c r="F28" s="485" t="s">
        <v>1058</v>
      </c>
      <c r="G28" s="485" t="s">
        <v>1059</v>
      </c>
      <c r="H28" s="489">
        <v>60</v>
      </c>
      <c r="I28" s="489">
        <v>31680</v>
      </c>
      <c r="J28" s="485">
        <v>0.61538461538461542</v>
      </c>
      <c r="K28" s="485">
        <v>528</v>
      </c>
      <c r="L28" s="489">
        <v>78</v>
      </c>
      <c r="M28" s="489">
        <v>51480</v>
      </c>
      <c r="N28" s="485">
        <v>1</v>
      </c>
      <c r="O28" s="485">
        <v>660</v>
      </c>
      <c r="P28" s="489">
        <v>69</v>
      </c>
      <c r="Q28" s="489">
        <v>45954</v>
      </c>
      <c r="R28" s="506">
        <v>0.89265734265734265</v>
      </c>
      <c r="S28" s="490">
        <v>666</v>
      </c>
    </row>
    <row r="29" spans="1:19" ht="14.45" customHeight="1" x14ac:dyDescent="0.2">
      <c r="A29" s="484" t="s">
        <v>1045</v>
      </c>
      <c r="B29" s="485" t="s">
        <v>1046</v>
      </c>
      <c r="C29" s="485" t="s">
        <v>455</v>
      </c>
      <c r="D29" s="485" t="s">
        <v>1012</v>
      </c>
      <c r="E29" s="485" t="s">
        <v>1020</v>
      </c>
      <c r="F29" s="485" t="s">
        <v>1060</v>
      </c>
      <c r="G29" s="485" t="s">
        <v>1061</v>
      </c>
      <c r="H29" s="489">
        <v>121</v>
      </c>
      <c r="I29" s="489">
        <v>113377</v>
      </c>
      <c r="J29" s="485">
        <v>0.84182506682506686</v>
      </c>
      <c r="K29" s="485">
        <v>937</v>
      </c>
      <c r="L29" s="489">
        <v>140</v>
      </c>
      <c r="M29" s="489">
        <v>134680</v>
      </c>
      <c r="N29" s="485">
        <v>1</v>
      </c>
      <c r="O29" s="485">
        <v>962</v>
      </c>
      <c r="P29" s="489">
        <v>123</v>
      </c>
      <c r="Q29" s="489">
        <v>119187</v>
      </c>
      <c r="R29" s="506">
        <v>0.88496435996435996</v>
      </c>
      <c r="S29" s="490">
        <v>969</v>
      </c>
    </row>
    <row r="30" spans="1:19" ht="14.45" customHeight="1" x14ac:dyDescent="0.2">
      <c r="A30" s="484" t="s">
        <v>1045</v>
      </c>
      <c r="B30" s="485" t="s">
        <v>1046</v>
      </c>
      <c r="C30" s="485" t="s">
        <v>455</v>
      </c>
      <c r="D30" s="485" t="s">
        <v>1012</v>
      </c>
      <c r="E30" s="485" t="s">
        <v>1020</v>
      </c>
      <c r="F30" s="485" t="s">
        <v>1062</v>
      </c>
      <c r="G30" s="485" t="s">
        <v>1063</v>
      </c>
      <c r="H30" s="489">
        <v>367</v>
      </c>
      <c r="I30" s="489">
        <v>2545512</v>
      </c>
      <c r="J30" s="485">
        <v>0.92130756652167589</v>
      </c>
      <c r="K30" s="485">
        <v>6936</v>
      </c>
      <c r="L30" s="489">
        <v>366</v>
      </c>
      <c r="M30" s="489">
        <v>2762934</v>
      </c>
      <c r="N30" s="485">
        <v>1</v>
      </c>
      <c r="O30" s="485">
        <v>7549</v>
      </c>
      <c r="P30" s="489">
        <v>406</v>
      </c>
      <c r="Q30" s="489">
        <v>3083164</v>
      </c>
      <c r="R30" s="506">
        <v>1.1159021532906686</v>
      </c>
      <c r="S30" s="490">
        <v>7594</v>
      </c>
    </row>
    <row r="31" spans="1:19" ht="14.45" customHeight="1" x14ac:dyDescent="0.2">
      <c r="A31" s="484" t="s">
        <v>1045</v>
      </c>
      <c r="B31" s="485" t="s">
        <v>1046</v>
      </c>
      <c r="C31" s="485" t="s">
        <v>455</v>
      </c>
      <c r="D31" s="485" t="s">
        <v>1012</v>
      </c>
      <c r="E31" s="485" t="s">
        <v>1020</v>
      </c>
      <c r="F31" s="485" t="s">
        <v>1064</v>
      </c>
      <c r="G31" s="485" t="s">
        <v>1065</v>
      </c>
      <c r="H31" s="489">
        <v>13</v>
      </c>
      <c r="I31" s="489">
        <v>46306</v>
      </c>
      <c r="J31" s="485">
        <v>0.25095382614350747</v>
      </c>
      <c r="K31" s="485">
        <v>3562</v>
      </c>
      <c r="L31" s="489">
        <v>35</v>
      </c>
      <c r="M31" s="489">
        <v>184520</v>
      </c>
      <c r="N31" s="485">
        <v>1</v>
      </c>
      <c r="O31" s="485">
        <v>5272</v>
      </c>
      <c r="P31" s="489">
        <v>17</v>
      </c>
      <c r="Q31" s="489">
        <v>90100</v>
      </c>
      <c r="R31" s="506">
        <v>0.48829395187513547</v>
      </c>
      <c r="S31" s="490">
        <v>5300</v>
      </c>
    </row>
    <row r="32" spans="1:19" ht="14.45" customHeight="1" x14ac:dyDescent="0.2">
      <c r="A32" s="484" t="s">
        <v>1045</v>
      </c>
      <c r="B32" s="485" t="s">
        <v>1046</v>
      </c>
      <c r="C32" s="485" t="s">
        <v>455</v>
      </c>
      <c r="D32" s="485" t="s">
        <v>1012</v>
      </c>
      <c r="E32" s="485" t="s">
        <v>1020</v>
      </c>
      <c r="F32" s="485" t="s">
        <v>1066</v>
      </c>
      <c r="G32" s="485" t="s">
        <v>1067</v>
      </c>
      <c r="H32" s="489">
        <v>62</v>
      </c>
      <c r="I32" s="489">
        <v>554528</v>
      </c>
      <c r="J32" s="485">
        <v>0.81064234131508928</v>
      </c>
      <c r="K32" s="485">
        <v>8944</v>
      </c>
      <c r="L32" s="489">
        <v>65</v>
      </c>
      <c r="M32" s="489">
        <v>684060</v>
      </c>
      <c r="N32" s="485">
        <v>1</v>
      </c>
      <c r="O32" s="485">
        <v>10524</v>
      </c>
      <c r="P32" s="489">
        <v>53</v>
      </c>
      <c r="Q32" s="489">
        <v>560475</v>
      </c>
      <c r="R32" s="506">
        <v>0.81933602315586351</v>
      </c>
      <c r="S32" s="490">
        <v>10575</v>
      </c>
    </row>
    <row r="33" spans="1:19" ht="14.45" customHeight="1" x14ac:dyDescent="0.2">
      <c r="A33" s="484" t="s">
        <v>1045</v>
      </c>
      <c r="B33" s="485" t="s">
        <v>1046</v>
      </c>
      <c r="C33" s="485" t="s">
        <v>455</v>
      </c>
      <c r="D33" s="485" t="s">
        <v>1012</v>
      </c>
      <c r="E33" s="485" t="s">
        <v>1020</v>
      </c>
      <c r="F33" s="485" t="s">
        <v>1068</v>
      </c>
      <c r="G33" s="485" t="s">
        <v>1069</v>
      </c>
      <c r="H33" s="489">
        <v>5</v>
      </c>
      <c r="I33" s="489">
        <v>54685</v>
      </c>
      <c r="J33" s="485">
        <v>1.0987984246905642</v>
      </c>
      <c r="K33" s="485">
        <v>10937</v>
      </c>
      <c r="L33" s="489">
        <v>4</v>
      </c>
      <c r="M33" s="489">
        <v>49768</v>
      </c>
      <c r="N33" s="485">
        <v>1</v>
      </c>
      <c r="O33" s="485">
        <v>12442</v>
      </c>
      <c r="P33" s="489">
        <v>7</v>
      </c>
      <c r="Q33" s="489">
        <v>87535</v>
      </c>
      <c r="R33" s="506">
        <v>1.7588611155762739</v>
      </c>
      <c r="S33" s="490">
        <v>12505</v>
      </c>
    </row>
    <row r="34" spans="1:19" ht="14.45" customHeight="1" x14ac:dyDescent="0.2">
      <c r="A34" s="484" t="s">
        <v>1045</v>
      </c>
      <c r="B34" s="485" t="s">
        <v>1046</v>
      </c>
      <c r="C34" s="485" t="s">
        <v>455</v>
      </c>
      <c r="D34" s="485" t="s">
        <v>1012</v>
      </c>
      <c r="E34" s="485" t="s">
        <v>1020</v>
      </c>
      <c r="F34" s="485" t="s">
        <v>1070</v>
      </c>
      <c r="G34" s="485" t="s">
        <v>1071</v>
      </c>
      <c r="H34" s="489">
        <v>2</v>
      </c>
      <c r="I34" s="489">
        <v>2208</v>
      </c>
      <c r="J34" s="485">
        <v>0.66068222621184924</v>
      </c>
      <c r="K34" s="485">
        <v>1104</v>
      </c>
      <c r="L34" s="489">
        <v>3</v>
      </c>
      <c r="M34" s="489">
        <v>3342</v>
      </c>
      <c r="N34" s="485">
        <v>1</v>
      </c>
      <c r="O34" s="485">
        <v>1114</v>
      </c>
      <c r="P34" s="489">
        <v>7</v>
      </c>
      <c r="Q34" s="489">
        <v>7861</v>
      </c>
      <c r="R34" s="506">
        <v>2.3521843207660083</v>
      </c>
      <c r="S34" s="490">
        <v>1123</v>
      </c>
    </row>
    <row r="35" spans="1:19" ht="14.45" customHeight="1" x14ac:dyDescent="0.2">
      <c r="A35" s="484" t="s">
        <v>1045</v>
      </c>
      <c r="B35" s="485" t="s">
        <v>1046</v>
      </c>
      <c r="C35" s="485" t="s">
        <v>455</v>
      </c>
      <c r="D35" s="485" t="s">
        <v>1012</v>
      </c>
      <c r="E35" s="485" t="s">
        <v>1020</v>
      </c>
      <c r="F35" s="485" t="s">
        <v>1072</v>
      </c>
      <c r="G35" s="485" t="s">
        <v>1073</v>
      </c>
      <c r="H35" s="489">
        <v>4</v>
      </c>
      <c r="I35" s="489">
        <v>2412</v>
      </c>
      <c r="J35" s="485">
        <v>0.96634615384615385</v>
      </c>
      <c r="K35" s="485">
        <v>603</v>
      </c>
      <c r="L35" s="489">
        <v>4</v>
      </c>
      <c r="M35" s="489">
        <v>2496</v>
      </c>
      <c r="N35" s="485">
        <v>1</v>
      </c>
      <c r="O35" s="485">
        <v>624</v>
      </c>
      <c r="P35" s="489"/>
      <c r="Q35" s="489"/>
      <c r="R35" s="506"/>
      <c r="S35" s="490"/>
    </row>
    <row r="36" spans="1:19" ht="14.45" customHeight="1" x14ac:dyDescent="0.2">
      <c r="A36" s="484" t="s">
        <v>1045</v>
      </c>
      <c r="B36" s="485" t="s">
        <v>1046</v>
      </c>
      <c r="C36" s="485" t="s">
        <v>455</v>
      </c>
      <c r="D36" s="485" t="s">
        <v>1012</v>
      </c>
      <c r="E36" s="485" t="s">
        <v>1020</v>
      </c>
      <c r="F36" s="485" t="s">
        <v>1074</v>
      </c>
      <c r="G36" s="485"/>
      <c r="H36" s="489">
        <v>91</v>
      </c>
      <c r="I36" s="489">
        <v>0</v>
      </c>
      <c r="J36" s="485"/>
      <c r="K36" s="485">
        <v>0</v>
      </c>
      <c r="L36" s="489"/>
      <c r="M36" s="489"/>
      <c r="N36" s="485"/>
      <c r="O36" s="485"/>
      <c r="P36" s="489"/>
      <c r="Q36" s="489"/>
      <c r="R36" s="506"/>
      <c r="S36" s="490"/>
    </row>
    <row r="37" spans="1:19" ht="14.45" customHeight="1" x14ac:dyDescent="0.2">
      <c r="A37" s="484" t="s">
        <v>1045</v>
      </c>
      <c r="B37" s="485" t="s">
        <v>1046</v>
      </c>
      <c r="C37" s="485" t="s">
        <v>455</v>
      </c>
      <c r="D37" s="485" t="s">
        <v>1012</v>
      </c>
      <c r="E37" s="485" t="s">
        <v>1020</v>
      </c>
      <c r="F37" s="485" t="s">
        <v>1075</v>
      </c>
      <c r="G37" s="485"/>
      <c r="H37" s="489">
        <v>79</v>
      </c>
      <c r="I37" s="489">
        <v>4750428</v>
      </c>
      <c r="J37" s="485"/>
      <c r="K37" s="485">
        <v>60132</v>
      </c>
      <c r="L37" s="489"/>
      <c r="M37" s="489"/>
      <c r="N37" s="485"/>
      <c r="O37" s="485"/>
      <c r="P37" s="489"/>
      <c r="Q37" s="489"/>
      <c r="R37" s="506"/>
      <c r="S37" s="490"/>
    </row>
    <row r="38" spans="1:19" ht="14.45" customHeight="1" x14ac:dyDescent="0.2">
      <c r="A38" s="484" t="s">
        <v>1045</v>
      </c>
      <c r="B38" s="485" t="s">
        <v>1046</v>
      </c>
      <c r="C38" s="485" t="s">
        <v>455</v>
      </c>
      <c r="D38" s="485" t="s">
        <v>1012</v>
      </c>
      <c r="E38" s="485" t="s">
        <v>1020</v>
      </c>
      <c r="F38" s="485" t="s">
        <v>1076</v>
      </c>
      <c r="G38" s="485"/>
      <c r="H38" s="489">
        <v>11</v>
      </c>
      <c r="I38" s="489">
        <v>0</v>
      </c>
      <c r="J38" s="485"/>
      <c r="K38" s="485">
        <v>0</v>
      </c>
      <c r="L38" s="489"/>
      <c r="M38" s="489"/>
      <c r="N38" s="485"/>
      <c r="O38" s="485"/>
      <c r="P38" s="489"/>
      <c r="Q38" s="489"/>
      <c r="R38" s="506"/>
      <c r="S38" s="490"/>
    </row>
    <row r="39" spans="1:19" ht="14.45" customHeight="1" x14ac:dyDescent="0.2">
      <c r="A39" s="484" t="s">
        <v>1045</v>
      </c>
      <c r="B39" s="485" t="s">
        <v>1046</v>
      </c>
      <c r="C39" s="485" t="s">
        <v>455</v>
      </c>
      <c r="D39" s="485" t="s">
        <v>1012</v>
      </c>
      <c r="E39" s="485" t="s">
        <v>1020</v>
      </c>
      <c r="F39" s="485" t="s">
        <v>1077</v>
      </c>
      <c r="G39" s="485"/>
      <c r="H39" s="489">
        <v>25</v>
      </c>
      <c r="I39" s="489">
        <v>484500</v>
      </c>
      <c r="J39" s="485"/>
      <c r="K39" s="485">
        <v>19380</v>
      </c>
      <c r="L39" s="489"/>
      <c r="M39" s="489"/>
      <c r="N39" s="485"/>
      <c r="O39" s="485"/>
      <c r="P39" s="489"/>
      <c r="Q39" s="489"/>
      <c r="R39" s="506"/>
      <c r="S39" s="490"/>
    </row>
    <row r="40" spans="1:19" ht="14.45" customHeight="1" x14ac:dyDescent="0.2">
      <c r="A40" s="484" t="s">
        <v>1045</v>
      </c>
      <c r="B40" s="485" t="s">
        <v>1046</v>
      </c>
      <c r="C40" s="485" t="s">
        <v>455</v>
      </c>
      <c r="D40" s="485" t="s">
        <v>1012</v>
      </c>
      <c r="E40" s="485" t="s">
        <v>1020</v>
      </c>
      <c r="F40" s="485" t="s">
        <v>1078</v>
      </c>
      <c r="G40" s="485" t="s">
        <v>1079</v>
      </c>
      <c r="H40" s="489"/>
      <c r="I40" s="489"/>
      <c r="J40" s="485"/>
      <c r="K40" s="485"/>
      <c r="L40" s="489">
        <v>161</v>
      </c>
      <c r="M40" s="489">
        <v>98049</v>
      </c>
      <c r="N40" s="485">
        <v>1</v>
      </c>
      <c r="O40" s="485">
        <v>609</v>
      </c>
      <c r="P40" s="489">
        <v>174</v>
      </c>
      <c r="Q40" s="489">
        <v>106488</v>
      </c>
      <c r="R40" s="506">
        <v>1.0860692102928127</v>
      </c>
      <c r="S40" s="490">
        <v>612</v>
      </c>
    </row>
    <row r="41" spans="1:19" ht="14.45" customHeight="1" x14ac:dyDescent="0.2">
      <c r="A41" s="484" t="s">
        <v>1045</v>
      </c>
      <c r="B41" s="485" t="s">
        <v>1046</v>
      </c>
      <c r="C41" s="485" t="s">
        <v>455</v>
      </c>
      <c r="D41" s="485" t="s">
        <v>1012</v>
      </c>
      <c r="E41" s="485" t="s">
        <v>1020</v>
      </c>
      <c r="F41" s="485" t="s">
        <v>1080</v>
      </c>
      <c r="G41" s="485" t="s">
        <v>1081</v>
      </c>
      <c r="H41" s="489"/>
      <c r="I41" s="489"/>
      <c r="J41" s="485"/>
      <c r="K41" s="485"/>
      <c r="L41" s="489">
        <v>110</v>
      </c>
      <c r="M41" s="489">
        <v>492800</v>
      </c>
      <c r="N41" s="485">
        <v>1</v>
      </c>
      <c r="O41" s="485">
        <v>4480</v>
      </c>
      <c r="P41" s="489">
        <v>130</v>
      </c>
      <c r="Q41" s="489">
        <v>583310</v>
      </c>
      <c r="R41" s="506">
        <v>1.1836647727272727</v>
      </c>
      <c r="S41" s="490">
        <v>4487</v>
      </c>
    </row>
    <row r="42" spans="1:19" ht="14.45" customHeight="1" x14ac:dyDescent="0.2">
      <c r="A42" s="484" t="s">
        <v>1045</v>
      </c>
      <c r="B42" s="485" t="s">
        <v>1046</v>
      </c>
      <c r="C42" s="485" t="s">
        <v>455</v>
      </c>
      <c r="D42" s="485" t="s">
        <v>1012</v>
      </c>
      <c r="E42" s="485" t="s">
        <v>1020</v>
      </c>
      <c r="F42" s="485" t="s">
        <v>1082</v>
      </c>
      <c r="G42" s="485" t="s">
        <v>1083</v>
      </c>
      <c r="H42" s="489"/>
      <c r="I42" s="489"/>
      <c r="J42" s="485"/>
      <c r="K42" s="485"/>
      <c r="L42" s="489">
        <v>783</v>
      </c>
      <c r="M42" s="489">
        <v>866781</v>
      </c>
      <c r="N42" s="485">
        <v>1</v>
      </c>
      <c r="O42" s="485">
        <v>1107</v>
      </c>
      <c r="P42" s="489">
        <v>994</v>
      </c>
      <c r="Q42" s="489">
        <v>1103340</v>
      </c>
      <c r="R42" s="506">
        <v>1.2729166882984284</v>
      </c>
      <c r="S42" s="490">
        <v>1110</v>
      </c>
    </row>
    <row r="43" spans="1:19" ht="14.45" customHeight="1" x14ac:dyDescent="0.2">
      <c r="A43" s="484" t="s">
        <v>1045</v>
      </c>
      <c r="B43" s="485" t="s">
        <v>1046</v>
      </c>
      <c r="C43" s="485" t="s">
        <v>455</v>
      </c>
      <c r="D43" s="485" t="s">
        <v>1012</v>
      </c>
      <c r="E43" s="485" t="s">
        <v>1020</v>
      </c>
      <c r="F43" s="485" t="s">
        <v>1084</v>
      </c>
      <c r="G43" s="485" t="s">
        <v>1085</v>
      </c>
      <c r="H43" s="489"/>
      <c r="I43" s="489"/>
      <c r="J43" s="485"/>
      <c r="K43" s="485"/>
      <c r="L43" s="489">
        <v>414</v>
      </c>
      <c r="M43" s="489">
        <v>3076020</v>
      </c>
      <c r="N43" s="485">
        <v>1</v>
      </c>
      <c r="O43" s="485">
        <v>7430</v>
      </c>
      <c r="P43" s="489">
        <v>400</v>
      </c>
      <c r="Q43" s="489">
        <v>2978800</v>
      </c>
      <c r="R43" s="506">
        <v>0.96839422370465733</v>
      </c>
      <c r="S43" s="490">
        <v>7447</v>
      </c>
    </row>
    <row r="44" spans="1:19" ht="14.45" customHeight="1" x14ac:dyDescent="0.2">
      <c r="A44" s="484" t="s">
        <v>1045</v>
      </c>
      <c r="B44" s="485" t="s">
        <v>1046</v>
      </c>
      <c r="C44" s="485" t="s">
        <v>455</v>
      </c>
      <c r="D44" s="485" t="s">
        <v>1012</v>
      </c>
      <c r="E44" s="485" t="s">
        <v>1020</v>
      </c>
      <c r="F44" s="485" t="s">
        <v>1086</v>
      </c>
      <c r="G44" s="485" t="s">
        <v>1087</v>
      </c>
      <c r="H44" s="489"/>
      <c r="I44" s="489"/>
      <c r="J44" s="485"/>
      <c r="K44" s="485"/>
      <c r="L44" s="489">
        <v>620</v>
      </c>
      <c r="M44" s="489">
        <v>2377700</v>
      </c>
      <c r="N44" s="485">
        <v>1</v>
      </c>
      <c r="O44" s="485">
        <v>3835</v>
      </c>
      <c r="P44" s="489">
        <v>104</v>
      </c>
      <c r="Q44" s="489">
        <v>399256</v>
      </c>
      <c r="R44" s="506">
        <v>0.16791689447785677</v>
      </c>
      <c r="S44" s="490">
        <v>3839</v>
      </c>
    </row>
    <row r="45" spans="1:19" ht="14.45" customHeight="1" x14ac:dyDescent="0.2">
      <c r="A45" s="484" t="s">
        <v>1045</v>
      </c>
      <c r="B45" s="485" t="s">
        <v>1046</v>
      </c>
      <c r="C45" s="485" t="s">
        <v>455</v>
      </c>
      <c r="D45" s="485" t="s">
        <v>1012</v>
      </c>
      <c r="E45" s="485" t="s">
        <v>1020</v>
      </c>
      <c r="F45" s="485" t="s">
        <v>1088</v>
      </c>
      <c r="G45" s="485" t="s">
        <v>1089</v>
      </c>
      <c r="H45" s="489"/>
      <c r="I45" s="489"/>
      <c r="J45" s="485"/>
      <c r="K45" s="485"/>
      <c r="L45" s="489">
        <v>72</v>
      </c>
      <c r="M45" s="489">
        <v>172440</v>
      </c>
      <c r="N45" s="485">
        <v>1</v>
      </c>
      <c r="O45" s="485">
        <v>2395</v>
      </c>
      <c r="P45" s="489">
        <v>582</v>
      </c>
      <c r="Q45" s="489">
        <v>1396218</v>
      </c>
      <c r="R45" s="506">
        <v>8.0968336812804456</v>
      </c>
      <c r="S45" s="490">
        <v>2399</v>
      </c>
    </row>
    <row r="46" spans="1:19" ht="14.45" customHeight="1" x14ac:dyDescent="0.2">
      <c r="A46" s="484" t="s">
        <v>1045</v>
      </c>
      <c r="B46" s="485" t="s">
        <v>1046</v>
      </c>
      <c r="C46" s="485" t="s">
        <v>455</v>
      </c>
      <c r="D46" s="485" t="s">
        <v>1012</v>
      </c>
      <c r="E46" s="485" t="s">
        <v>1020</v>
      </c>
      <c r="F46" s="485" t="s">
        <v>1090</v>
      </c>
      <c r="G46" s="485" t="s">
        <v>1091</v>
      </c>
      <c r="H46" s="489"/>
      <c r="I46" s="489"/>
      <c r="J46" s="485"/>
      <c r="K46" s="485"/>
      <c r="L46" s="489">
        <v>23</v>
      </c>
      <c r="M46" s="489">
        <v>816477</v>
      </c>
      <c r="N46" s="485">
        <v>1</v>
      </c>
      <c r="O46" s="485">
        <v>35499</v>
      </c>
      <c r="P46" s="489">
        <v>8</v>
      </c>
      <c r="Q46" s="489">
        <v>284352</v>
      </c>
      <c r="R46" s="506">
        <v>0.34826700568417729</v>
      </c>
      <c r="S46" s="490">
        <v>35544</v>
      </c>
    </row>
    <row r="47" spans="1:19" ht="14.45" customHeight="1" x14ac:dyDescent="0.2">
      <c r="A47" s="484" t="s">
        <v>1045</v>
      </c>
      <c r="B47" s="485" t="s">
        <v>1046</v>
      </c>
      <c r="C47" s="485" t="s">
        <v>455</v>
      </c>
      <c r="D47" s="485" t="s">
        <v>1012</v>
      </c>
      <c r="E47" s="485" t="s">
        <v>1020</v>
      </c>
      <c r="F47" s="485" t="s">
        <v>1092</v>
      </c>
      <c r="G47" s="485" t="s">
        <v>1093</v>
      </c>
      <c r="H47" s="489"/>
      <c r="I47" s="489"/>
      <c r="J47" s="485"/>
      <c r="K47" s="485"/>
      <c r="L47" s="489">
        <v>13</v>
      </c>
      <c r="M47" s="489">
        <v>114478</v>
      </c>
      <c r="N47" s="485">
        <v>1</v>
      </c>
      <c r="O47" s="485">
        <v>8806</v>
      </c>
      <c r="P47" s="489">
        <v>7</v>
      </c>
      <c r="Q47" s="489">
        <v>61691</v>
      </c>
      <c r="R47" s="506">
        <v>0.53888956830133306</v>
      </c>
      <c r="S47" s="490">
        <v>8813</v>
      </c>
    </row>
    <row r="48" spans="1:19" ht="14.45" customHeight="1" x14ac:dyDescent="0.2">
      <c r="A48" s="484" t="s">
        <v>1045</v>
      </c>
      <c r="B48" s="485" t="s">
        <v>1046</v>
      </c>
      <c r="C48" s="485" t="s">
        <v>455</v>
      </c>
      <c r="D48" s="485" t="s">
        <v>1012</v>
      </c>
      <c r="E48" s="485" t="s">
        <v>1020</v>
      </c>
      <c r="F48" s="485" t="s">
        <v>1094</v>
      </c>
      <c r="G48" s="485" t="s">
        <v>1095</v>
      </c>
      <c r="H48" s="489"/>
      <c r="I48" s="489"/>
      <c r="J48" s="485"/>
      <c r="K48" s="485"/>
      <c r="L48" s="489">
        <v>16</v>
      </c>
      <c r="M48" s="489">
        <v>160000</v>
      </c>
      <c r="N48" s="485">
        <v>1</v>
      </c>
      <c r="O48" s="485">
        <v>10000</v>
      </c>
      <c r="P48" s="489">
        <v>56</v>
      </c>
      <c r="Q48" s="489">
        <v>560000</v>
      </c>
      <c r="R48" s="506">
        <v>3.5</v>
      </c>
      <c r="S48" s="490">
        <v>10000</v>
      </c>
    </row>
    <row r="49" spans="1:19" ht="14.45" customHeight="1" x14ac:dyDescent="0.2">
      <c r="A49" s="484" t="s">
        <v>1045</v>
      </c>
      <c r="B49" s="485" t="s">
        <v>1046</v>
      </c>
      <c r="C49" s="485" t="s">
        <v>455</v>
      </c>
      <c r="D49" s="485" t="s">
        <v>1012</v>
      </c>
      <c r="E49" s="485" t="s">
        <v>1020</v>
      </c>
      <c r="F49" s="485" t="s">
        <v>1096</v>
      </c>
      <c r="G49" s="485" t="s">
        <v>1097</v>
      </c>
      <c r="H49" s="489"/>
      <c r="I49" s="489"/>
      <c r="J49" s="485"/>
      <c r="K49" s="485"/>
      <c r="L49" s="489">
        <v>193</v>
      </c>
      <c r="M49" s="489">
        <v>2077966.6899999995</v>
      </c>
      <c r="N49" s="485">
        <v>1</v>
      </c>
      <c r="O49" s="485">
        <v>10766.666787564764</v>
      </c>
      <c r="P49" s="489">
        <v>234</v>
      </c>
      <c r="Q49" s="489">
        <v>2519400.0199999996</v>
      </c>
      <c r="R49" s="506">
        <v>1.2124352291710703</v>
      </c>
      <c r="S49" s="490">
        <v>10766.666752136751</v>
      </c>
    </row>
    <row r="50" spans="1:19" ht="14.45" customHeight="1" x14ac:dyDescent="0.2">
      <c r="A50" s="484" t="s">
        <v>1045</v>
      </c>
      <c r="B50" s="485" t="s">
        <v>1046</v>
      </c>
      <c r="C50" s="485" t="s">
        <v>455</v>
      </c>
      <c r="D50" s="485" t="s">
        <v>1012</v>
      </c>
      <c r="E50" s="485" t="s">
        <v>1020</v>
      </c>
      <c r="F50" s="485" t="s">
        <v>1098</v>
      </c>
      <c r="G50" s="485" t="s">
        <v>1099</v>
      </c>
      <c r="H50" s="489"/>
      <c r="I50" s="489"/>
      <c r="J50" s="485"/>
      <c r="K50" s="485"/>
      <c r="L50" s="489">
        <v>96</v>
      </c>
      <c r="M50" s="489">
        <v>800000</v>
      </c>
      <c r="N50" s="485">
        <v>1</v>
      </c>
      <c r="O50" s="485">
        <v>8333.3333333333339</v>
      </c>
      <c r="P50" s="489">
        <v>122</v>
      </c>
      <c r="Q50" s="489">
        <v>1016666.6499999999</v>
      </c>
      <c r="R50" s="506">
        <v>1.2708333125</v>
      </c>
      <c r="S50" s="490">
        <v>8333.3331967213107</v>
      </c>
    </row>
    <row r="51" spans="1:19" ht="14.45" customHeight="1" x14ac:dyDescent="0.2">
      <c r="A51" s="484" t="s">
        <v>1045</v>
      </c>
      <c r="B51" s="485" t="s">
        <v>1046</v>
      </c>
      <c r="C51" s="485" t="s">
        <v>455</v>
      </c>
      <c r="D51" s="485" t="s">
        <v>1012</v>
      </c>
      <c r="E51" s="485" t="s">
        <v>1020</v>
      </c>
      <c r="F51" s="485" t="s">
        <v>1043</v>
      </c>
      <c r="G51" s="485" t="s">
        <v>1044</v>
      </c>
      <c r="H51" s="489"/>
      <c r="I51" s="489"/>
      <c r="J51" s="485"/>
      <c r="K51" s="485"/>
      <c r="L51" s="489">
        <v>171</v>
      </c>
      <c r="M51" s="489">
        <v>0</v>
      </c>
      <c r="N51" s="485"/>
      <c r="O51" s="485">
        <v>0</v>
      </c>
      <c r="P51" s="489">
        <v>331</v>
      </c>
      <c r="Q51" s="489">
        <v>0</v>
      </c>
      <c r="R51" s="506"/>
      <c r="S51" s="490">
        <v>0</v>
      </c>
    </row>
    <row r="52" spans="1:19" ht="14.45" customHeight="1" x14ac:dyDescent="0.2">
      <c r="A52" s="484" t="s">
        <v>1045</v>
      </c>
      <c r="B52" s="485" t="s">
        <v>1046</v>
      </c>
      <c r="C52" s="485" t="s">
        <v>455</v>
      </c>
      <c r="D52" s="485" t="s">
        <v>1012</v>
      </c>
      <c r="E52" s="485" t="s">
        <v>1020</v>
      </c>
      <c r="F52" s="485" t="s">
        <v>1100</v>
      </c>
      <c r="G52" s="485" t="s">
        <v>1101</v>
      </c>
      <c r="H52" s="489"/>
      <c r="I52" s="489"/>
      <c r="J52" s="485"/>
      <c r="K52" s="485"/>
      <c r="L52" s="489">
        <v>26</v>
      </c>
      <c r="M52" s="489">
        <v>214500</v>
      </c>
      <c r="N52" s="485">
        <v>1</v>
      </c>
      <c r="O52" s="485">
        <v>8250</v>
      </c>
      <c r="P52" s="489">
        <v>168</v>
      </c>
      <c r="Q52" s="489">
        <v>1386000</v>
      </c>
      <c r="R52" s="506">
        <v>6.4615384615384617</v>
      </c>
      <c r="S52" s="490">
        <v>8250</v>
      </c>
    </row>
    <row r="53" spans="1:19" ht="14.45" customHeight="1" x14ac:dyDescent="0.2">
      <c r="A53" s="484" t="s">
        <v>1045</v>
      </c>
      <c r="B53" s="485" t="s">
        <v>1046</v>
      </c>
      <c r="C53" s="485" t="s">
        <v>455</v>
      </c>
      <c r="D53" s="485" t="s">
        <v>1012</v>
      </c>
      <c r="E53" s="485" t="s">
        <v>1020</v>
      </c>
      <c r="F53" s="485" t="s">
        <v>1102</v>
      </c>
      <c r="G53" s="485" t="s">
        <v>1103</v>
      </c>
      <c r="H53" s="489"/>
      <c r="I53" s="489"/>
      <c r="J53" s="485"/>
      <c r="K53" s="485"/>
      <c r="L53" s="489">
        <v>23</v>
      </c>
      <c r="M53" s="489">
        <v>0</v>
      </c>
      <c r="N53" s="485"/>
      <c r="O53" s="485">
        <v>0</v>
      </c>
      <c r="P53" s="489">
        <v>18</v>
      </c>
      <c r="Q53" s="489">
        <v>0</v>
      </c>
      <c r="R53" s="506"/>
      <c r="S53" s="490">
        <v>0</v>
      </c>
    </row>
    <row r="54" spans="1:19" ht="14.45" customHeight="1" x14ac:dyDescent="0.2">
      <c r="A54" s="484" t="s">
        <v>1045</v>
      </c>
      <c r="B54" s="485" t="s">
        <v>1046</v>
      </c>
      <c r="C54" s="485" t="s">
        <v>455</v>
      </c>
      <c r="D54" s="485" t="s">
        <v>1012</v>
      </c>
      <c r="E54" s="485" t="s">
        <v>1020</v>
      </c>
      <c r="F54" s="485" t="s">
        <v>1104</v>
      </c>
      <c r="G54" s="485" t="s">
        <v>1105</v>
      </c>
      <c r="H54" s="489"/>
      <c r="I54" s="489"/>
      <c r="J54" s="485"/>
      <c r="K54" s="485"/>
      <c r="L54" s="489">
        <v>0</v>
      </c>
      <c r="M54" s="489">
        <v>0</v>
      </c>
      <c r="N54" s="485"/>
      <c r="O54" s="485"/>
      <c r="P54" s="489"/>
      <c r="Q54" s="489"/>
      <c r="R54" s="506"/>
      <c r="S54" s="490"/>
    </row>
    <row r="55" spans="1:19" ht="14.45" customHeight="1" x14ac:dyDescent="0.2">
      <c r="A55" s="484" t="s">
        <v>1045</v>
      </c>
      <c r="B55" s="485" t="s">
        <v>1046</v>
      </c>
      <c r="C55" s="485" t="s">
        <v>455</v>
      </c>
      <c r="D55" s="485" t="s">
        <v>1012</v>
      </c>
      <c r="E55" s="485" t="s">
        <v>1020</v>
      </c>
      <c r="F55" s="485" t="s">
        <v>1106</v>
      </c>
      <c r="G55" s="485" t="s">
        <v>1107</v>
      </c>
      <c r="H55" s="489"/>
      <c r="I55" s="489"/>
      <c r="J55" s="485"/>
      <c r="K55" s="485"/>
      <c r="L55" s="489">
        <v>28</v>
      </c>
      <c r="M55" s="489">
        <v>855555.5900000002</v>
      </c>
      <c r="N55" s="485">
        <v>1</v>
      </c>
      <c r="O55" s="485">
        <v>30555.556785714292</v>
      </c>
      <c r="P55" s="489">
        <v>20</v>
      </c>
      <c r="Q55" s="489">
        <v>611111.14000000013</v>
      </c>
      <c r="R55" s="506">
        <v>0.71428571929499052</v>
      </c>
      <c r="S55" s="490">
        <v>30555.557000000008</v>
      </c>
    </row>
    <row r="56" spans="1:19" ht="14.45" customHeight="1" x14ac:dyDescent="0.2">
      <c r="A56" s="484" t="s">
        <v>1045</v>
      </c>
      <c r="B56" s="485" t="s">
        <v>1046</v>
      </c>
      <c r="C56" s="485" t="s">
        <v>455</v>
      </c>
      <c r="D56" s="485" t="s">
        <v>1012</v>
      </c>
      <c r="E56" s="485" t="s">
        <v>1020</v>
      </c>
      <c r="F56" s="485" t="s">
        <v>1108</v>
      </c>
      <c r="G56" s="485" t="s">
        <v>1109</v>
      </c>
      <c r="H56" s="489"/>
      <c r="I56" s="489"/>
      <c r="J56" s="485"/>
      <c r="K56" s="485"/>
      <c r="L56" s="489">
        <v>28</v>
      </c>
      <c r="M56" s="489">
        <v>119280</v>
      </c>
      <c r="N56" s="485">
        <v>1</v>
      </c>
      <c r="O56" s="485">
        <v>4260</v>
      </c>
      <c r="P56" s="489">
        <v>19</v>
      </c>
      <c r="Q56" s="489">
        <v>80940</v>
      </c>
      <c r="R56" s="506">
        <v>0.6785714285714286</v>
      </c>
      <c r="S56" s="490">
        <v>4260</v>
      </c>
    </row>
    <row r="57" spans="1:19" ht="14.45" customHeight="1" x14ac:dyDescent="0.2">
      <c r="A57" s="484" t="s">
        <v>1045</v>
      </c>
      <c r="B57" s="485" t="s">
        <v>1046</v>
      </c>
      <c r="C57" s="485" t="s">
        <v>455</v>
      </c>
      <c r="D57" s="485" t="s">
        <v>1012</v>
      </c>
      <c r="E57" s="485" t="s">
        <v>1020</v>
      </c>
      <c r="F57" s="485" t="s">
        <v>1110</v>
      </c>
      <c r="G57" s="485" t="s">
        <v>1111</v>
      </c>
      <c r="H57" s="489"/>
      <c r="I57" s="489"/>
      <c r="J57" s="485"/>
      <c r="K57" s="485"/>
      <c r="L57" s="489">
        <v>16</v>
      </c>
      <c r="M57" s="489">
        <v>85155.55</v>
      </c>
      <c r="N57" s="485">
        <v>1</v>
      </c>
      <c r="O57" s="485">
        <v>5322.2218750000002</v>
      </c>
      <c r="P57" s="489">
        <v>25</v>
      </c>
      <c r="Q57" s="489">
        <v>133055.54999999999</v>
      </c>
      <c r="R57" s="506">
        <v>1.5625000366975492</v>
      </c>
      <c r="S57" s="490">
        <v>5322.2219999999998</v>
      </c>
    </row>
    <row r="58" spans="1:19" ht="14.45" customHeight="1" x14ac:dyDescent="0.2">
      <c r="A58" s="484" t="s">
        <v>1045</v>
      </c>
      <c r="B58" s="485" t="s">
        <v>1046</v>
      </c>
      <c r="C58" s="485" t="s">
        <v>455</v>
      </c>
      <c r="D58" s="485" t="s">
        <v>1012</v>
      </c>
      <c r="E58" s="485" t="s">
        <v>1020</v>
      </c>
      <c r="F58" s="485" t="s">
        <v>1112</v>
      </c>
      <c r="G58" s="485" t="s">
        <v>1113</v>
      </c>
      <c r="H58" s="489"/>
      <c r="I58" s="489"/>
      <c r="J58" s="485"/>
      <c r="K58" s="485"/>
      <c r="L58" s="489">
        <v>91</v>
      </c>
      <c r="M58" s="489">
        <v>4004000</v>
      </c>
      <c r="N58" s="485">
        <v>1</v>
      </c>
      <c r="O58" s="485">
        <v>44000</v>
      </c>
      <c r="P58" s="489">
        <v>174</v>
      </c>
      <c r="Q58" s="489">
        <v>7656000</v>
      </c>
      <c r="R58" s="506">
        <v>1.9120879120879122</v>
      </c>
      <c r="S58" s="490">
        <v>44000</v>
      </c>
    </row>
    <row r="59" spans="1:19" ht="14.45" customHeight="1" x14ac:dyDescent="0.2">
      <c r="A59" s="484" t="s">
        <v>1045</v>
      </c>
      <c r="B59" s="485" t="s">
        <v>1046</v>
      </c>
      <c r="C59" s="485" t="s">
        <v>455</v>
      </c>
      <c r="D59" s="485" t="s">
        <v>1012</v>
      </c>
      <c r="E59" s="485" t="s">
        <v>1020</v>
      </c>
      <c r="F59" s="485" t="s">
        <v>1114</v>
      </c>
      <c r="G59" s="485" t="s">
        <v>1115</v>
      </c>
      <c r="H59" s="489"/>
      <c r="I59" s="489"/>
      <c r="J59" s="485"/>
      <c r="K59" s="485"/>
      <c r="L59" s="489"/>
      <c r="M59" s="489"/>
      <c r="N59" s="485"/>
      <c r="O59" s="485"/>
      <c r="P59" s="489">
        <v>2</v>
      </c>
      <c r="Q59" s="489">
        <v>79594</v>
      </c>
      <c r="R59" s="506"/>
      <c r="S59" s="490">
        <v>39797</v>
      </c>
    </row>
    <row r="60" spans="1:19" ht="14.45" customHeight="1" x14ac:dyDescent="0.2">
      <c r="A60" s="484" t="s">
        <v>1045</v>
      </c>
      <c r="B60" s="485" t="s">
        <v>1046</v>
      </c>
      <c r="C60" s="485" t="s">
        <v>455</v>
      </c>
      <c r="D60" s="485" t="s">
        <v>1012</v>
      </c>
      <c r="E60" s="485" t="s">
        <v>1020</v>
      </c>
      <c r="F60" s="485" t="s">
        <v>1116</v>
      </c>
      <c r="G60" s="485"/>
      <c r="H60" s="489"/>
      <c r="I60" s="489"/>
      <c r="J60" s="485"/>
      <c r="K60" s="485"/>
      <c r="L60" s="489"/>
      <c r="M60" s="489"/>
      <c r="N60" s="485"/>
      <c r="O60" s="485"/>
      <c r="P60" s="489">
        <v>1</v>
      </c>
      <c r="Q60" s="489">
        <v>31867</v>
      </c>
      <c r="R60" s="506"/>
      <c r="S60" s="490">
        <v>31867</v>
      </c>
    </row>
    <row r="61" spans="1:19" ht="14.45" customHeight="1" thickBot="1" x14ac:dyDescent="0.25">
      <c r="A61" s="491" t="s">
        <v>1045</v>
      </c>
      <c r="B61" s="492" t="s">
        <v>1046</v>
      </c>
      <c r="C61" s="492" t="s">
        <v>455</v>
      </c>
      <c r="D61" s="492" t="s">
        <v>1012</v>
      </c>
      <c r="E61" s="492" t="s">
        <v>1020</v>
      </c>
      <c r="F61" s="492" t="s">
        <v>1117</v>
      </c>
      <c r="G61" s="492" t="s">
        <v>1118</v>
      </c>
      <c r="H61" s="496"/>
      <c r="I61" s="496"/>
      <c r="J61" s="492"/>
      <c r="K61" s="492"/>
      <c r="L61" s="496">
        <v>1</v>
      </c>
      <c r="M61" s="496">
        <v>8600</v>
      </c>
      <c r="N61" s="492">
        <v>1</v>
      </c>
      <c r="O61" s="492">
        <v>8600</v>
      </c>
      <c r="P61" s="496"/>
      <c r="Q61" s="496"/>
      <c r="R61" s="508"/>
      <c r="S61" s="497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DAAD509-9E4D-4826-A194-6D47E648C711}"/>
  </hyperlinks>
  <pageMargins left="0.25" right="0.25" top="0.75" bottom="0.75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8" bestFit="1" customWidth="1" collapsed="1"/>
    <col min="2" max="2" width="7.7109375" style="95" hidden="1" customWidth="1" outlineLevel="1"/>
    <col min="3" max="3" width="0.140625" style="118" hidden="1" customWidth="1"/>
    <col min="4" max="4" width="7.7109375" style="95" customWidth="1"/>
    <col min="5" max="5" width="5.42578125" style="118" hidden="1" customWidth="1"/>
    <col min="6" max="6" width="7.7109375" style="95" customWidth="1"/>
    <col min="7" max="7" width="7.7109375" style="199" customWidth="1" collapsed="1"/>
    <col min="8" max="8" width="7.7109375" style="95" hidden="1" customWidth="1" outlineLevel="1"/>
    <col min="9" max="9" width="5.42578125" style="118" hidden="1" customWidth="1"/>
    <col min="10" max="10" width="7.7109375" style="95" customWidth="1"/>
    <col min="11" max="11" width="5.42578125" style="118" hidden="1" customWidth="1"/>
    <col min="12" max="12" width="7.7109375" style="95" customWidth="1"/>
    <col min="13" max="13" width="7.7109375" style="199" customWidth="1" collapsed="1"/>
    <col min="14" max="14" width="7.7109375" style="95" hidden="1" customWidth="1" outlineLevel="1"/>
    <col min="15" max="15" width="5" style="118" hidden="1" customWidth="1"/>
    <col min="16" max="16" width="7.7109375" style="95" customWidth="1"/>
    <col min="17" max="17" width="5" style="118" hidden="1" customWidth="1"/>
    <col min="18" max="18" width="7.7109375" style="95" customWidth="1"/>
    <col min="19" max="19" width="7.7109375" style="199" customWidth="1"/>
    <col min="20" max="16384" width="8.85546875" style="118"/>
  </cols>
  <sheetData>
    <row r="1" spans="1:19" ht="18.600000000000001" customHeight="1" thickBot="1" x14ac:dyDescent="0.35">
      <c r="A1" s="330" t="s">
        <v>126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4.45" customHeight="1" thickBot="1" x14ac:dyDescent="0.25">
      <c r="A2" s="221" t="s">
        <v>256</v>
      </c>
      <c r="B2" s="215"/>
      <c r="C2" s="100"/>
      <c r="D2" s="215"/>
      <c r="E2" s="100"/>
      <c r="F2" s="215"/>
      <c r="G2" s="216"/>
      <c r="H2" s="215"/>
      <c r="I2" s="100"/>
      <c r="J2" s="215"/>
      <c r="K2" s="100"/>
      <c r="L2" s="215"/>
      <c r="M2" s="216"/>
      <c r="N2" s="215"/>
      <c r="O2" s="100"/>
      <c r="P2" s="215"/>
      <c r="Q2" s="100"/>
      <c r="R2" s="215"/>
      <c r="S2" s="216"/>
    </row>
    <row r="3" spans="1:19" ht="14.45" customHeight="1" thickBot="1" x14ac:dyDescent="0.25">
      <c r="A3" s="209" t="s">
        <v>127</v>
      </c>
      <c r="B3" s="210">
        <f>SUBTOTAL(9,B6:B1048576)</f>
        <v>554049</v>
      </c>
      <c r="C3" s="211">
        <f t="shared" ref="C3:R3" si="0">SUBTOTAL(9,C6:C1048576)</f>
        <v>34.056801667050394</v>
      </c>
      <c r="D3" s="211">
        <f t="shared" si="0"/>
        <v>313751</v>
      </c>
      <c r="E3" s="211">
        <f t="shared" si="0"/>
        <v>7</v>
      </c>
      <c r="F3" s="211">
        <f t="shared" si="0"/>
        <v>332594</v>
      </c>
      <c r="G3" s="214">
        <f>IF(D3&lt;&gt;0,F3/D3,"")</f>
        <v>1.0600571791006244</v>
      </c>
      <c r="H3" s="210">
        <f t="shared" si="0"/>
        <v>0</v>
      </c>
      <c r="I3" s="211">
        <f t="shared" si="0"/>
        <v>0</v>
      </c>
      <c r="J3" s="211">
        <f t="shared" si="0"/>
        <v>0</v>
      </c>
      <c r="K3" s="211">
        <f t="shared" si="0"/>
        <v>0</v>
      </c>
      <c r="L3" s="211">
        <f t="shared" si="0"/>
        <v>0</v>
      </c>
      <c r="M3" s="212" t="str">
        <f>IF(J3&lt;&gt;0,L3/J3,"")</f>
        <v/>
      </c>
      <c r="N3" s="213">
        <f t="shared" si="0"/>
        <v>0</v>
      </c>
      <c r="O3" s="211">
        <f t="shared" si="0"/>
        <v>0</v>
      </c>
      <c r="P3" s="211">
        <f t="shared" si="0"/>
        <v>0</v>
      </c>
      <c r="Q3" s="211">
        <f t="shared" si="0"/>
        <v>0</v>
      </c>
      <c r="R3" s="211">
        <f t="shared" si="0"/>
        <v>0</v>
      </c>
      <c r="S3" s="212" t="str">
        <f>IF(P3&lt;&gt;0,R3/P3,"")</f>
        <v/>
      </c>
    </row>
    <row r="4" spans="1:19" ht="14.45" customHeight="1" x14ac:dyDescent="0.2">
      <c r="A4" s="418" t="s">
        <v>104</v>
      </c>
      <c r="B4" s="419" t="s">
        <v>98</v>
      </c>
      <c r="C4" s="420"/>
      <c r="D4" s="420"/>
      <c r="E4" s="420"/>
      <c r="F4" s="420"/>
      <c r="G4" s="422"/>
      <c r="H4" s="419" t="s">
        <v>99</v>
      </c>
      <c r="I4" s="420"/>
      <c r="J4" s="420"/>
      <c r="K4" s="420"/>
      <c r="L4" s="420"/>
      <c r="M4" s="422"/>
      <c r="N4" s="419" t="s">
        <v>100</v>
      </c>
      <c r="O4" s="420"/>
      <c r="P4" s="420"/>
      <c r="Q4" s="420"/>
      <c r="R4" s="420"/>
      <c r="S4" s="422"/>
    </row>
    <row r="5" spans="1:19" ht="14.45" customHeight="1" thickBot="1" x14ac:dyDescent="0.25">
      <c r="A5" s="560"/>
      <c r="B5" s="561">
        <v>2015</v>
      </c>
      <c r="C5" s="562"/>
      <c r="D5" s="562">
        <v>2018</v>
      </c>
      <c r="E5" s="562"/>
      <c r="F5" s="562">
        <v>2019</v>
      </c>
      <c r="G5" s="599" t="s">
        <v>2</v>
      </c>
      <c r="H5" s="561">
        <v>2015</v>
      </c>
      <c r="I5" s="562"/>
      <c r="J5" s="562">
        <v>2018</v>
      </c>
      <c r="K5" s="562"/>
      <c r="L5" s="562">
        <v>2019</v>
      </c>
      <c r="M5" s="599" t="s">
        <v>2</v>
      </c>
      <c r="N5" s="561">
        <v>2015</v>
      </c>
      <c r="O5" s="562"/>
      <c r="P5" s="562">
        <v>2018</v>
      </c>
      <c r="Q5" s="562"/>
      <c r="R5" s="562">
        <v>2019</v>
      </c>
      <c r="S5" s="599" t="s">
        <v>2</v>
      </c>
    </row>
    <row r="6" spans="1:19" ht="14.45" customHeight="1" x14ac:dyDescent="0.2">
      <c r="A6" s="586" t="s">
        <v>1121</v>
      </c>
      <c r="B6" s="582"/>
      <c r="C6" s="544"/>
      <c r="D6" s="582"/>
      <c r="E6" s="544"/>
      <c r="F6" s="582">
        <v>5951</v>
      </c>
      <c r="G6" s="549"/>
      <c r="H6" s="582"/>
      <c r="I6" s="544"/>
      <c r="J6" s="582"/>
      <c r="K6" s="544"/>
      <c r="L6" s="582"/>
      <c r="M6" s="549"/>
      <c r="N6" s="582"/>
      <c r="O6" s="544"/>
      <c r="P6" s="582"/>
      <c r="Q6" s="544"/>
      <c r="R6" s="582"/>
      <c r="S6" s="111"/>
    </row>
    <row r="7" spans="1:19" ht="14.45" customHeight="1" x14ac:dyDescent="0.2">
      <c r="A7" s="601" t="s">
        <v>1122</v>
      </c>
      <c r="B7" s="600">
        <v>62963</v>
      </c>
      <c r="C7" s="485"/>
      <c r="D7" s="600"/>
      <c r="E7" s="485"/>
      <c r="F7" s="600">
        <v>1529</v>
      </c>
      <c r="G7" s="506"/>
      <c r="H7" s="600"/>
      <c r="I7" s="485"/>
      <c r="J7" s="600"/>
      <c r="K7" s="485"/>
      <c r="L7" s="600"/>
      <c r="M7" s="506"/>
      <c r="N7" s="600"/>
      <c r="O7" s="485"/>
      <c r="P7" s="600"/>
      <c r="Q7" s="485"/>
      <c r="R7" s="600"/>
      <c r="S7" s="507"/>
    </row>
    <row r="8" spans="1:19" ht="14.45" customHeight="1" x14ac:dyDescent="0.2">
      <c r="A8" s="601" t="s">
        <v>1123</v>
      </c>
      <c r="B8" s="600"/>
      <c r="C8" s="485"/>
      <c r="D8" s="600"/>
      <c r="E8" s="485"/>
      <c r="F8" s="600">
        <v>1529</v>
      </c>
      <c r="G8" s="506"/>
      <c r="H8" s="600"/>
      <c r="I8" s="485"/>
      <c r="J8" s="600"/>
      <c r="K8" s="485"/>
      <c r="L8" s="600"/>
      <c r="M8" s="506"/>
      <c r="N8" s="600"/>
      <c r="O8" s="485"/>
      <c r="P8" s="600"/>
      <c r="Q8" s="485"/>
      <c r="R8" s="600"/>
      <c r="S8" s="507"/>
    </row>
    <row r="9" spans="1:19" ht="14.45" customHeight="1" x14ac:dyDescent="0.2">
      <c r="A9" s="601" t="s">
        <v>1124</v>
      </c>
      <c r="B9" s="600"/>
      <c r="C9" s="485"/>
      <c r="D9" s="600">
        <v>2483</v>
      </c>
      <c r="E9" s="485">
        <v>1</v>
      </c>
      <c r="F9" s="600"/>
      <c r="G9" s="506"/>
      <c r="H9" s="600"/>
      <c r="I9" s="485"/>
      <c r="J9" s="600"/>
      <c r="K9" s="485"/>
      <c r="L9" s="600"/>
      <c r="M9" s="506"/>
      <c r="N9" s="600"/>
      <c r="O9" s="485"/>
      <c r="P9" s="600"/>
      <c r="Q9" s="485"/>
      <c r="R9" s="600"/>
      <c r="S9" s="507"/>
    </row>
    <row r="10" spans="1:19" ht="14.45" customHeight="1" x14ac:dyDescent="0.2">
      <c r="A10" s="601" t="s">
        <v>1125</v>
      </c>
      <c r="B10" s="600">
        <v>175226</v>
      </c>
      <c r="C10" s="485">
        <v>28.782194480946124</v>
      </c>
      <c r="D10" s="600">
        <v>6088</v>
      </c>
      <c r="E10" s="485">
        <v>1</v>
      </c>
      <c r="F10" s="600">
        <v>49588</v>
      </c>
      <c r="G10" s="506">
        <v>8.145203679369251</v>
      </c>
      <c r="H10" s="600"/>
      <c r="I10" s="485"/>
      <c r="J10" s="600"/>
      <c r="K10" s="485"/>
      <c r="L10" s="600"/>
      <c r="M10" s="506"/>
      <c r="N10" s="600"/>
      <c r="O10" s="485"/>
      <c r="P10" s="600"/>
      <c r="Q10" s="485"/>
      <c r="R10" s="600"/>
      <c r="S10" s="507"/>
    </row>
    <row r="11" spans="1:19" ht="14.45" customHeight="1" x14ac:dyDescent="0.2">
      <c r="A11" s="601" t="s">
        <v>1126</v>
      </c>
      <c r="B11" s="600">
        <v>138708</v>
      </c>
      <c r="C11" s="485">
        <v>0.7216594608937239</v>
      </c>
      <c r="D11" s="600">
        <v>192207</v>
      </c>
      <c r="E11" s="485">
        <v>1</v>
      </c>
      <c r="F11" s="600">
        <v>77613</v>
      </c>
      <c r="G11" s="506">
        <v>0.40379902917167426</v>
      </c>
      <c r="H11" s="600"/>
      <c r="I11" s="485"/>
      <c r="J11" s="600"/>
      <c r="K11" s="485"/>
      <c r="L11" s="600"/>
      <c r="M11" s="506"/>
      <c r="N11" s="600"/>
      <c r="O11" s="485"/>
      <c r="P11" s="600"/>
      <c r="Q11" s="485"/>
      <c r="R11" s="600"/>
      <c r="S11" s="507"/>
    </row>
    <row r="12" spans="1:19" ht="14.45" customHeight="1" x14ac:dyDescent="0.2">
      <c r="A12" s="601" t="s">
        <v>1127</v>
      </c>
      <c r="B12" s="600">
        <v>109922</v>
      </c>
      <c r="C12" s="485">
        <v>2.9828769911264281</v>
      </c>
      <c r="D12" s="600">
        <v>36851</v>
      </c>
      <c r="E12" s="485">
        <v>1</v>
      </c>
      <c r="F12" s="600">
        <v>121216</v>
      </c>
      <c r="G12" s="506">
        <v>3.2893544272882691</v>
      </c>
      <c r="H12" s="600"/>
      <c r="I12" s="485"/>
      <c r="J12" s="600"/>
      <c r="K12" s="485"/>
      <c r="L12" s="600"/>
      <c r="M12" s="506"/>
      <c r="N12" s="600"/>
      <c r="O12" s="485"/>
      <c r="P12" s="600"/>
      <c r="Q12" s="485"/>
      <c r="R12" s="600"/>
      <c r="S12" s="507"/>
    </row>
    <row r="13" spans="1:19" ht="14.45" customHeight="1" x14ac:dyDescent="0.2">
      <c r="A13" s="601" t="s">
        <v>1128</v>
      </c>
      <c r="B13" s="600">
        <v>61385</v>
      </c>
      <c r="C13" s="485">
        <v>0.91812620589599003</v>
      </c>
      <c r="D13" s="600">
        <v>66859</v>
      </c>
      <c r="E13" s="485">
        <v>1</v>
      </c>
      <c r="F13" s="600">
        <v>72931</v>
      </c>
      <c r="G13" s="506">
        <v>1.0908179900985657</v>
      </c>
      <c r="H13" s="600"/>
      <c r="I13" s="485"/>
      <c r="J13" s="600"/>
      <c r="K13" s="485"/>
      <c r="L13" s="600"/>
      <c r="M13" s="506"/>
      <c r="N13" s="600"/>
      <c r="O13" s="485"/>
      <c r="P13" s="600"/>
      <c r="Q13" s="485"/>
      <c r="R13" s="600"/>
      <c r="S13" s="507"/>
    </row>
    <row r="14" spans="1:19" ht="14.45" customHeight="1" x14ac:dyDescent="0.2">
      <c r="A14" s="601" t="s">
        <v>1129</v>
      </c>
      <c r="B14" s="600">
        <v>1520</v>
      </c>
      <c r="C14" s="485"/>
      <c r="D14" s="600"/>
      <c r="E14" s="485"/>
      <c r="F14" s="600"/>
      <c r="G14" s="506"/>
      <c r="H14" s="600"/>
      <c r="I14" s="485"/>
      <c r="J14" s="600"/>
      <c r="K14" s="485"/>
      <c r="L14" s="600"/>
      <c r="M14" s="506"/>
      <c r="N14" s="600"/>
      <c r="O14" s="485"/>
      <c r="P14" s="600"/>
      <c r="Q14" s="485"/>
      <c r="R14" s="600"/>
      <c r="S14" s="507"/>
    </row>
    <row r="15" spans="1:19" ht="14.45" customHeight="1" x14ac:dyDescent="0.2">
      <c r="A15" s="601" t="s">
        <v>1130</v>
      </c>
      <c r="B15" s="600"/>
      <c r="C15" s="485"/>
      <c r="D15" s="600"/>
      <c r="E15" s="485"/>
      <c r="F15" s="600">
        <v>708</v>
      </c>
      <c r="G15" s="506"/>
      <c r="H15" s="600"/>
      <c r="I15" s="485"/>
      <c r="J15" s="600"/>
      <c r="K15" s="485"/>
      <c r="L15" s="600"/>
      <c r="M15" s="506"/>
      <c r="N15" s="600"/>
      <c r="O15" s="485"/>
      <c r="P15" s="600"/>
      <c r="Q15" s="485"/>
      <c r="R15" s="600"/>
      <c r="S15" s="507"/>
    </row>
    <row r="16" spans="1:19" ht="14.45" customHeight="1" x14ac:dyDescent="0.2">
      <c r="A16" s="601" t="s">
        <v>1131</v>
      </c>
      <c r="B16" s="600">
        <v>4325</v>
      </c>
      <c r="C16" s="485">
        <v>0.65194452818812176</v>
      </c>
      <c r="D16" s="600">
        <v>6634</v>
      </c>
      <c r="E16" s="485">
        <v>1</v>
      </c>
      <c r="F16" s="600">
        <v>1529</v>
      </c>
      <c r="G16" s="506">
        <v>0.2304793488091649</v>
      </c>
      <c r="H16" s="600"/>
      <c r="I16" s="485"/>
      <c r="J16" s="600"/>
      <c r="K16" s="485"/>
      <c r="L16" s="600"/>
      <c r="M16" s="506"/>
      <c r="N16" s="600"/>
      <c r="O16" s="485"/>
      <c r="P16" s="600"/>
      <c r="Q16" s="485"/>
      <c r="R16" s="600"/>
      <c r="S16" s="507"/>
    </row>
    <row r="17" spans="1:19" ht="14.45" customHeight="1" thickBot="1" x14ac:dyDescent="0.25">
      <c r="A17" s="587" t="s">
        <v>1132</v>
      </c>
      <c r="B17" s="584"/>
      <c r="C17" s="492"/>
      <c r="D17" s="584">
        <v>2629</v>
      </c>
      <c r="E17" s="492">
        <v>1</v>
      </c>
      <c r="F17" s="584"/>
      <c r="G17" s="508"/>
      <c r="H17" s="584"/>
      <c r="I17" s="492"/>
      <c r="J17" s="584"/>
      <c r="K17" s="492"/>
      <c r="L17" s="584"/>
      <c r="M17" s="508"/>
      <c r="N17" s="584"/>
      <c r="O17" s="492"/>
      <c r="P17" s="584"/>
      <c r="Q17" s="492"/>
      <c r="R17" s="584"/>
      <c r="S17" s="50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1AC9C9E-E87C-4D36-9878-BE3F788A8A0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8" bestFit="1" customWidth="1"/>
    <col min="2" max="2" width="8.7109375" style="118" bestFit="1" customWidth="1"/>
    <col min="3" max="3" width="2.140625" style="118" bestFit="1" customWidth="1"/>
    <col min="4" max="4" width="8" style="118" bestFit="1" customWidth="1"/>
    <col min="5" max="5" width="52.85546875" style="118" bestFit="1" customWidth="1" collapsed="1"/>
    <col min="6" max="7" width="11.140625" style="196" hidden="1" customWidth="1" outlineLevel="1"/>
    <col min="8" max="9" width="9.28515625" style="196" hidden="1" customWidth="1"/>
    <col min="10" max="11" width="11.140625" style="196" customWidth="1"/>
    <col min="12" max="13" width="9.28515625" style="196" hidden="1" customWidth="1"/>
    <col min="14" max="15" width="11.140625" style="196" customWidth="1"/>
    <col min="16" max="16" width="11.140625" style="199" customWidth="1"/>
    <col min="17" max="17" width="11.140625" style="196" customWidth="1"/>
    <col min="18" max="16384" width="8.85546875" style="118"/>
  </cols>
  <sheetData>
    <row r="1" spans="1:17" ht="18.600000000000001" customHeight="1" thickBot="1" x14ac:dyDescent="0.35">
      <c r="A1" s="318" t="s">
        <v>1143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ht="14.45" customHeight="1" thickBot="1" x14ac:dyDescent="0.25">
      <c r="A2" s="221" t="s">
        <v>256</v>
      </c>
      <c r="B2" s="119"/>
      <c r="C2" s="119"/>
      <c r="D2" s="119"/>
      <c r="E2" s="119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  <c r="Q2" s="217"/>
    </row>
    <row r="3" spans="1:17" ht="14.45" customHeight="1" thickBot="1" x14ac:dyDescent="0.25">
      <c r="E3" s="77" t="s">
        <v>127</v>
      </c>
      <c r="F3" s="91">
        <f t="shared" ref="F3:O3" si="0">SUBTOTAL(9,F6:F1048576)</f>
        <v>268</v>
      </c>
      <c r="G3" s="92">
        <f t="shared" si="0"/>
        <v>554049</v>
      </c>
      <c r="H3" s="92"/>
      <c r="I3" s="92"/>
      <c r="J3" s="92">
        <f t="shared" si="0"/>
        <v>156</v>
      </c>
      <c r="K3" s="92">
        <f t="shared" si="0"/>
        <v>313751</v>
      </c>
      <c r="L3" s="92"/>
      <c r="M3" s="92"/>
      <c r="N3" s="92">
        <f t="shared" si="0"/>
        <v>163</v>
      </c>
      <c r="O3" s="92">
        <f t="shared" si="0"/>
        <v>332594</v>
      </c>
      <c r="P3" s="67">
        <f>IF(K3=0,0,O3/K3)</f>
        <v>1.0600571791006244</v>
      </c>
      <c r="Q3" s="93">
        <f>IF(N3=0,0,O3/N3)</f>
        <v>2040.4539877300613</v>
      </c>
    </row>
    <row r="4" spans="1:17" ht="14.45" customHeight="1" x14ac:dyDescent="0.2">
      <c r="A4" s="427" t="s">
        <v>68</v>
      </c>
      <c r="B4" s="425" t="s">
        <v>94</v>
      </c>
      <c r="C4" s="427" t="s">
        <v>95</v>
      </c>
      <c r="D4" s="436" t="s">
        <v>96</v>
      </c>
      <c r="E4" s="428" t="s">
        <v>69</v>
      </c>
      <c r="F4" s="434">
        <v>2015</v>
      </c>
      <c r="G4" s="435"/>
      <c r="H4" s="94"/>
      <c r="I4" s="94"/>
      <c r="J4" s="434">
        <v>2018</v>
      </c>
      <c r="K4" s="435"/>
      <c r="L4" s="94"/>
      <c r="M4" s="94"/>
      <c r="N4" s="434">
        <v>2019</v>
      </c>
      <c r="O4" s="435"/>
      <c r="P4" s="437" t="s">
        <v>2</v>
      </c>
      <c r="Q4" s="426" t="s">
        <v>97</v>
      </c>
    </row>
    <row r="5" spans="1:17" ht="14.45" customHeight="1" thickBot="1" x14ac:dyDescent="0.25">
      <c r="A5" s="590"/>
      <c r="B5" s="588"/>
      <c r="C5" s="590"/>
      <c r="D5" s="602"/>
      <c r="E5" s="592"/>
      <c r="F5" s="603" t="s">
        <v>71</v>
      </c>
      <c r="G5" s="604" t="s">
        <v>14</v>
      </c>
      <c r="H5" s="605"/>
      <c r="I5" s="605"/>
      <c r="J5" s="603" t="s">
        <v>71</v>
      </c>
      <c r="K5" s="604" t="s">
        <v>14</v>
      </c>
      <c r="L5" s="605"/>
      <c r="M5" s="605"/>
      <c r="N5" s="603" t="s">
        <v>71</v>
      </c>
      <c r="O5" s="604" t="s">
        <v>14</v>
      </c>
      <c r="P5" s="606"/>
      <c r="Q5" s="597"/>
    </row>
    <row r="6" spans="1:17" ht="14.45" customHeight="1" x14ac:dyDescent="0.2">
      <c r="A6" s="543" t="s">
        <v>1133</v>
      </c>
      <c r="B6" s="544" t="s">
        <v>1023</v>
      </c>
      <c r="C6" s="544" t="s">
        <v>1020</v>
      </c>
      <c r="D6" s="544" t="s">
        <v>1030</v>
      </c>
      <c r="E6" s="544" t="s">
        <v>1031</v>
      </c>
      <c r="F6" s="105"/>
      <c r="G6" s="105"/>
      <c r="H6" s="105"/>
      <c r="I6" s="105"/>
      <c r="J6" s="105"/>
      <c r="K6" s="105"/>
      <c r="L6" s="105"/>
      <c r="M6" s="105"/>
      <c r="N6" s="105">
        <v>1</v>
      </c>
      <c r="O6" s="105">
        <v>354</v>
      </c>
      <c r="P6" s="549"/>
      <c r="Q6" s="559">
        <v>354</v>
      </c>
    </row>
    <row r="7" spans="1:17" ht="14.45" customHeight="1" x14ac:dyDescent="0.2">
      <c r="A7" s="484" t="s">
        <v>1133</v>
      </c>
      <c r="B7" s="485" t="s">
        <v>1046</v>
      </c>
      <c r="C7" s="485" t="s">
        <v>1020</v>
      </c>
      <c r="D7" s="485" t="s">
        <v>1080</v>
      </c>
      <c r="E7" s="485" t="s">
        <v>1081</v>
      </c>
      <c r="F7" s="489"/>
      <c r="G7" s="489"/>
      <c r="H7" s="489"/>
      <c r="I7" s="489"/>
      <c r="J7" s="489"/>
      <c r="K7" s="489"/>
      <c r="L7" s="489"/>
      <c r="M7" s="489"/>
      <c r="N7" s="489">
        <v>1</v>
      </c>
      <c r="O7" s="489">
        <v>4487</v>
      </c>
      <c r="P7" s="506"/>
      <c r="Q7" s="490">
        <v>4487</v>
      </c>
    </row>
    <row r="8" spans="1:17" ht="14.45" customHeight="1" x14ac:dyDescent="0.2">
      <c r="A8" s="484" t="s">
        <v>1133</v>
      </c>
      <c r="B8" s="485" t="s">
        <v>1046</v>
      </c>
      <c r="C8" s="485" t="s">
        <v>1020</v>
      </c>
      <c r="D8" s="485" t="s">
        <v>1082</v>
      </c>
      <c r="E8" s="485" t="s">
        <v>1083</v>
      </c>
      <c r="F8" s="489"/>
      <c r="G8" s="489"/>
      <c r="H8" s="489"/>
      <c r="I8" s="489"/>
      <c r="J8" s="489"/>
      <c r="K8" s="489"/>
      <c r="L8" s="489"/>
      <c r="M8" s="489"/>
      <c r="N8" s="489">
        <v>1</v>
      </c>
      <c r="O8" s="489">
        <v>1110</v>
      </c>
      <c r="P8" s="506"/>
      <c r="Q8" s="490">
        <v>1110</v>
      </c>
    </row>
    <row r="9" spans="1:17" ht="14.45" customHeight="1" x14ac:dyDescent="0.2">
      <c r="A9" s="484" t="s">
        <v>1134</v>
      </c>
      <c r="B9" s="485" t="s">
        <v>1023</v>
      </c>
      <c r="C9" s="485" t="s">
        <v>1020</v>
      </c>
      <c r="D9" s="485" t="s">
        <v>1026</v>
      </c>
      <c r="E9" s="485" t="s">
        <v>1027</v>
      </c>
      <c r="F9" s="489">
        <v>1</v>
      </c>
      <c r="G9" s="489">
        <v>2480</v>
      </c>
      <c r="H9" s="489"/>
      <c r="I9" s="489">
        <v>2480</v>
      </c>
      <c r="J9" s="489"/>
      <c r="K9" s="489"/>
      <c r="L9" s="489"/>
      <c r="M9" s="489"/>
      <c r="N9" s="489"/>
      <c r="O9" s="489"/>
      <c r="P9" s="506"/>
      <c r="Q9" s="490"/>
    </row>
    <row r="10" spans="1:17" ht="14.45" customHeight="1" x14ac:dyDescent="0.2">
      <c r="A10" s="484" t="s">
        <v>1134</v>
      </c>
      <c r="B10" s="485" t="s">
        <v>1023</v>
      </c>
      <c r="C10" s="485" t="s">
        <v>1020</v>
      </c>
      <c r="D10" s="485" t="s">
        <v>1030</v>
      </c>
      <c r="E10" s="485" t="s">
        <v>1031</v>
      </c>
      <c r="F10" s="489">
        <v>1</v>
      </c>
      <c r="G10" s="489">
        <v>351</v>
      </c>
      <c r="H10" s="489"/>
      <c r="I10" s="489">
        <v>351</v>
      </c>
      <c r="J10" s="489"/>
      <c r="K10" s="489"/>
      <c r="L10" s="489"/>
      <c r="M10" s="489"/>
      <c r="N10" s="489"/>
      <c r="O10" s="489"/>
      <c r="P10" s="506"/>
      <c r="Q10" s="490"/>
    </row>
    <row r="11" spans="1:17" ht="14.45" customHeight="1" x14ac:dyDescent="0.2">
      <c r="A11" s="484" t="s">
        <v>1134</v>
      </c>
      <c r="B11" s="485" t="s">
        <v>1023</v>
      </c>
      <c r="C11" s="485" t="s">
        <v>1020</v>
      </c>
      <c r="D11" s="485" t="s">
        <v>1034</v>
      </c>
      <c r="E11" s="485" t="s">
        <v>1035</v>
      </c>
      <c r="F11" s="489"/>
      <c r="G11" s="489"/>
      <c r="H11" s="489"/>
      <c r="I11" s="489"/>
      <c r="J11" s="489"/>
      <c r="K11" s="489"/>
      <c r="L11" s="489"/>
      <c r="M11" s="489"/>
      <c r="N11" s="489">
        <v>1</v>
      </c>
      <c r="O11" s="489">
        <v>1529</v>
      </c>
      <c r="P11" s="506"/>
      <c r="Q11" s="490">
        <v>1529</v>
      </c>
    </row>
    <row r="12" spans="1:17" ht="14.45" customHeight="1" x14ac:dyDescent="0.2">
      <c r="A12" s="484" t="s">
        <v>1134</v>
      </c>
      <c r="B12" s="485" t="s">
        <v>1046</v>
      </c>
      <c r="C12" s="485" t="s">
        <v>1020</v>
      </c>
      <c r="D12" s="485" t="s">
        <v>1074</v>
      </c>
      <c r="E12" s="485"/>
      <c r="F12" s="489">
        <v>1</v>
      </c>
      <c r="G12" s="489">
        <v>0</v>
      </c>
      <c r="H12" s="489"/>
      <c r="I12" s="489">
        <v>0</v>
      </c>
      <c r="J12" s="489"/>
      <c r="K12" s="489"/>
      <c r="L12" s="489"/>
      <c r="M12" s="489"/>
      <c r="N12" s="489"/>
      <c r="O12" s="489"/>
      <c r="P12" s="506"/>
      <c r="Q12" s="490"/>
    </row>
    <row r="13" spans="1:17" ht="14.45" customHeight="1" x14ac:dyDescent="0.2">
      <c r="A13" s="484" t="s">
        <v>1134</v>
      </c>
      <c r="B13" s="485" t="s">
        <v>1046</v>
      </c>
      <c r="C13" s="485" t="s">
        <v>1020</v>
      </c>
      <c r="D13" s="485" t="s">
        <v>1075</v>
      </c>
      <c r="E13" s="485"/>
      <c r="F13" s="489">
        <v>1</v>
      </c>
      <c r="G13" s="489">
        <v>60132</v>
      </c>
      <c r="H13" s="489"/>
      <c r="I13" s="489">
        <v>60132</v>
      </c>
      <c r="J13" s="489"/>
      <c r="K13" s="489"/>
      <c r="L13" s="489"/>
      <c r="M13" s="489"/>
      <c r="N13" s="489"/>
      <c r="O13" s="489"/>
      <c r="P13" s="506"/>
      <c r="Q13" s="490"/>
    </row>
    <row r="14" spans="1:17" ht="14.45" customHeight="1" x14ac:dyDescent="0.2">
      <c r="A14" s="484" t="s">
        <v>1135</v>
      </c>
      <c r="B14" s="485" t="s">
        <v>1023</v>
      </c>
      <c r="C14" s="485" t="s">
        <v>1020</v>
      </c>
      <c r="D14" s="485" t="s">
        <v>1034</v>
      </c>
      <c r="E14" s="485" t="s">
        <v>1035</v>
      </c>
      <c r="F14" s="489"/>
      <c r="G14" s="489"/>
      <c r="H14" s="489"/>
      <c r="I14" s="489"/>
      <c r="J14" s="489"/>
      <c r="K14" s="489"/>
      <c r="L14" s="489"/>
      <c r="M14" s="489"/>
      <c r="N14" s="489">
        <v>1</v>
      </c>
      <c r="O14" s="489">
        <v>1529</v>
      </c>
      <c r="P14" s="506"/>
      <c r="Q14" s="490">
        <v>1529</v>
      </c>
    </row>
    <row r="15" spans="1:17" ht="14.45" customHeight="1" x14ac:dyDescent="0.2">
      <c r="A15" s="484" t="s">
        <v>1018</v>
      </c>
      <c r="B15" s="485" t="s">
        <v>1023</v>
      </c>
      <c r="C15" s="485" t="s">
        <v>1020</v>
      </c>
      <c r="D15" s="485" t="s">
        <v>1026</v>
      </c>
      <c r="E15" s="485" t="s">
        <v>1027</v>
      </c>
      <c r="F15" s="489"/>
      <c r="G15" s="489"/>
      <c r="H15" s="489"/>
      <c r="I15" s="489"/>
      <c r="J15" s="489">
        <v>1</v>
      </c>
      <c r="K15" s="489">
        <v>2483</v>
      </c>
      <c r="L15" s="489">
        <v>1</v>
      </c>
      <c r="M15" s="489">
        <v>2483</v>
      </c>
      <c r="N15" s="489"/>
      <c r="O15" s="489"/>
      <c r="P15" s="506"/>
      <c r="Q15" s="490"/>
    </row>
    <row r="16" spans="1:17" ht="14.45" customHeight="1" x14ac:dyDescent="0.2">
      <c r="A16" s="484" t="s">
        <v>1136</v>
      </c>
      <c r="B16" s="485" t="s">
        <v>1023</v>
      </c>
      <c r="C16" s="485" t="s">
        <v>1020</v>
      </c>
      <c r="D16" s="485" t="s">
        <v>1021</v>
      </c>
      <c r="E16" s="485" t="s">
        <v>1022</v>
      </c>
      <c r="F16" s="489"/>
      <c r="G16" s="489"/>
      <c r="H16" s="489"/>
      <c r="I16" s="489"/>
      <c r="J16" s="489"/>
      <c r="K16" s="489"/>
      <c r="L16" s="489"/>
      <c r="M16" s="489"/>
      <c r="N16" s="489">
        <v>1</v>
      </c>
      <c r="O16" s="489">
        <v>38</v>
      </c>
      <c r="P16" s="506"/>
      <c r="Q16" s="490">
        <v>38</v>
      </c>
    </row>
    <row r="17" spans="1:17" ht="14.45" customHeight="1" x14ac:dyDescent="0.2">
      <c r="A17" s="484" t="s">
        <v>1136</v>
      </c>
      <c r="B17" s="485" t="s">
        <v>1023</v>
      </c>
      <c r="C17" s="485" t="s">
        <v>1020</v>
      </c>
      <c r="D17" s="485" t="s">
        <v>1026</v>
      </c>
      <c r="E17" s="485" t="s">
        <v>1027</v>
      </c>
      <c r="F17" s="489">
        <v>1</v>
      </c>
      <c r="G17" s="489">
        <v>2480</v>
      </c>
      <c r="H17" s="489"/>
      <c r="I17" s="489">
        <v>2480</v>
      </c>
      <c r="J17" s="489"/>
      <c r="K17" s="489"/>
      <c r="L17" s="489"/>
      <c r="M17" s="489"/>
      <c r="N17" s="489">
        <v>1</v>
      </c>
      <c r="O17" s="489">
        <v>2498</v>
      </c>
      <c r="P17" s="506"/>
      <c r="Q17" s="490">
        <v>2498</v>
      </c>
    </row>
    <row r="18" spans="1:17" ht="14.45" customHeight="1" x14ac:dyDescent="0.2">
      <c r="A18" s="484" t="s">
        <v>1136</v>
      </c>
      <c r="B18" s="485" t="s">
        <v>1023</v>
      </c>
      <c r="C18" s="485" t="s">
        <v>1020</v>
      </c>
      <c r="D18" s="485" t="s">
        <v>1030</v>
      </c>
      <c r="E18" s="485" t="s">
        <v>1031</v>
      </c>
      <c r="F18" s="489">
        <v>2</v>
      </c>
      <c r="G18" s="489">
        <v>702</v>
      </c>
      <c r="H18" s="489"/>
      <c r="I18" s="489">
        <v>351</v>
      </c>
      <c r="J18" s="489"/>
      <c r="K18" s="489"/>
      <c r="L18" s="489"/>
      <c r="M18" s="489"/>
      <c r="N18" s="489">
        <v>1</v>
      </c>
      <c r="O18" s="489">
        <v>354</v>
      </c>
      <c r="P18" s="506"/>
      <c r="Q18" s="490">
        <v>354</v>
      </c>
    </row>
    <row r="19" spans="1:17" ht="14.45" customHeight="1" x14ac:dyDescent="0.2">
      <c r="A19" s="484" t="s">
        <v>1136</v>
      </c>
      <c r="B19" s="485" t="s">
        <v>1023</v>
      </c>
      <c r="C19" s="485" t="s">
        <v>1020</v>
      </c>
      <c r="D19" s="485" t="s">
        <v>1034</v>
      </c>
      <c r="E19" s="485" t="s">
        <v>1035</v>
      </c>
      <c r="F19" s="489">
        <v>1</v>
      </c>
      <c r="G19" s="489">
        <v>1520</v>
      </c>
      <c r="H19" s="489">
        <v>0.24967148488830487</v>
      </c>
      <c r="I19" s="489">
        <v>1520</v>
      </c>
      <c r="J19" s="489">
        <v>4</v>
      </c>
      <c r="K19" s="489">
        <v>6088</v>
      </c>
      <c r="L19" s="489">
        <v>1</v>
      </c>
      <c r="M19" s="489">
        <v>1522</v>
      </c>
      <c r="N19" s="489">
        <v>4</v>
      </c>
      <c r="O19" s="489">
        <v>6116</v>
      </c>
      <c r="P19" s="506">
        <v>1.0045992115637319</v>
      </c>
      <c r="Q19" s="490">
        <v>1529</v>
      </c>
    </row>
    <row r="20" spans="1:17" ht="14.45" customHeight="1" x14ac:dyDescent="0.2">
      <c r="A20" s="484" t="s">
        <v>1136</v>
      </c>
      <c r="B20" s="485" t="s">
        <v>1046</v>
      </c>
      <c r="C20" s="485" t="s">
        <v>1020</v>
      </c>
      <c r="D20" s="485" t="s">
        <v>1049</v>
      </c>
      <c r="E20" s="485" t="s">
        <v>1050</v>
      </c>
      <c r="F20" s="489"/>
      <c r="G20" s="489"/>
      <c r="H20" s="489"/>
      <c r="I20" s="489"/>
      <c r="J20" s="489"/>
      <c r="K20" s="489"/>
      <c r="L20" s="489"/>
      <c r="M20" s="489"/>
      <c r="N20" s="489">
        <v>2</v>
      </c>
      <c r="O20" s="489">
        <v>604</v>
      </c>
      <c r="P20" s="506"/>
      <c r="Q20" s="490">
        <v>302</v>
      </c>
    </row>
    <row r="21" spans="1:17" ht="14.45" customHeight="1" x14ac:dyDescent="0.2">
      <c r="A21" s="484" t="s">
        <v>1136</v>
      </c>
      <c r="B21" s="485" t="s">
        <v>1046</v>
      </c>
      <c r="C21" s="485" t="s">
        <v>1020</v>
      </c>
      <c r="D21" s="485" t="s">
        <v>1051</v>
      </c>
      <c r="E21" s="485"/>
      <c r="F21" s="489">
        <v>4</v>
      </c>
      <c r="G21" s="489">
        <v>5140</v>
      </c>
      <c r="H21" s="489"/>
      <c r="I21" s="489">
        <v>1285</v>
      </c>
      <c r="J21" s="489"/>
      <c r="K21" s="489"/>
      <c r="L21" s="489"/>
      <c r="M21" s="489"/>
      <c r="N21" s="489"/>
      <c r="O21" s="489"/>
      <c r="P21" s="506"/>
      <c r="Q21" s="490"/>
    </row>
    <row r="22" spans="1:17" ht="14.45" customHeight="1" x14ac:dyDescent="0.2">
      <c r="A22" s="484" t="s">
        <v>1136</v>
      </c>
      <c r="B22" s="485" t="s">
        <v>1046</v>
      </c>
      <c r="C22" s="485" t="s">
        <v>1020</v>
      </c>
      <c r="D22" s="485" t="s">
        <v>1052</v>
      </c>
      <c r="E22" s="485" t="s">
        <v>1053</v>
      </c>
      <c r="F22" s="489"/>
      <c r="G22" s="489"/>
      <c r="H22" s="489"/>
      <c r="I22" s="489"/>
      <c r="J22" s="489"/>
      <c r="K22" s="489"/>
      <c r="L22" s="489"/>
      <c r="M22" s="489"/>
      <c r="N22" s="489">
        <v>1</v>
      </c>
      <c r="O22" s="489">
        <v>10500</v>
      </c>
      <c r="P22" s="506"/>
      <c r="Q22" s="490">
        <v>10500</v>
      </c>
    </row>
    <row r="23" spans="1:17" ht="14.45" customHeight="1" x14ac:dyDescent="0.2">
      <c r="A23" s="484" t="s">
        <v>1136</v>
      </c>
      <c r="B23" s="485" t="s">
        <v>1046</v>
      </c>
      <c r="C23" s="485" t="s">
        <v>1020</v>
      </c>
      <c r="D23" s="485" t="s">
        <v>1055</v>
      </c>
      <c r="E23" s="485"/>
      <c r="F23" s="489">
        <v>72</v>
      </c>
      <c r="G23" s="489">
        <v>165384</v>
      </c>
      <c r="H23" s="489"/>
      <c r="I23" s="489">
        <v>2297</v>
      </c>
      <c r="J23" s="489"/>
      <c r="K23" s="489"/>
      <c r="L23" s="489"/>
      <c r="M23" s="489"/>
      <c r="N23" s="489"/>
      <c r="O23" s="489"/>
      <c r="P23" s="506"/>
      <c r="Q23" s="490"/>
    </row>
    <row r="24" spans="1:17" ht="14.45" customHeight="1" x14ac:dyDescent="0.2">
      <c r="A24" s="484" t="s">
        <v>1136</v>
      </c>
      <c r="B24" s="485" t="s">
        <v>1046</v>
      </c>
      <c r="C24" s="485" t="s">
        <v>1020</v>
      </c>
      <c r="D24" s="485" t="s">
        <v>1060</v>
      </c>
      <c r="E24" s="485" t="s">
        <v>1061</v>
      </c>
      <c r="F24" s="489"/>
      <c r="G24" s="489"/>
      <c r="H24" s="489"/>
      <c r="I24" s="489"/>
      <c r="J24" s="489"/>
      <c r="K24" s="489"/>
      <c r="L24" s="489"/>
      <c r="M24" s="489"/>
      <c r="N24" s="489">
        <v>1</v>
      </c>
      <c r="O24" s="489">
        <v>969</v>
      </c>
      <c r="P24" s="506"/>
      <c r="Q24" s="490">
        <v>969</v>
      </c>
    </row>
    <row r="25" spans="1:17" ht="14.45" customHeight="1" x14ac:dyDescent="0.2">
      <c r="A25" s="484" t="s">
        <v>1136</v>
      </c>
      <c r="B25" s="485" t="s">
        <v>1046</v>
      </c>
      <c r="C25" s="485" t="s">
        <v>1020</v>
      </c>
      <c r="D25" s="485" t="s">
        <v>1068</v>
      </c>
      <c r="E25" s="485" t="s">
        <v>1069</v>
      </c>
      <c r="F25" s="489"/>
      <c r="G25" s="489"/>
      <c r="H25" s="489"/>
      <c r="I25" s="489"/>
      <c r="J25" s="489"/>
      <c r="K25" s="489"/>
      <c r="L25" s="489"/>
      <c r="M25" s="489"/>
      <c r="N25" s="489">
        <v>1</v>
      </c>
      <c r="O25" s="489">
        <v>12505</v>
      </c>
      <c r="P25" s="506"/>
      <c r="Q25" s="490">
        <v>12505</v>
      </c>
    </row>
    <row r="26" spans="1:17" ht="14.45" customHeight="1" x14ac:dyDescent="0.2">
      <c r="A26" s="484" t="s">
        <v>1136</v>
      </c>
      <c r="B26" s="485" t="s">
        <v>1046</v>
      </c>
      <c r="C26" s="485" t="s">
        <v>1020</v>
      </c>
      <c r="D26" s="485" t="s">
        <v>1082</v>
      </c>
      <c r="E26" s="485" t="s">
        <v>1083</v>
      </c>
      <c r="F26" s="489"/>
      <c r="G26" s="489"/>
      <c r="H26" s="489"/>
      <c r="I26" s="489"/>
      <c r="J26" s="489"/>
      <c r="K26" s="489"/>
      <c r="L26" s="489"/>
      <c r="M26" s="489"/>
      <c r="N26" s="489">
        <v>1</v>
      </c>
      <c r="O26" s="489">
        <v>1110</v>
      </c>
      <c r="P26" s="506"/>
      <c r="Q26" s="490">
        <v>1110</v>
      </c>
    </row>
    <row r="27" spans="1:17" ht="14.45" customHeight="1" x14ac:dyDescent="0.2">
      <c r="A27" s="484" t="s">
        <v>1136</v>
      </c>
      <c r="B27" s="485" t="s">
        <v>1046</v>
      </c>
      <c r="C27" s="485" t="s">
        <v>1020</v>
      </c>
      <c r="D27" s="485" t="s">
        <v>1084</v>
      </c>
      <c r="E27" s="485" t="s">
        <v>1085</v>
      </c>
      <c r="F27" s="489"/>
      <c r="G27" s="489"/>
      <c r="H27" s="489"/>
      <c r="I27" s="489"/>
      <c r="J27" s="489"/>
      <c r="K27" s="489"/>
      <c r="L27" s="489"/>
      <c r="M27" s="489"/>
      <c r="N27" s="489">
        <v>2</v>
      </c>
      <c r="O27" s="489">
        <v>14894</v>
      </c>
      <c r="P27" s="506"/>
      <c r="Q27" s="490">
        <v>7447</v>
      </c>
    </row>
    <row r="28" spans="1:17" ht="14.45" customHeight="1" x14ac:dyDescent="0.2">
      <c r="A28" s="484" t="s">
        <v>1045</v>
      </c>
      <c r="B28" s="485" t="s">
        <v>1023</v>
      </c>
      <c r="C28" s="485" t="s">
        <v>1020</v>
      </c>
      <c r="D28" s="485" t="s">
        <v>1021</v>
      </c>
      <c r="E28" s="485" t="s">
        <v>1022</v>
      </c>
      <c r="F28" s="489"/>
      <c r="G28" s="489"/>
      <c r="H28" s="489"/>
      <c r="I28" s="489"/>
      <c r="J28" s="489"/>
      <c r="K28" s="489"/>
      <c r="L28" s="489"/>
      <c r="M28" s="489"/>
      <c r="N28" s="489">
        <v>1</v>
      </c>
      <c r="O28" s="489">
        <v>38</v>
      </c>
      <c r="P28" s="506"/>
      <c r="Q28" s="490">
        <v>38</v>
      </c>
    </row>
    <row r="29" spans="1:17" ht="14.45" customHeight="1" x14ac:dyDescent="0.2">
      <c r="A29" s="484" t="s">
        <v>1045</v>
      </c>
      <c r="B29" s="485" t="s">
        <v>1023</v>
      </c>
      <c r="C29" s="485" t="s">
        <v>1020</v>
      </c>
      <c r="D29" s="485" t="s">
        <v>1026</v>
      </c>
      <c r="E29" s="485" t="s">
        <v>1027</v>
      </c>
      <c r="F29" s="489">
        <v>1</v>
      </c>
      <c r="G29" s="489">
        <v>2480</v>
      </c>
      <c r="H29" s="489">
        <v>0.49939589206604912</v>
      </c>
      <c r="I29" s="489">
        <v>2480</v>
      </c>
      <c r="J29" s="489">
        <v>2</v>
      </c>
      <c r="K29" s="489">
        <v>4966</v>
      </c>
      <c r="L29" s="489">
        <v>1</v>
      </c>
      <c r="M29" s="489">
        <v>2483</v>
      </c>
      <c r="N29" s="489">
        <v>1</v>
      </c>
      <c r="O29" s="489">
        <v>2498</v>
      </c>
      <c r="P29" s="506">
        <v>0.50302053966975435</v>
      </c>
      <c r="Q29" s="490">
        <v>2498</v>
      </c>
    </row>
    <row r="30" spans="1:17" ht="14.45" customHeight="1" x14ac:dyDescent="0.2">
      <c r="A30" s="484" t="s">
        <v>1045</v>
      </c>
      <c r="B30" s="485" t="s">
        <v>1023</v>
      </c>
      <c r="C30" s="485" t="s">
        <v>1020</v>
      </c>
      <c r="D30" s="485" t="s">
        <v>1030</v>
      </c>
      <c r="E30" s="485" t="s">
        <v>1031</v>
      </c>
      <c r="F30" s="489">
        <v>9</v>
      </c>
      <c r="G30" s="489">
        <v>3159</v>
      </c>
      <c r="H30" s="489">
        <v>0.9</v>
      </c>
      <c r="I30" s="489">
        <v>351</v>
      </c>
      <c r="J30" s="489">
        <v>10</v>
      </c>
      <c r="K30" s="489">
        <v>3510</v>
      </c>
      <c r="L30" s="489">
        <v>1</v>
      </c>
      <c r="M30" s="489">
        <v>351</v>
      </c>
      <c r="N30" s="489">
        <v>1</v>
      </c>
      <c r="O30" s="489">
        <v>354</v>
      </c>
      <c r="P30" s="506">
        <v>0.10085470085470086</v>
      </c>
      <c r="Q30" s="490">
        <v>354</v>
      </c>
    </row>
    <row r="31" spans="1:17" ht="14.45" customHeight="1" x14ac:dyDescent="0.2">
      <c r="A31" s="484" t="s">
        <v>1045</v>
      </c>
      <c r="B31" s="485" t="s">
        <v>1023</v>
      </c>
      <c r="C31" s="485" t="s">
        <v>1020</v>
      </c>
      <c r="D31" s="485" t="s">
        <v>1034</v>
      </c>
      <c r="E31" s="485" t="s">
        <v>1035</v>
      </c>
      <c r="F31" s="489">
        <v>13</v>
      </c>
      <c r="G31" s="489">
        <v>19760</v>
      </c>
      <c r="H31" s="489">
        <v>0.72127317856621409</v>
      </c>
      <c r="I31" s="489">
        <v>1520</v>
      </c>
      <c r="J31" s="489">
        <v>18</v>
      </c>
      <c r="K31" s="489">
        <v>27396</v>
      </c>
      <c r="L31" s="489">
        <v>1</v>
      </c>
      <c r="M31" s="489">
        <v>1522</v>
      </c>
      <c r="N31" s="489">
        <v>10</v>
      </c>
      <c r="O31" s="489">
        <v>15290</v>
      </c>
      <c r="P31" s="506">
        <v>0.55811067309096218</v>
      </c>
      <c r="Q31" s="490">
        <v>1529</v>
      </c>
    </row>
    <row r="32" spans="1:17" ht="14.45" customHeight="1" x14ac:dyDescent="0.2">
      <c r="A32" s="484" t="s">
        <v>1045</v>
      </c>
      <c r="B32" s="485" t="s">
        <v>1046</v>
      </c>
      <c r="C32" s="485" t="s">
        <v>1020</v>
      </c>
      <c r="D32" s="485" t="s">
        <v>1049</v>
      </c>
      <c r="E32" s="485" t="s">
        <v>1050</v>
      </c>
      <c r="F32" s="489">
        <v>8</v>
      </c>
      <c r="G32" s="489">
        <v>2520</v>
      </c>
      <c r="H32" s="489">
        <v>0.3511705685618729</v>
      </c>
      <c r="I32" s="489">
        <v>315</v>
      </c>
      <c r="J32" s="489">
        <v>24</v>
      </c>
      <c r="K32" s="489">
        <v>7176</v>
      </c>
      <c r="L32" s="489">
        <v>1</v>
      </c>
      <c r="M32" s="489">
        <v>299</v>
      </c>
      <c r="N32" s="489">
        <v>14</v>
      </c>
      <c r="O32" s="489">
        <v>4228</v>
      </c>
      <c r="P32" s="506">
        <v>0.58918617614269786</v>
      </c>
      <c r="Q32" s="490">
        <v>302</v>
      </c>
    </row>
    <row r="33" spans="1:17" ht="14.45" customHeight="1" x14ac:dyDescent="0.2">
      <c r="A33" s="484" t="s">
        <v>1045</v>
      </c>
      <c r="B33" s="485" t="s">
        <v>1046</v>
      </c>
      <c r="C33" s="485" t="s">
        <v>1020</v>
      </c>
      <c r="D33" s="485" t="s">
        <v>1051</v>
      </c>
      <c r="E33" s="485"/>
      <c r="F33" s="489">
        <v>11</v>
      </c>
      <c r="G33" s="489">
        <v>14135</v>
      </c>
      <c r="H33" s="489"/>
      <c r="I33" s="489">
        <v>1285</v>
      </c>
      <c r="J33" s="489"/>
      <c r="K33" s="489"/>
      <c r="L33" s="489"/>
      <c r="M33" s="489"/>
      <c r="N33" s="489"/>
      <c r="O33" s="489"/>
      <c r="P33" s="506"/>
      <c r="Q33" s="490"/>
    </row>
    <row r="34" spans="1:17" ht="14.45" customHeight="1" x14ac:dyDescent="0.2">
      <c r="A34" s="484" t="s">
        <v>1045</v>
      </c>
      <c r="B34" s="485" t="s">
        <v>1046</v>
      </c>
      <c r="C34" s="485" t="s">
        <v>1020</v>
      </c>
      <c r="D34" s="485" t="s">
        <v>1052</v>
      </c>
      <c r="E34" s="485" t="s">
        <v>1053</v>
      </c>
      <c r="F34" s="489"/>
      <c r="G34" s="489"/>
      <c r="H34" s="489"/>
      <c r="I34" s="489"/>
      <c r="J34" s="489">
        <v>3</v>
      </c>
      <c r="K34" s="489">
        <v>31401</v>
      </c>
      <c r="L34" s="489">
        <v>1</v>
      </c>
      <c r="M34" s="489">
        <v>10467</v>
      </c>
      <c r="N34" s="489"/>
      <c r="O34" s="489"/>
      <c r="P34" s="506"/>
      <c r="Q34" s="490"/>
    </row>
    <row r="35" spans="1:17" ht="14.45" customHeight="1" x14ac:dyDescent="0.2">
      <c r="A35" s="484" t="s">
        <v>1045</v>
      </c>
      <c r="B35" s="485" t="s">
        <v>1046</v>
      </c>
      <c r="C35" s="485" t="s">
        <v>1020</v>
      </c>
      <c r="D35" s="485" t="s">
        <v>1055</v>
      </c>
      <c r="E35" s="485"/>
      <c r="F35" s="489">
        <v>30</v>
      </c>
      <c r="G35" s="489">
        <v>68910</v>
      </c>
      <c r="H35" s="489"/>
      <c r="I35" s="489">
        <v>2297</v>
      </c>
      <c r="J35" s="489"/>
      <c r="K35" s="489"/>
      <c r="L35" s="489"/>
      <c r="M35" s="489"/>
      <c r="N35" s="489"/>
      <c r="O35" s="489"/>
      <c r="P35" s="506"/>
      <c r="Q35" s="490"/>
    </row>
    <row r="36" spans="1:17" ht="14.45" customHeight="1" x14ac:dyDescent="0.2">
      <c r="A36" s="484" t="s">
        <v>1045</v>
      </c>
      <c r="B36" s="485" t="s">
        <v>1046</v>
      </c>
      <c r="C36" s="485" t="s">
        <v>1020</v>
      </c>
      <c r="D36" s="485" t="s">
        <v>1062</v>
      </c>
      <c r="E36" s="485" t="s">
        <v>1063</v>
      </c>
      <c r="F36" s="489">
        <v>4</v>
      </c>
      <c r="G36" s="489">
        <v>27744</v>
      </c>
      <c r="H36" s="489">
        <v>0.61253146112067824</v>
      </c>
      <c r="I36" s="489">
        <v>6936</v>
      </c>
      <c r="J36" s="489">
        <v>6</v>
      </c>
      <c r="K36" s="489">
        <v>45294</v>
      </c>
      <c r="L36" s="489">
        <v>1</v>
      </c>
      <c r="M36" s="489">
        <v>7549</v>
      </c>
      <c r="N36" s="489">
        <v>3</v>
      </c>
      <c r="O36" s="489">
        <v>22782</v>
      </c>
      <c r="P36" s="506">
        <v>0.50298052722214859</v>
      </c>
      <c r="Q36" s="490">
        <v>7594</v>
      </c>
    </row>
    <row r="37" spans="1:17" ht="14.45" customHeight="1" x14ac:dyDescent="0.2">
      <c r="A37" s="484" t="s">
        <v>1045</v>
      </c>
      <c r="B37" s="485" t="s">
        <v>1046</v>
      </c>
      <c r="C37" s="485" t="s">
        <v>1020</v>
      </c>
      <c r="D37" s="485" t="s">
        <v>1074</v>
      </c>
      <c r="E37" s="485"/>
      <c r="F37" s="489">
        <v>0</v>
      </c>
      <c r="G37" s="489">
        <v>0</v>
      </c>
      <c r="H37" s="489"/>
      <c r="I37" s="489"/>
      <c r="J37" s="489"/>
      <c r="K37" s="489"/>
      <c r="L37" s="489"/>
      <c r="M37" s="489"/>
      <c r="N37" s="489"/>
      <c r="O37" s="489"/>
      <c r="P37" s="506"/>
      <c r="Q37" s="490"/>
    </row>
    <row r="38" spans="1:17" ht="14.45" customHeight="1" x14ac:dyDescent="0.2">
      <c r="A38" s="484" t="s">
        <v>1045</v>
      </c>
      <c r="B38" s="485" t="s">
        <v>1046</v>
      </c>
      <c r="C38" s="485" t="s">
        <v>1020</v>
      </c>
      <c r="D38" s="485" t="s">
        <v>1077</v>
      </c>
      <c r="E38" s="485"/>
      <c r="F38" s="489">
        <v>0</v>
      </c>
      <c r="G38" s="489">
        <v>0</v>
      </c>
      <c r="H38" s="489"/>
      <c r="I38" s="489"/>
      <c r="J38" s="489"/>
      <c r="K38" s="489"/>
      <c r="L38" s="489"/>
      <c r="M38" s="489"/>
      <c r="N38" s="489"/>
      <c r="O38" s="489"/>
      <c r="P38" s="506"/>
      <c r="Q38" s="490"/>
    </row>
    <row r="39" spans="1:17" ht="14.45" customHeight="1" x14ac:dyDescent="0.2">
      <c r="A39" s="484" t="s">
        <v>1045</v>
      </c>
      <c r="B39" s="485" t="s">
        <v>1046</v>
      </c>
      <c r="C39" s="485" t="s">
        <v>1020</v>
      </c>
      <c r="D39" s="485" t="s">
        <v>1082</v>
      </c>
      <c r="E39" s="485" t="s">
        <v>1083</v>
      </c>
      <c r="F39" s="489"/>
      <c r="G39" s="489"/>
      <c r="H39" s="489"/>
      <c r="I39" s="489"/>
      <c r="J39" s="489">
        <v>7</v>
      </c>
      <c r="K39" s="489">
        <v>7749</v>
      </c>
      <c r="L39" s="489">
        <v>1</v>
      </c>
      <c r="M39" s="489">
        <v>1107</v>
      </c>
      <c r="N39" s="489">
        <v>5</v>
      </c>
      <c r="O39" s="489">
        <v>5550</v>
      </c>
      <c r="P39" s="506">
        <v>0.71622144792876496</v>
      </c>
      <c r="Q39" s="490">
        <v>1110</v>
      </c>
    </row>
    <row r="40" spans="1:17" ht="14.45" customHeight="1" x14ac:dyDescent="0.2">
      <c r="A40" s="484" t="s">
        <v>1045</v>
      </c>
      <c r="B40" s="485" t="s">
        <v>1046</v>
      </c>
      <c r="C40" s="485" t="s">
        <v>1020</v>
      </c>
      <c r="D40" s="485" t="s">
        <v>1084</v>
      </c>
      <c r="E40" s="485" t="s">
        <v>1085</v>
      </c>
      <c r="F40" s="489"/>
      <c r="G40" s="489"/>
      <c r="H40" s="489"/>
      <c r="I40" s="489"/>
      <c r="J40" s="489">
        <v>2</v>
      </c>
      <c r="K40" s="489">
        <v>14860</v>
      </c>
      <c r="L40" s="489">
        <v>1</v>
      </c>
      <c r="M40" s="489">
        <v>7430</v>
      </c>
      <c r="N40" s="489"/>
      <c r="O40" s="489"/>
      <c r="P40" s="506"/>
      <c r="Q40" s="490"/>
    </row>
    <row r="41" spans="1:17" ht="14.45" customHeight="1" x14ac:dyDescent="0.2">
      <c r="A41" s="484" t="s">
        <v>1045</v>
      </c>
      <c r="B41" s="485" t="s">
        <v>1046</v>
      </c>
      <c r="C41" s="485" t="s">
        <v>1020</v>
      </c>
      <c r="D41" s="485" t="s">
        <v>1086</v>
      </c>
      <c r="E41" s="485" t="s">
        <v>1087</v>
      </c>
      <c r="F41" s="489"/>
      <c r="G41" s="489"/>
      <c r="H41" s="489"/>
      <c r="I41" s="489"/>
      <c r="J41" s="489">
        <v>13</v>
      </c>
      <c r="K41" s="489">
        <v>49855</v>
      </c>
      <c r="L41" s="489">
        <v>1</v>
      </c>
      <c r="M41" s="489">
        <v>3835</v>
      </c>
      <c r="N41" s="489">
        <v>7</v>
      </c>
      <c r="O41" s="489">
        <v>26873</v>
      </c>
      <c r="P41" s="506">
        <v>0.53902316718483601</v>
      </c>
      <c r="Q41" s="490">
        <v>3839</v>
      </c>
    </row>
    <row r="42" spans="1:17" ht="14.45" customHeight="1" x14ac:dyDescent="0.2">
      <c r="A42" s="484" t="s">
        <v>1045</v>
      </c>
      <c r="B42" s="485" t="s">
        <v>1046</v>
      </c>
      <c r="C42" s="485" t="s">
        <v>1020</v>
      </c>
      <c r="D42" s="485" t="s">
        <v>1098</v>
      </c>
      <c r="E42" s="485" t="s">
        <v>1099</v>
      </c>
      <c r="F42" s="489"/>
      <c r="G42" s="489"/>
      <c r="H42" s="489"/>
      <c r="I42" s="489"/>
      <c r="J42" s="489">
        <v>0</v>
      </c>
      <c r="K42" s="489">
        <v>0</v>
      </c>
      <c r="L42" s="489"/>
      <c r="M42" s="489"/>
      <c r="N42" s="489"/>
      <c r="O42" s="489"/>
      <c r="P42" s="506"/>
      <c r="Q42" s="490"/>
    </row>
    <row r="43" spans="1:17" ht="14.45" customHeight="1" x14ac:dyDescent="0.2">
      <c r="A43" s="484" t="s">
        <v>1137</v>
      </c>
      <c r="B43" s="485" t="s">
        <v>1023</v>
      </c>
      <c r="C43" s="485" t="s">
        <v>1020</v>
      </c>
      <c r="D43" s="485" t="s">
        <v>1026</v>
      </c>
      <c r="E43" s="485" t="s">
        <v>1027</v>
      </c>
      <c r="F43" s="489">
        <v>1</v>
      </c>
      <c r="G43" s="489">
        <v>2480</v>
      </c>
      <c r="H43" s="489">
        <v>0.99879178413209824</v>
      </c>
      <c r="I43" s="489">
        <v>2480</v>
      </c>
      <c r="J43" s="489">
        <v>1</v>
      </c>
      <c r="K43" s="489">
        <v>2483</v>
      </c>
      <c r="L43" s="489">
        <v>1</v>
      </c>
      <c r="M43" s="489">
        <v>2483</v>
      </c>
      <c r="N43" s="489">
        <v>2</v>
      </c>
      <c r="O43" s="489">
        <v>4996</v>
      </c>
      <c r="P43" s="506">
        <v>2.0120821586790174</v>
      </c>
      <c r="Q43" s="490">
        <v>2498</v>
      </c>
    </row>
    <row r="44" spans="1:17" ht="14.45" customHeight="1" x14ac:dyDescent="0.2">
      <c r="A44" s="484" t="s">
        <v>1137</v>
      </c>
      <c r="B44" s="485" t="s">
        <v>1023</v>
      </c>
      <c r="C44" s="485" t="s">
        <v>1020</v>
      </c>
      <c r="D44" s="485" t="s">
        <v>1030</v>
      </c>
      <c r="E44" s="485" t="s">
        <v>1031</v>
      </c>
      <c r="F44" s="489">
        <v>8</v>
      </c>
      <c r="G44" s="489">
        <v>2808</v>
      </c>
      <c r="H44" s="489">
        <v>8</v>
      </c>
      <c r="I44" s="489">
        <v>351</v>
      </c>
      <c r="J44" s="489">
        <v>1</v>
      </c>
      <c r="K44" s="489">
        <v>351</v>
      </c>
      <c r="L44" s="489">
        <v>1</v>
      </c>
      <c r="M44" s="489">
        <v>351</v>
      </c>
      <c r="N44" s="489">
        <v>5</v>
      </c>
      <c r="O44" s="489">
        <v>1770</v>
      </c>
      <c r="P44" s="506">
        <v>5.0427350427350426</v>
      </c>
      <c r="Q44" s="490">
        <v>354</v>
      </c>
    </row>
    <row r="45" spans="1:17" ht="14.45" customHeight="1" x14ac:dyDescent="0.2">
      <c r="A45" s="484" t="s">
        <v>1137</v>
      </c>
      <c r="B45" s="485" t="s">
        <v>1023</v>
      </c>
      <c r="C45" s="485" t="s">
        <v>1020</v>
      </c>
      <c r="D45" s="485" t="s">
        <v>1034</v>
      </c>
      <c r="E45" s="485" t="s">
        <v>1035</v>
      </c>
      <c r="F45" s="489">
        <v>17</v>
      </c>
      <c r="G45" s="489">
        <v>25840</v>
      </c>
      <c r="H45" s="489">
        <v>1.8864067747116366</v>
      </c>
      <c r="I45" s="489">
        <v>1520</v>
      </c>
      <c r="J45" s="489">
        <v>9</v>
      </c>
      <c r="K45" s="489">
        <v>13698</v>
      </c>
      <c r="L45" s="489">
        <v>1</v>
      </c>
      <c r="M45" s="489">
        <v>1522</v>
      </c>
      <c r="N45" s="489">
        <v>14</v>
      </c>
      <c r="O45" s="489">
        <v>21406</v>
      </c>
      <c r="P45" s="506">
        <v>1.5627098846546941</v>
      </c>
      <c r="Q45" s="490">
        <v>1529</v>
      </c>
    </row>
    <row r="46" spans="1:17" ht="14.45" customHeight="1" x14ac:dyDescent="0.2">
      <c r="A46" s="484" t="s">
        <v>1137</v>
      </c>
      <c r="B46" s="485" t="s">
        <v>1046</v>
      </c>
      <c r="C46" s="485" t="s">
        <v>1020</v>
      </c>
      <c r="D46" s="485" t="s">
        <v>1049</v>
      </c>
      <c r="E46" s="485" t="s">
        <v>1050</v>
      </c>
      <c r="F46" s="489">
        <v>4</v>
      </c>
      <c r="G46" s="489">
        <v>1260</v>
      </c>
      <c r="H46" s="489">
        <v>1.0535117056856187</v>
      </c>
      <c r="I46" s="489">
        <v>315</v>
      </c>
      <c r="J46" s="489">
        <v>4</v>
      </c>
      <c r="K46" s="489">
        <v>1196</v>
      </c>
      <c r="L46" s="489">
        <v>1</v>
      </c>
      <c r="M46" s="489">
        <v>299</v>
      </c>
      <c r="N46" s="489">
        <v>8</v>
      </c>
      <c r="O46" s="489">
        <v>2416</v>
      </c>
      <c r="P46" s="506">
        <v>2.020066889632107</v>
      </c>
      <c r="Q46" s="490">
        <v>302</v>
      </c>
    </row>
    <row r="47" spans="1:17" ht="14.45" customHeight="1" x14ac:dyDescent="0.2">
      <c r="A47" s="484" t="s">
        <v>1137</v>
      </c>
      <c r="B47" s="485" t="s">
        <v>1046</v>
      </c>
      <c r="C47" s="485" t="s">
        <v>1020</v>
      </c>
      <c r="D47" s="485" t="s">
        <v>1051</v>
      </c>
      <c r="E47" s="485"/>
      <c r="F47" s="489">
        <v>10</v>
      </c>
      <c r="G47" s="489">
        <v>12850</v>
      </c>
      <c r="H47" s="489"/>
      <c r="I47" s="489">
        <v>1285</v>
      </c>
      <c r="J47" s="489"/>
      <c r="K47" s="489"/>
      <c r="L47" s="489"/>
      <c r="M47" s="489"/>
      <c r="N47" s="489"/>
      <c r="O47" s="489"/>
      <c r="P47" s="506"/>
      <c r="Q47" s="490"/>
    </row>
    <row r="48" spans="1:17" ht="14.45" customHeight="1" x14ac:dyDescent="0.2">
      <c r="A48" s="484" t="s">
        <v>1137</v>
      </c>
      <c r="B48" s="485" t="s">
        <v>1046</v>
      </c>
      <c r="C48" s="485" t="s">
        <v>1020</v>
      </c>
      <c r="D48" s="485" t="s">
        <v>1052</v>
      </c>
      <c r="E48" s="485" t="s">
        <v>1053</v>
      </c>
      <c r="F48" s="489"/>
      <c r="G48" s="489"/>
      <c r="H48" s="489"/>
      <c r="I48" s="489"/>
      <c r="J48" s="489">
        <v>1</v>
      </c>
      <c r="K48" s="489">
        <v>10467</v>
      </c>
      <c r="L48" s="489">
        <v>1</v>
      </c>
      <c r="M48" s="489">
        <v>10467</v>
      </c>
      <c r="N48" s="489"/>
      <c r="O48" s="489"/>
      <c r="P48" s="506"/>
      <c r="Q48" s="490"/>
    </row>
    <row r="49" spans="1:17" ht="14.45" customHeight="1" x14ac:dyDescent="0.2">
      <c r="A49" s="484" t="s">
        <v>1137</v>
      </c>
      <c r="B49" s="485" t="s">
        <v>1046</v>
      </c>
      <c r="C49" s="485" t="s">
        <v>1020</v>
      </c>
      <c r="D49" s="485" t="s">
        <v>1055</v>
      </c>
      <c r="E49" s="485"/>
      <c r="F49" s="489">
        <v>16</v>
      </c>
      <c r="G49" s="489">
        <v>36752</v>
      </c>
      <c r="H49" s="489"/>
      <c r="I49" s="489">
        <v>2297</v>
      </c>
      <c r="J49" s="489"/>
      <c r="K49" s="489"/>
      <c r="L49" s="489"/>
      <c r="M49" s="489"/>
      <c r="N49" s="489"/>
      <c r="O49" s="489"/>
      <c r="P49" s="506"/>
      <c r="Q49" s="490"/>
    </row>
    <row r="50" spans="1:17" ht="14.45" customHeight="1" x14ac:dyDescent="0.2">
      <c r="A50" s="484" t="s">
        <v>1137</v>
      </c>
      <c r="B50" s="485" t="s">
        <v>1046</v>
      </c>
      <c r="C50" s="485" t="s">
        <v>1020</v>
      </c>
      <c r="D50" s="485" t="s">
        <v>1062</v>
      </c>
      <c r="E50" s="485" t="s">
        <v>1063</v>
      </c>
      <c r="F50" s="489">
        <v>3</v>
      </c>
      <c r="G50" s="489">
        <v>20808</v>
      </c>
      <c r="H50" s="489">
        <v>2.7563915750430521</v>
      </c>
      <c r="I50" s="489">
        <v>6936</v>
      </c>
      <c r="J50" s="489">
        <v>1</v>
      </c>
      <c r="K50" s="489">
        <v>7549</v>
      </c>
      <c r="L50" s="489">
        <v>1</v>
      </c>
      <c r="M50" s="489">
        <v>7549</v>
      </c>
      <c r="N50" s="489">
        <v>2</v>
      </c>
      <c r="O50" s="489">
        <v>15188</v>
      </c>
      <c r="P50" s="506">
        <v>2.0119221088885944</v>
      </c>
      <c r="Q50" s="490">
        <v>7594</v>
      </c>
    </row>
    <row r="51" spans="1:17" ht="14.45" customHeight="1" x14ac:dyDescent="0.2">
      <c r="A51" s="484" t="s">
        <v>1137</v>
      </c>
      <c r="B51" s="485" t="s">
        <v>1046</v>
      </c>
      <c r="C51" s="485" t="s">
        <v>1020</v>
      </c>
      <c r="D51" s="485" t="s">
        <v>1064</v>
      </c>
      <c r="E51" s="485" t="s">
        <v>1065</v>
      </c>
      <c r="F51" s="489">
        <v>2</v>
      </c>
      <c r="G51" s="489">
        <v>7124</v>
      </c>
      <c r="H51" s="489"/>
      <c r="I51" s="489">
        <v>3562</v>
      </c>
      <c r="J51" s="489"/>
      <c r="K51" s="489"/>
      <c r="L51" s="489"/>
      <c r="M51" s="489"/>
      <c r="N51" s="489"/>
      <c r="O51" s="489"/>
      <c r="P51" s="506"/>
      <c r="Q51" s="490"/>
    </row>
    <row r="52" spans="1:17" ht="14.45" customHeight="1" x14ac:dyDescent="0.2">
      <c r="A52" s="484" t="s">
        <v>1137</v>
      </c>
      <c r="B52" s="485" t="s">
        <v>1046</v>
      </c>
      <c r="C52" s="485" t="s">
        <v>1020</v>
      </c>
      <c r="D52" s="485" t="s">
        <v>1082</v>
      </c>
      <c r="E52" s="485" t="s">
        <v>1083</v>
      </c>
      <c r="F52" s="489"/>
      <c r="G52" s="489"/>
      <c r="H52" s="489"/>
      <c r="I52" s="489"/>
      <c r="J52" s="489">
        <v>1</v>
      </c>
      <c r="K52" s="489">
        <v>1107</v>
      </c>
      <c r="L52" s="489">
        <v>1</v>
      </c>
      <c r="M52" s="489">
        <v>1107</v>
      </c>
      <c r="N52" s="489">
        <v>2</v>
      </c>
      <c r="O52" s="489">
        <v>2220</v>
      </c>
      <c r="P52" s="506">
        <v>2.0054200542005418</v>
      </c>
      <c r="Q52" s="490">
        <v>1110</v>
      </c>
    </row>
    <row r="53" spans="1:17" ht="14.45" customHeight="1" x14ac:dyDescent="0.2">
      <c r="A53" s="484" t="s">
        <v>1137</v>
      </c>
      <c r="B53" s="485" t="s">
        <v>1046</v>
      </c>
      <c r="C53" s="485" t="s">
        <v>1020</v>
      </c>
      <c r="D53" s="485" t="s">
        <v>1084</v>
      </c>
      <c r="E53" s="485" t="s">
        <v>1085</v>
      </c>
      <c r="F53" s="489"/>
      <c r="G53" s="489"/>
      <c r="H53" s="489"/>
      <c r="I53" s="489"/>
      <c r="J53" s="489"/>
      <c r="K53" s="489"/>
      <c r="L53" s="489"/>
      <c r="M53" s="489"/>
      <c r="N53" s="489">
        <v>5</v>
      </c>
      <c r="O53" s="489">
        <v>37235</v>
      </c>
      <c r="P53" s="506"/>
      <c r="Q53" s="490">
        <v>7447</v>
      </c>
    </row>
    <row r="54" spans="1:17" ht="14.45" customHeight="1" x14ac:dyDescent="0.2">
      <c r="A54" s="484" t="s">
        <v>1137</v>
      </c>
      <c r="B54" s="485" t="s">
        <v>1046</v>
      </c>
      <c r="C54" s="485" t="s">
        <v>1020</v>
      </c>
      <c r="D54" s="485" t="s">
        <v>1088</v>
      </c>
      <c r="E54" s="485" t="s">
        <v>1089</v>
      </c>
      <c r="F54" s="489"/>
      <c r="G54" s="489"/>
      <c r="H54" s="489"/>
      <c r="I54" s="489"/>
      <c r="J54" s="489"/>
      <c r="K54" s="489"/>
      <c r="L54" s="489"/>
      <c r="M54" s="489"/>
      <c r="N54" s="489">
        <v>15</v>
      </c>
      <c r="O54" s="489">
        <v>35985</v>
      </c>
      <c r="P54" s="506"/>
      <c r="Q54" s="490">
        <v>2399</v>
      </c>
    </row>
    <row r="55" spans="1:17" ht="14.45" customHeight="1" x14ac:dyDescent="0.2">
      <c r="A55" s="484" t="s">
        <v>1137</v>
      </c>
      <c r="B55" s="485" t="s">
        <v>1046</v>
      </c>
      <c r="C55" s="485" t="s">
        <v>1020</v>
      </c>
      <c r="D55" s="485" t="s">
        <v>1100</v>
      </c>
      <c r="E55" s="485" t="s">
        <v>1101</v>
      </c>
      <c r="F55" s="489"/>
      <c r="G55" s="489"/>
      <c r="H55" s="489"/>
      <c r="I55" s="489"/>
      <c r="J55" s="489"/>
      <c r="K55" s="489"/>
      <c r="L55" s="489"/>
      <c r="M55" s="489"/>
      <c r="N55" s="489">
        <v>0</v>
      </c>
      <c r="O55" s="489">
        <v>0</v>
      </c>
      <c r="P55" s="506"/>
      <c r="Q55" s="490"/>
    </row>
    <row r="56" spans="1:17" ht="14.45" customHeight="1" x14ac:dyDescent="0.2">
      <c r="A56" s="484" t="s">
        <v>1138</v>
      </c>
      <c r="B56" s="485" t="s">
        <v>1023</v>
      </c>
      <c r="C56" s="485" t="s">
        <v>1020</v>
      </c>
      <c r="D56" s="485" t="s">
        <v>1021</v>
      </c>
      <c r="E56" s="485" t="s">
        <v>1022</v>
      </c>
      <c r="F56" s="489"/>
      <c r="G56" s="489"/>
      <c r="H56" s="489"/>
      <c r="I56" s="489"/>
      <c r="J56" s="489">
        <v>1</v>
      </c>
      <c r="K56" s="489">
        <v>37</v>
      </c>
      <c r="L56" s="489">
        <v>1</v>
      </c>
      <c r="M56" s="489">
        <v>37</v>
      </c>
      <c r="N56" s="489"/>
      <c r="O56" s="489"/>
      <c r="P56" s="506"/>
      <c r="Q56" s="490"/>
    </row>
    <row r="57" spans="1:17" ht="14.45" customHeight="1" x14ac:dyDescent="0.2">
      <c r="A57" s="484" t="s">
        <v>1138</v>
      </c>
      <c r="B57" s="485" t="s">
        <v>1023</v>
      </c>
      <c r="C57" s="485" t="s">
        <v>1020</v>
      </c>
      <c r="D57" s="485" t="s">
        <v>1026</v>
      </c>
      <c r="E57" s="485" t="s">
        <v>1027</v>
      </c>
      <c r="F57" s="489">
        <v>1</v>
      </c>
      <c r="G57" s="489">
        <v>2480</v>
      </c>
      <c r="H57" s="489"/>
      <c r="I57" s="489">
        <v>2480</v>
      </c>
      <c r="J57" s="489"/>
      <c r="K57" s="489"/>
      <c r="L57" s="489"/>
      <c r="M57" s="489"/>
      <c r="N57" s="489">
        <v>2</v>
      </c>
      <c r="O57" s="489">
        <v>4996</v>
      </c>
      <c r="P57" s="506"/>
      <c r="Q57" s="490">
        <v>2498</v>
      </c>
    </row>
    <row r="58" spans="1:17" ht="14.45" customHeight="1" x14ac:dyDescent="0.2">
      <c r="A58" s="484" t="s">
        <v>1138</v>
      </c>
      <c r="B58" s="485" t="s">
        <v>1023</v>
      </c>
      <c r="C58" s="485" t="s">
        <v>1020</v>
      </c>
      <c r="D58" s="485" t="s">
        <v>1030</v>
      </c>
      <c r="E58" s="485" t="s">
        <v>1031</v>
      </c>
      <c r="F58" s="489"/>
      <c r="G58" s="489"/>
      <c r="H58" s="489"/>
      <c r="I58" s="489"/>
      <c r="J58" s="489">
        <v>1</v>
      </c>
      <c r="K58" s="489">
        <v>351</v>
      </c>
      <c r="L58" s="489">
        <v>1</v>
      </c>
      <c r="M58" s="489">
        <v>351</v>
      </c>
      <c r="N58" s="489">
        <v>1</v>
      </c>
      <c r="O58" s="489">
        <v>354</v>
      </c>
      <c r="P58" s="506">
        <v>1.0085470085470085</v>
      </c>
      <c r="Q58" s="490">
        <v>354</v>
      </c>
    </row>
    <row r="59" spans="1:17" ht="14.45" customHeight="1" x14ac:dyDescent="0.2">
      <c r="A59" s="484" t="s">
        <v>1138</v>
      </c>
      <c r="B59" s="485" t="s">
        <v>1023</v>
      </c>
      <c r="C59" s="485" t="s">
        <v>1020</v>
      </c>
      <c r="D59" s="485" t="s">
        <v>1034</v>
      </c>
      <c r="E59" s="485" t="s">
        <v>1035</v>
      </c>
      <c r="F59" s="489">
        <v>21</v>
      </c>
      <c r="G59" s="489">
        <v>31920</v>
      </c>
      <c r="H59" s="489">
        <v>0.91184368393989601</v>
      </c>
      <c r="I59" s="489">
        <v>1520</v>
      </c>
      <c r="J59" s="489">
        <v>23</v>
      </c>
      <c r="K59" s="489">
        <v>35006</v>
      </c>
      <c r="L59" s="489">
        <v>1</v>
      </c>
      <c r="M59" s="489">
        <v>1522</v>
      </c>
      <c r="N59" s="489">
        <v>37</v>
      </c>
      <c r="O59" s="489">
        <v>56573</v>
      </c>
      <c r="P59" s="506">
        <v>1.6160943838199167</v>
      </c>
      <c r="Q59" s="490">
        <v>1529</v>
      </c>
    </row>
    <row r="60" spans="1:17" ht="14.45" customHeight="1" x14ac:dyDescent="0.2">
      <c r="A60" s="484" t="s">
        <v>1138</v>
      </c>
      <c r="B60" s="485" t="s">
        <v>1046</v>
      </c>
      <c r="C60" s="485" t="s">
        <v>1020</v>
      </c>
      <c r="D60" s="485" t="s">
        <v>1051</v>
      </c>
      <c r="E60" s="485"/>
      <c r="F60" s="489">
        <v>21</v>
      </c>
      <c r="G60" s="489">
        <v>26985</v>
      </c>
      <c r="H60" s="489"/>
      <c r="I60" s="489">
        <v>1285</v>
      </c>
      <c r="J60" s="489"/>
      <c r="K60" s="489"/>
      <c r="L60" s="489"/>
      <c r="M60" s="489"/>
      <c r="N60" s="489"/>
      <c r="O60" s="489"/>
      <c r="P60" s="506"/>
      <c r="Q60" s="490"/>
    </row>
    <row r="61" spans="1:17" ht="14.45" customHeight="1" x14ac:dyDescent="0.2">
      <c r="A61" s="484" t="s">
        <v>1138</v>
      </c>
      <c r="B61" s="485" t="s">
        <v>1046</v>
      </c>
      <c r="C61" s="485" t="s">
        <v>1020</v>
      </c>
      <c r="D61" s="485" t="s">
        <v>1082</v>
      </c>
      <c r="E61" s="485" t="s">
        <v>1083</v>
      </c>
      <c r="F61" s="489"/>
      <c r="G61" s="489"/>
      <c r="H61" s="489"/>
      <c r="I61" s="489"/>
      <c r="J61" s="489">
        <v>15</v>
      </c>
      <c r="K61" s="489">
        <v>16605</v>
      </c>
      <c r="L61" s="489">
        <v>1</v>
      </c>
      <c r="M61" s="489">
        <v>1107</v>
      </c>
      <c r="N61" s="489">
        <v>3</v>
      </c>
      <c r="O61" s="489">
        <v>3330</v>
      </c>
      <c r="P61" s="506">
        <v>0.20054200542005421</v>
      </c>
      <c r="Q61" s="490">
        <v>1110</v>
      </c>
    </row>
    <row r="62" spans="1:17" ht="14.45" customHeight="1" x14ac:dyDescent="0.2">
      <c r="A62" s="484" t="s">
        <v>1138</v>
      </c>
      <c r="B62" s="485" t="s">
        <v>1046</v>
      </c>
      <c r="C62" s="485" t="s">
        <v>1020</v>
      </c>
      <c r="D62" s="485" t="s">
        <v>1084</v>
      </c>
      <c r="E62" s="485" t="s">
        <v>1085</v>
      </c>
      <c r="F62" s="489"/>
      <c r="G62" s="489"/>
      <c r="H62" s="489"/>
      <c r="I62" s="489"/>
      <c r="J62" s="489">
        <v>2</v>
      </c>
      <c r="K62" s="489">
        <v>14860</v>
      </c>
      <c r="L62" s="489">
        <v>1</v>
      </c>
      <c r="M62" s="489">
        <v>7430</v>
      </c>
      <c r="N62" s="489"/>
      <c r="O62" s="489"/>
      <c r="P62" s="506"/>
      <c r="Q62" s="490"/>
    </row>
    <row r="63" spans="1:17" ht="14.45" customHeight="1" x14ac:dyDescent="0.2">
      <c r="A63" s="484" t="s">
        <v>1138</v>
      </c>
      <c r="B63" s="485" t="s">
        <v>1046</v>
      </c>
      <c r="C63" s="485" t="s">
        <v>1020</v>
      </c>
      <c r="D63" s="485" t="s">
        <v>1086</v>
      </c>
      <c r="E63" s="485" t="s">
        <v>1087</v>
      </c>
      <c r="F63" s="489"/>
      <c r="G63" s="489"/>
      <c r="H63" s="489"/>
      <c r="I63" s="489"/>
      <c r="J63" s="489"/>
      <c r="K63" s="489"/>
      <c r="L63" s="489"/>
      <c r="M63" s="489"/>
      <c r="N63" s="489">
        <v>2</v>
      </c>
      <c r="O63" s="489">
        <v>7678</v>
      </c>
      <c r="P63" s="506"/>
      <c r="Q63" s="490">
        <v>3839</v>
      </c>
    </row>
    <row r="64" spans="1:17" ht="14.45" customHeight="1" x14ac:dyDescent="0.2">
      <c r="A64" s="484" t="s">
        <v>1139</v>
      </c>
      <c r="B64" s="485" t="s">
        <v>1023</v>
      </c>
      <c r="C64" s="485" t="s">
        <v>1020</v>
      </c>
      <c r="D64" s="485" t="s">
        <v>1034</v>
      </c>
      <c r="E64" s="485" t="s">
        <v>1035</v>
      </c>
      <c r="F64" s="489">
        <v>1</v>
      </c>
      <c r="G64" s="489">
        <v>1520</v>
      </c>
      <c r="H64" s="489"/>
      <c r="I64" s="489">
        <v>1520</v>
      </c>
      <c r="J64" s="489"/>
      <c r="K64" s="489"/>
      <c r="L64" s="489"/>
      <c r="M64" s="489"/>
      <c r="N64" s="489"/>
      <c r="O64" s="489"/>
      <c r="P64" s="506"/>
      <c r="Q64" s="490"/>
    </row>
    <row r="65" spans="1:17" ht="14.45" customHeight="1" x14ac:dyDescent="0.2">
      <c r="A65" s="484" t="s">
        <v>1140</v>
      </c>
      <c r="B65" s="485" t="s">
        <v>1023</v>
      </c>
      <c r="C65" s="485" t="s">
        <v>1020</v>
      </c>
      <c r="D65" s="485" t="s">
        <v>1030</v>
      </c>
      <c r="E65" s="485" t="s">
        <v>1031</v>
      </c>
      <c r="F65" s="489"/>
      <c r="G65" s="489"/>
      <c r="H65" s="489"/>
      <c r="I65" s="489"/>
      <c r="J65" s="489"/>
      <c r="K65" s="489"/>
      <c r="L65" s="489"/>
      <c r="M65" s="489"/>
      <c r="N65" s="489">
        <v>2</v>
      </c>
      <c r="O65" s="489">
        <v>708</v>
      </c>
      <c r="P65" s="506"/>
      <c r="Q65" s="490">
        <v>354</v>
      </c>
    </row>
    <row r="66" spans="1:17" ht="14.45" customHeight="1" x14ac:dyDescent="0.2">
      <c r="A66" s="484" t="s">
        <v>1141</v>
      </c>
      <c r="B66" s="485" t="s">
        <v>1023</v>
      </c>
      <c r="C66" s="485" t="s">
        <v>1020</v>
      </c>
      <c r="D66" s="485" t="s">
        <v>1026</v>
      </c>
      <c r="E66" s="485" t="s">
        <v>1027</v>
      </c>
      <c r="F66" s="489"/>
      <c r="G66" s="489"/>
      <c r="H66" s="489"/>
      <c r="I66" s="489"/>
      <c r="J66" s="489">
        <v>1</v>
      </c>
      <c r="K66" s="489">
        <v>2483</v>
      </c>
      <c r="L66" s="489">
        <v>1</v>
      </c>
      <c r="M66" s="489">
        <v>2483</v>
      </c>
      <c r="N66" s="489"/>
      <c r="O66" s="489"/>
      <c r="P66" s="506"/>
      <c r="Q66" s="490"/>
    </row>
    <row r="67" spans="1:17" ht="14.45" customHeight="1" x14ac:dyDescent="0.2">
      <c r="A67" s="484" t="s">
        <v>1141</v>
      </c>
      <c r="B67" s="485" t="s">
        <v>1023</v>
      </c>
      <c r="C67" s="485" t="s">
        <v>1020</v>
      </c>
      <c r="D67" s="485" t="s">
        <v>1034</v>
      </c>
      <c r="E67" s="485" t="s">
        <v>1035</v>
      </c>
      <c r="F67" s="489">
        <v>2</v>
      </c>
      <c r="G67" s="489">
        <v>3040</v>
      </c>
      <c r="H67" s="489">
        <v>0.99868593955321949</v>
      </c>
      <c r="I67" s="489">
        <v>1520</v>
      </c>
      <c r="J67" s="489">
        <v>2</v>
      </c>
      <c r="K67" s="489">
        <v>3044</v>
      </c>
      <c r="L67" s="489">
        <v>1</v>
      </c>
      <c r="M67" s="489">
        <v>1522</v>
      </c>
      <c r="N67" s="489">
        <v>1</v>
      </c>
      <c r="O67" s="489">
        <v>1529</v>
      </c>
      <c r="P67" s="506">
        <v>0.50229960578186594</v>
      </c>
      <c r="Q67" s="490">
        <v>1529</v>
      </c>
    </row>
    <row r="68" spans="1:17" ht="14.45" customHeight="1" x14ac:dyDescent="0.2">
      <c r="A68" s="484" t="s">
        <v>1141</v>
      </c>
      <c r="B68" s="485" t="s">
        <v>1046</v>
      </c>
      <c r="C68" s="485" t="s">
        <v>1020</v>
      </c>
      <c r="D68" s="485" t="s">
        <v>1051</v>
      </c>
      <c r="E68" s="485"/>
      <c r="F68" s="489">
        <v>1</v>
      </c>
      <c r="G68" s="489">
        <v>1285</v>
      </c>
      <c r="H68" s="489"/>
      <c r="I68" s="489">
        <v>1285</v>
      </c>
      <c r="J68" s="489"/>
      <c r="K68" s="489"/>
      <c r="L68" s="489"/>
      <c r="M68" s="489"/>
      <c r="N68" s="489"/>
      <c r="O68" s="489"/>
      <c r="P68" s="506"/>
      <c r="Q68" s="490"/>
    </row>
    <row r="69" spans="1:17" ht="14.45" customHeight="1" x14ac:dyDescent="0.2">
      <c r="A69" s="484" t="s">
        <v>1141</v>
      </c>
      <c r="B69" s="485" t="s">
        <v>1046</v>
      </c>
      <c r="C69" s="485" t="s">
        <v>1020</v>
      </c>
      <c r="D69" s="485" t="s">
        <v>1082</v>
      </c>
      <c r="E69" s="485" t="s">
        <v>1083</v>
      </c>
      <c r="F69" s="489"/>
      <c r="G69" s="489"/>
      <c r="H69" s="489"/>
      <c r="I69" s="489"/>
      <c r="J69" s="489">
        <v>1</v>
      </c>
      <c r="K69" s="489">
        <v>1107</v>
      </c>
      <c r="L69" s="489">
        <v>1</v>
      </c>
      <c r="M69" s="489">
        <v>1107</v>
      </c>
      <c r="N69" s="489"/>
      <c r="O69" s="489"/>
      <c r="P69" s="506"/>
      <c r="Q69" s="490"/>
    </row>
    <row r="70" spans="1:17" ht="14.45" customHeight="1" x14ac:dyDescent="0.2">
      <c r="A70" s="484" t="s">
        <v>1142</v>
      </c>
      <c r="B70" s="485" t="s">
        <v>1023</v>
      </c>
      <c r="C70" s="485" t="s">
        <v>1020</v>
      </c>
      <c r="D70" s="485" t="s">
        <v>1034</v>
      </c>
      <c r="E70" s="485" t="s">
        <v>1035</v>
      </c>
      <c r="F70" s="489"/>
      <c r="G70" s="489"/>
      <c r="H70" s="489"/>
      <c r="I70" s="489"/>
      <c r="J70" s="489">
        <v>1</v>
      </c>
      <c r="K70" s="489">
        <v>1522</v>
      </c>
      <c r="L70" s="489">
        <v>1</v>
      </c>
      <c r="M70" s="489">
        <v>1522</v>
      </c>
      <c r="N70" s="489"/>
      <c r="O70" s="489"/>
      <c r="P70" s="506"/>
      <c r="Q70" s="490"/>
    </row>
    <row r="71" spans="1:17" ht="14.45" customHeight="1" thickBot="1" x14ac:dyDescent="0.25">
      <c r="A71" s="491" t="s">
        <v>1142</v>
      </c>
      <c r="B71" s="492" t="s">
        <v>1046</v>
      </c>
      <c r="C71" s="492" t="s">
        <v>1020</v>
      </c>
      <c r="D71" s="492" t="s">
        <v>1082</v>
      </c>
      <c r="E71" s="492" t="s">
        <v>1083</v>
      </c>
      <c r="F71" s="496"/>
      <c r="G71" s="496"/>
      <c r="H71" s="496"/>
      <c r="I71" s="496"/>
      <c r="J71" s="496">
        <v>1</v>
      </c>
      <c r="K71" s="496">
        <v>1107</v>
      </c>
      <c r="L71" s="496">
        <v>1</v>
      </c>
      <c r="M71" s="496">
        <v>1107</v>
      </c>
      <c r="N71" s="496"/>
      <c r="O71" s="496"/>
      <c r="P71" s="508"/>
      <c r="Q71" s="497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6F0F3E0B-6AA2-4E9B-AC7A-247D7165336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8" bestFit="1" customWidth="1"/>
    <col min="2" max="2" width="9.5703125" style="118" hidden="1" customWidth="1" outlineLevel="1"/>
    <col min="3" max="3" width="9.5703125" style="118" customWidth="1" collapsed="1"/>
    <col min="4" max="4" width="2.28515625" style="118" customWidth="1"/>
    <col min="5" max="8" width="9.5703125" style="118" customWidth="1"/>
    <col min="9" max="10" width="9.7109375" style="118" hidden="1" customWidth="1" outlineLevel="1"/>
    <col min="11" max="11" width="8.85546875" style="118" collapsed="1"/>
    <col min="12" max="16384" width="8.85546875" style="118"/>
  </cols>
  <sheetData>
    <row r="1" spans="1:10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45" customHeight="1" thickBot="1" x14ac:dyDescent="0.25">
      <c r="A2" s="221" t="s">
        <v>256</v>
      </c>
      <c r="B2" s="100"/>
      <c r="C2" s="100"/>
      <c r="D2" s="100"/>
      <c r="E2" s="100"/>
      <c r="F2" s="100"/>
    </row>
    <row r="3" spans="1:10" ht="14.45" customHeight="1" x14ac:dyDescent="0.2">
      <c r="A3" s="320"/>
      <c r="B3" s="96">
        <v>2015</v>
      </c>
      <c r="C3" s="40">
        <v>2018</v>
      </c>
      <c r="D3" s="7"/>
      <c r="E3" s="324">
        <v>2019</v>
      </c>
      <c r="F3" s="325"/>
      <c r="G3" s="325"/>
      <c r="H3" s="326"/>
      <c r="I3" s="327">
        <v>2017</v>
      </c>
      <c r="J3" s="328"/>
    </row>
    <row r="4" spans="1:10" ht="14.45" customHeight="1" thickBot="1" x14ac:dyDescent="0.25">
      <c r="A4" s="321"/>
      <c r="B4" s="322" t="s">
        <v>72</v>
      </c>
      <c r="C4" s="323"/>
      <c r="D4" s="7"/>
      <c r="E4" s="117" t="s">
        <v>72</v>
      </c>
      <c r="F4" s="98" t="s">
        <v>73</v>
      </c>
      <c r="G4" s="98" t="s">
        <v>67</v>
      </c>
      <c r="H4" s="99" t="s">
        <v>74</v>
      </c>
      <c r="I4" s="257" t="s">
        <v>200</v>
      </c>
      <c r="J4" s="258" t="s">
        <v>201</v>
      </c>
    </row>
    <row r="5" spans="1:10" ht="14.45" customHeight="1" x14ac:dyDescent="0.2">
      <c r="A5" s="101" t="str">
        <f>HYPERLINK("#'Léky Žádanky'!A1","Léky (Kč)")</f>
        <v>Léky (Kč)</v>
      </c>
      <c r="B5" s="27">
        <v>21.321629999999995</v>
      </c>
      <c r="C5" s="29">
        <v>21.575989999999997</v>
      </c>
      <c r="D5" s="8"/>
      <c r="E5" s="106">
        <v>21.338940000000001</v>
      </c>
      <c r="F5" s="28">
        <v>26.666668609619141</v>
      </c>
      <c r="G5" s="105">
        <f>E5-F5</f>
        <v>-5.3277286096191396</v>
      </c>
      <c r="H5" s="111">
        <f>IF(F5&lt;0.00000001,"",E5/F5)</f>
        <v>0.80021019169611107</v>
      </c>
    </row>
    <row r="6" spans="1:10" ht="14.45" customHeight="1" x14ac:dyDescent="0.2">
      <c r="A6" s="101" t="str">
        <f>HYPERLINK("#'Materiál Žádanky'!A1","Materiál - SZM (Kč)")</f>
        <v>Materiál - SZM (Kč)</v>
      </c>
      <c r="B6" s="10">
        <v>2491.5749200000005</v>
      </c>
      <c r="C6" s="31">
        <v>1987.6022199999995</v>
      </c>
      <c r="D6" s="8"/>
      <c r="E6" s="107">
        <v>2148.2716699999996</v>
      </c>
      <c r="F6" s="30">
        <v>2416.6667564086911</v>
      </c>
      <c r="G6" s="108">
        <f>E6-F6</f>
        <v>-268.39508640869144</v>
      </c>
      <c r="H6" s="112">
        <f>IF(F6&lt;0.00000001,"",E6/F6)</f>
        <v>0.8889399683688527</v>
      </c>
    </row>
    <row r="7" spans="1:10" ht="14.45" customHeight="1" x14ac:dyDescent="0.2">
      <c r="A7" s="101" t="str">
        <f>HYPERLINK("#'Osobní náklady'!A1","Osobní náklady (Kč) *")</f>
        <v>Osobní náklady (Kč) *</v>
      </c>
      <c r="B7" s="10">
        <v>12196.927720000002</v>
      </c>
      <c r="C7" s="31">
        <v>13128.547019999998</v>
      </c>
      <c r="D7" s="8"/>
      <c r="E7" s="107">
        <v>14061.096900000002</v>
      </c>
      <c r="F7" s="30">
        <v>15344.430433898928</v>
      </c>
      <c r="G7" s="108">
        <f>E7-F7</f>
        <v>-1283.3335338989255</v>
      </c>
      <c r="H7" s="112">
        <f>IF(F7&lt;0.00000001,"",E7/F7)</f>
        <v>0.91636486349706514</v>
      </c>
    </row>
    <row r="8" spans="1:10" ht="14.45" customHeight="1" thickBot="1" x14ac:dyDescent="0.25">
      <c r="A8" s="1" t="s">
        <v>75</v>
      </c>
      <c r="B8" s="11">
        <v>2017.0466399999955</v>
      </c>
      <c r="C8" s="33">
        <v>2309.3408900000049</v>
      </c>
      <c r="D8" s="8"/>
      <c r="E8" s="109">
        <v>2026.8427599999982</v>
      </c>
      <c r="F8" s="32">
        <v>2585.277183805465</v>
      </c>
      <c r="G8" s="110">
        <f>E8-F8</f>
        <v>-558.43442380546685</v>
      </c>
      <c r="H8" s="113">
        <f>IF(F8&lt;0.00000001,"",E8/F8)</f>
        <v>0.78399437116314741</v>
      </c>
    </row>
    <row r="9" spans="1:10" ht="14.45" customHeight="1" thickBot="1" x14ac:dyDescent="0.25">
      <c r="A9" s="2" t="s">
        <v>76</v>
      </c>
      <c r="B9" s="3">
        <v>16726.870909999998</v>
      </c>
      <c r="C9" s="35">
        <v>17447.066120000003</v>
      </c>
      <c r="D9" s="8"/>
      <c r="E9" s="3">
        <v>18257.55027</v>
      </c>
      <c r="F9" s="34">
        <v>20373.041042722703</v>
      </c>
      <c r="G9" s="34">
        <f>E9-F9</f>
        <v>-2115.4907727227037</v>
      </c>
      <c r="H9" s="114">
        <f>IF(F9&lt;0.00000001,"",E9/F9)</f>
        <v>0.89616224851820236</v>
      </c>
    </row>
    <row r="10" spans="1:10" ht="14.45" customHeight="1" thickBot="1" x14ac:dyDescent="0.25">
      <c r="A10" s="12"/>
      <c r="B10" s="12"/>
      <c r="C10" s="97"/>
      <c r="D10" s="8"/>
      <c r="E10" s="12"/>
      <c r="F10" s="13"/>
    </row>
    <row r="11" spans="1:10" ht="14.45" customHeight="1" x14ac:dyDescent="0.2">
      <c r="A11" s="121" t="str">
        <f>HYPERLINK("#'ZV Vykáz.-A'!A1","Ambulance *")</f>
        <v>Ambulance *</v>
      </c>
      <c r="B11" s="9">
        <f>IF(ISERROR(VLOOKUP("Celkem:",'ZV Vykáz.-A'!A:H,2,0)),0,VLOOKUP("Celkem:",'ZV Vykáz.-A'!A:H,2,0)/1000)</f>
        <v>50066.915650000003</v>
      </c>
      <c r="C11" s="29">
        <f>IF(ISERROR(VLOOKUP("Celkem:",'ZV Vykáz.-A'!A:H,5,0)),0,VLOOKUP("Celkem:",'ZV Vykáz.-A'!A:H,5,0)/1000)</f>
        <v>27201.842130000012</v>
      </c>
      <c r="D11" s="8"/>
      <c r="E11" s="106">
        <f>IF(ISERROR(VLOOKUP("Celkem:",'ZV Vykáz.-A'!A:H,8,0)),0,VLOOKUP("Celkem:",'ZV Vykáz.-A'!A:H,8,0)/1000)</f>
        <v>32730.191689999996</v>
      </c>
      <c r="F11" s="28">
        <f>C11</f>
        <v>27201.842130000012</v>
      </c>
      <c r="G11" s="105">
        <f>E11-F11</f>
        <v>5528.3495599999842</v>
      </c>
      <c r="H11" s="111">
        <f>IF(F11&lt;0.00000001,"",E11/F11)</f>
        <v>1.2032343814650315</v>
      </c>
      <c r="I11" s="105">
        <f>E11-B11</f>
        <v>-17336.723960000007</v>
      </c>
      <c r="J11" s="111">
        <f>IF(B11&lt;0.00000001,"",E11/B11)</f>
        <v>0.65372893986130731</v>
      </c>
    </row>
    <row r="12" spans="1:10" ht="14.45" customHeight="1" thickBot="1" x14ac:dyDescent="0.25">
      <c r="A12" s="122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9">
        <f>IF(ISERROR(VLOOKUP("Celkem",#REF!,4,0)),0,VLOOKUP("Celkem",#REF!,4,0)*30)</f>
        <v>0</v>
      </c>
      <c r="F12" s="32">
        <f>C12</f>
        <v>0</v>
      </c>
      <c r="G12" s="110">
        <f>E12-F12</f>
        <v>0</v>
      </c>
      <c r="H12" s="113" t="str">
        <f>IF(F12&lt;0.00000001,"",E12/F12)</f>
        <v/>
      </c>
      <c r="I12" s="110">
        <f>E12-B12</f>
        <v>0</v>
      </c>
      <c r="J12" s="113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50066.915650000003</v>
      </c>
      <c r="C13" s="37">
        <f>SUM(C11:C12)</f>
        <v>27201.842130000012</v>
      </c>
      <c r="D13" s="8"/>
      <c r="E13" s="5">
        <f>SUM(E11:E12)</f>
        <v>32730.191689999996</v>
      </c>
      <c r="F13" s="36">
        <f>SUM(F11:F12)</f>
        <v>27201.842130000012</v>
      </c>
      <c r="G13" s="36">
        <f>E13-F13</f>
        <v>5528.3495599999842</v>
      </c>
      <c r="H13" s="115">
        <f>IF(F13&lt;0.00000001,"",E13/F13)</f>
        <v>1.2032343814650315</v>
      </c>
      <c r="I13" s="36">
        <f>SUM(I11:I12)</f>
        <v>-17336.723960000007</v>
      </c>
      <c r="J13" s="115">
        <f>IF(B13&lt;0.00000001,"",E13/B13)</f>
        <v>0.65372893986130731</v>
      </c>
    </row>
    <row r="14" spans="1:10" ht="14.45" customHeight="1" thickBot="1" x14ac:dyDescent="0.25">
      <c r="A14" s="12"/>
      <c r="B14" s="12"/>
      <c r="C14" s="97"/>
      <c r="D14" s="8"/>
      <c r="E14" s="12"/>
      <c r="F14" s="13"/>
    </row>
    <row r="15" spans="1:10" ht="14.45" customHeight="1" thickBot="1" x14ac:dyDescent="0.25">
      <c r="A15" s="123" t="str">
        <f>HYPERLINK("#'HI Graf'!A1","Hospodářský index (Výnosy / Náklady) *")</f>
        <v>Hospodářský index (Výnosy / Náklady) *</v>
      </c>
      <c r="B15" s="6">
        <f>IF(B9=0,"",B13/B9)</f>
        <v>2.9932027286746132</v>
      </c>
      <c r="C15" s="39">
        <f>IF(C9=0,"",C13/C9)</f>
        <v>1.559106954883255</v>
      </c>
      <c r="D15" s="8"/>
      <c r="E15" s="6">
        <f>IF(E9=0,"",E13/E9)</f>
        <v>1.7926934997287562</v>
      </c>
      <c r="F15" s="38">
        <f>IF(F9=0,"",F13/F9)</f>
        <v>1.3351881082925796</v>
      </c>
      <c r="G15" s="38">
        <f>IF(ISERROR(F15-E15),"",E15-F15)</f>
        <v>0.45750539143617663</v>
      </c>
      <c r="H15" s="116">
        <f>IF(ISERROR(F15-E15),"",IF(F15&lt;0.00000001,"",E15/F15))</f>
        <v>1.342652386277787</v>
      </c>
    </row>
    <row r="17" spans="1:8" ht="14.45" customHeight="1" x14ac:dyDescent="0.2">
      <c r="A17" s="102" t="s">
        <v>148</v>
      </c>
    </row>
    <row r="18" spans="1:8" ht="14.45" customHeight="1" x14ac:dyDescent="0.25">
      <c r="A18" s="224" t="s">
        <v>174</v>
      </c>
      <c r="B18" s="225"/>
      <c r="C18" s="225"/>
      <c r="D18" s="225"/>
      <c r="E18" s="225"/>
      <c r="F18" s="225"/>
      <c r="G18" s="225"/>
      <c r="H18" s="225"/>
    </row>
    <row r="19" spans="1:8" ht="15" x14ac:dyDescent="0.25">
      <c r="A19" s="223" t="s">
        <v>173</v>
      </c>
      <c r="B19" s="225"/>
      <c r="C19" s="225"/>
      <c r="D19" s="225"/>
      <c r="E19" s="225"/>
      <c r="F19" s="225"/>
      <c r="G19" s="225"/>
      <c r="H19" s="225"/>
    </row>
    <row r="20" spans="1:8" ht="14.45" customHeight="1" x14ac:dyDescent="0.2">
      <c r="A20" s="103" t="s">
        <v>193</v>
      </c>
    </row>
    <row r="21" spans="1:8" ht="14.45" customHeight="1" x14ac:dyDescent="0.2">
      <c r="A21" s="103" t="s">
        <v>149</v>
      </c>
    </row>
    <row r="22" spans="1:8" ht="14.45" customHeight="1" x14ac:dyDescent="0.2">
      <c r="A22" s="104" t="s">
        <v>235</v>
      </c>
    </row>
    <row r="23" spans="1:8" ht="14.45" customHeight="1" x14ac:dyDescent="0.2">
      <c r="A23" s="104" t="s">
        <v>150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7" priority="8" operator="greaterThan">
      <formula>0</formula>
    </cfRule>
  </conditionalFormatting>
  <conditionalFormatting sqref="G11:G13 G15">
    <cfRule type="cellIs" dxfId="56" priority="7" operator="lessThan">
      <formula>0</formula>
    </cfRule>
  </conditionalFormatting>
  <conditionalFormatting sqref="H5:H9">
    <cfRule type="cellIs" dxfId="55" priority="6" operator="greaterThan">
      <formula>1</formula>
    </cfRule>
  </conditionalFormatting>
  <conditionalFormatting sqref="H11:H13 H15">
    <cfRule type="cellIs" dxfId="54" priority="5" operator="lessThan">
      <formula>1</formula>
    </cfRule>
  </conditionalFormatting>
  <conditionalFormatting sqref="I11:I13">
    <cfRule type="cellIs" dxfId="53" priority="4" operator="lessThan">
      <formula>0</formula>
    </cfRule>
  </conditionalFormatting>
  <conditionalFormatting sqref="J11:J13">
    <cfRule type="cellIs" dxfId="52" priority="3" operator="lessThan">
      <formula>1</formula>
    </cfRule>
  </conditionalFormatting>
  <hyperlinks>
    <hyperlink ref="A2" location="Obsah!A1" display="Zpět na Obsah  KL 01  1.-4.měsíc" xr:uid="{F701F43B-E22D-4DA0-B131-1DC261EF89B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8"/>
    <col min="2" max="13" width="8.85546875" style="118" customWidth="1"/>
    <col min="14" max="16384" width="8.85546875" style="118"/>
  </cols>
  <sheetData>
    <row r="1" spans="1:13" ht="18.600000000000001" customHeight="1" thickBot="1" x14ac:dyDescent="0.35">
      <c r="A1" s="318" t="s">
        <v>103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3" ht="14.45" customHeight="1" x14ac:dyDescent="0.2">
      <c r="A2" s="221" t="s">
        <v>256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45" customHeight="1" x14ac:dyDescent="0.2">
      <c r="A3" s="187"/>
      <c r="B3" s="188" t="s">
        <v>81</v>
      </c>
      <c r="C3" s="189" t="s">
        <v>82</v>
      </c>
      <c r="D3" s="189" t="s">
        <v>83</v>
      </c>
      <c r="E3" s="188" t="s">
        <v>84</v>
      </c>
      <c r="F3" s="189" t="s">
        <v>85</v>
      </c>
      <c r="G3" s="189" t="s">
        <v>86</v>
      </c>
      <c r="H3" s="189" t="s">
        <v>87</v>
      </c>
      <c r="I3" s="189" t="s">
        <v>88</v>
      </c>
      <c r="J3" s="189" t="s">
        <v>89</v>
      </c>
      <c r="K3" s="189" t="s">
        <v>90</v>
      </c>
      <c r="L3" s="189" t="s">
        <v>91</v>
      </c>
      <c r="M3" s="189" t="s">
        <v>92</v>
      </c>
    </row>
    <row r="4" spans="1:13" ht="14.45" customHeight="1" x14ac:dyDescent="0.2">
      <c r="A4" s="187" t="s">
        <v>80</v>
      </c>
      <c r="B4" s="190">
        <f>(B10+B8)/B6</f>
        <v>2.0408482113497013</v>
      </c>
      <c r="C4" s="190">
        <f t="shared" ref="C4:M4" si="0">(C10+C8)/C6</f>
        <v>2.1235153454194795</v>
      </c>
      <c r="D4" s="190">
        <f t="shared" si="0"/>
        <v>1.970642407579519</v>
      </c>
      <c r="E4" s="190">
        <f t="shared" si="0"/>
        <v>1.9889428456076297</v>
      </c>
      <c r="F4" s="190">
        <f t="shared" si="0"/>
        <v>2.0264420604710969</v>
      </c>
      <c r="G4" s="190">
        <f t="shared" si="0"/>
        <v>1.9471314057541067</v>
      </c>
      <c r="H4" s="190">
        <f t="shared" si="0"/>
        <v>1.8367594255314841</v>
      </c>
      <c r="I4" s="190">
        <f t="shared" si="0"/>
        <v>1.7926934816540454</v>
      </c>
      <c r="J4" s="190">
        <f t="shared" si="0"/>
        <v>1.7926934816540454</v>
      </c>
      <c r="K4" s="190">
        <f t="shared" si="0"/>
        <v>1.7926934816540454</v>
      </c>
      <c r="L4" s="190">
        <f t="shared" si="0"/>
        <v>1.7926934816540454</v>
      </c>
      <c r="M4" s="190">
        <f t="shared" si="0"/>
        <v>1.7926934816540454</v>
      </c>
    </row>
    <row r="5" spans="1:13" ht="14.45" customHeight="1" x14ac:dyDescent="0.2">
      <c r="A5" s="191" t="s">
        <v>53</v>
      </c>
      <c r="B5" s="190">
        <f>IF(ISERROR(VLOOKUP($A5,'Man Tab'!$A:$Q,COLUMN()+2,0)),0,VLOOKUP($A5,'Man Tab'!$A:$Q,COLUMN()+2,0))</f>
        <v>2337.8088499999999</v>
      </c>
      <c r="C5" s="190">
        <f>IF(ISERROR(VLOOKUP($A5,'Man Tab'!$A:$Q,COLUMN()+2,0)),0,VLOOKUP($A5,'Man Tab'!$A:$Q,COLUMN()+2,0))</f>
        <v>2001.93208</v>
      </c>
      <c r="D5" s="190">
        <f>IF(ISERROR(VLOOKUP($A5,'Man Tab'!$A:$Q,COLUMN()+2,0)),0,VLOOKUP($A5,'Man Tab'!$A:$Q,COLUMN()+2,0))</f>
        <v>2353.9574899999898</v>
      </c>
      <c r="E5" s="190">
        <f>IF(ISERROR(VLOOKUP($A5,'Man Tab'!$A:$Q,COLUMN()+2,0)),0,VLOOKUP($A5,'Man Tab'!$A:$Q,COLUMN()+2,0))</f>
        <v>2035.3349799999901</v>
      </c>
      <c r="F5" s="190">
        <f>IF(ISERROR(VLOOKUP($A5,'Man Tab'!$A:$Q,COLUMN()+2,0)),0,VLOOKUP($A5,'Man Tab'!$A:$Q,COLUMN()+2,0))</f>
        <v>2075.77511</v>
      </c>
      <c r="G5" s="190">
        <f>IF(ISERROR(VLOOKUP($A5,'Man Tab'!$A:$Q,COLUMN()+2,0)),0,VLOOKUP($A5,'Man Tab'!$A:$Q,COLUMN()+2,0))</f>
        <v>2316.1677499999901</v>
      </c>
      <c r="H5" s="190">
        <f>IF(ISERROR(VLOOKUP($A5,'Man Tab'!$A:$Q,COLUMN()+2,0)),0,VLOOKUP($A5,'Man Tab'!$A:$Q,COLUMN()+2,0))</f>
        <v>2793.2486100000001</v>
      </c>
      <c r="I5" s="190">
        <f>IF(ISERROR(VLOOKUP($A5,'Man Tab'!$A:$Q,COLUMN()+2,0)),0,VLOOKUP($A5,'Man Tab'!$A:$Q,COLUMN()+2,0))</f>
        <v>2343.3254000000002</v>
      </c>
      <c r="J5" s="190">
        <f>IF(ISERROR(VLOOKUP($A5,'Man Tab'!$A:$Q,COLUMN()+2,0)),0,VLOOKUP($A5,'Man Tab'!$A:$Q,COLUMN()+2,0))</f>
        <v>0</v>
      </c>
      <c r="K5" s="190">
        <f>IF(ISERROR(VLOOKUP($A5,'Man Tab'!$A:$Q,COLUMN()+2,0)),0,VLOOKUP($A5,'Man Tab'!$A:$Q,COLUMN()+2,0))</f>
        <v>0</v>
      </c>
      <c r="L5" s="190">
        <f>IF(ISERROR(VLOOKUP($A5,'Man Tab'!$A:$Q,COLUMN()+2,0)),0,VLOOKUP($A5,'Man Tab'!$A:$Q,COLUMN()+2,0))</f>
        <v>0</v>
      </c>
      <c r="M5" s="190">
        <f>IF(ISERROR(VLOOKUP($A5,'Man Tab'!$A:$Q,COLUMN()+2,0)),0,VLOOKUP($A5,'Man Tab'!$A:$Q,COLUMN()+2,0))</f>
        <v>0</v>
      </c>
    </row>
    <row r="6" spans="1:13" ht="14.45" customHeight="1" x14ac:dyDescent="0.2">
      <c r="A6" s="191" t="s">
        <v>76</v>
      </c>
      <c r="B6" s="192">
        <f>B5</f>
        <v>2337.8088499999999</v>
      </c>
      <c r="C6" s="192">
        <f t="shared" ref="C6:M6" si="1">C5+B6</f>
        <v>4339.7409299999999</v>
      </c>
      <c r="D6" s="192">
        <f t="shared" si="1"/>
        <v>6693.6984199999897</v>
      </c>
      <c r="E6" s="192">
        <f t="shared" si="1"/>
        <v>8729.0333999999802</v>
      </c>
      <c r="F6" s="192">
        <f t="shared" si="1"/>
        <v>10804.808509999981</v>
      </c>
      <c r="G6" s="192">
        <f t="shared" si="1"/>
        <v>13120.97625999997</v>
      </c>
      <c r="H6" s="192">
        <f t="shared" si="1"/>
        <v>15914.224869999971</v>
      </c>
      <c r="I6" s="192">
        <f t="shared" si="1"/>
        <v>18257.550269999971</v>
      </c>
      <c r="J6" s="192">
        <f t="shared" si="1"/>
        <v>18257.550269999971</v>
      </c>
      <c r="K6" s="192">
        <f t="shared" si="1"/>
        <v>18257.550269999971</v>
      </c>
      <c r="L6" s="192">
        <f t="shared" si="1"/>
        <v>18257.550269999971</v>
      </c>
      <c r="M6" s="192">
        <f t="shared" si="1"/>
        <v>18257.550269999971</v>
      </c>
    </row>
    <row r="7" spans="1:13" ht="14.45" customHeight="1" x14ac:dyDescent="0.2">
      <c r="A7" s="191" t="s">
        <v>101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</row>
    <row r="8" spans="1:13" ht="14.45" customHeight="1" x14ac:dyDescent="0.2">
      <c r="A8" s="191" t="s">
        <v>77</v>
      </c>
      <c r="B8" s="192">
        <f>B7*30</f>
        <v>0</v>
      </c>
      <c r="C8" s="192">
        <f t="shared" ref="C8:M8" si="2">C7*30</f>
        <v>0</v>
      </c>
      <c r="D8" s="192">
        <f t="shared" si="2"/>
        <v>0</v>
      </c>
      <c r="E8" s="192">
        <f t="shared" si="2"/>
        <v>0</v>
      </c>
      <c r="F8" s="192">
        <f t="shared" si="2"/>
        <v>0</v>
      </c>
      <c r="G8" s="192">
        <f t="shared" si="2"/>
        <v>0</v>
      </c>
      <c r="H8" s="192">
        <f t="shared" si="2"/>
        <v>0</v>
      </c>
      <c r="I8" s="192">
        <f t="shared" si="2"/>
        <v>0</v>
      </c>
      <c r="J8" s="192">
        <f t="shared" si="2"/>
        <v>0</v>
      </c>
      <c r="K8" s="192">
        <f t="shared" si="2"/>
        <v>0</v>
      </c>
      <c r="L8" s="192">
        <f t="shared" si="2"/>
        <v>0</v>
      </c>
      <c r="M8" s="192">
        <f t="shared" si="2"/>
        <v>0</v>
      </c>
    </row>
    <row r="9" spans="1:13" ht="14.45" customHeight="1" x14ac:dyDescent="0.2">
      <c r="A9" s="191" t="s">
        <v>102</v>
      </c>
      <c r="B9" s="191">
        <v>4771113.0100000016</v>
      </c>
      <c r="C9" s="191">
        <v>4444393.45</v>
      </c>
      <c r="D9" s="191">
        <v>3975379.51</v>
      </c>
      <c r="E9" s="191">
        <v>4170662.5600000005</v>
      </c>
      <c r="F9" s="191">
        <v>4533769.8899999997</v>
      </c>
      <c r="G9" s="191">
        <v>3652946.5300000003</v>
      </c>
      <c r="H9" s="191">
        <v>3682337.580000001</v>
      </c>
      <c r="I9" s="191">
        <v>3499588.83</v>
      </c>
      <c r="J9" s="191">
        <v>0</v>
      </c>
      <c r="K9" s="191">
        <v>0</v>
      </c>
      <c r="L9" s="191">
        <v>0</v>
      </c>
      <c r="M9" s="191">
        <v>0</v>
      </c>
    </row>
    <row r="10" spans="1:13" ht="14.45" customHeight="1" x14ac:dyDescent="0.2">
      <c r="A10" s="191" t="s">
        <v>78</v>
      </c>
      <c r="B10" s="192">
        <f>B9/1000</f>
        <v>4771.1130100000019</v>
      </c>
      <c r="C10" s="192">
        <f t="shared" ref="C10:M10" si="3">C9/1000+B10</f>
        <v>9215.5064600000023</v>
      </c>
      <c r="D10" s="192">
        <f t="shared" si="3"/>
        <v>13190.885970000003</v>
      </c>
      <c r="E10" s="192">
        <f t="shared" si="3"/>
        <v>17361.548530000004</v>
      </c>
      <c r="F10" s="192">
        <f t="shared" si="3"/>
        <v>21895.318420000003</v>
      </c>
      <c r="G10" s="192">
        <f t="shared" si="3"/>
        <v>25548.264950000004</v>
      </c>
      <c r="H10" s="192">
        <f t="shared" si="3"/>
        <v>29230.602530000004</v>
      </c>
      <c r="I10" s="192">
        <f t="shared" si="3"/>
        <v>32730.191360000004</v>
      </c>
      <c r="J10" s="192">
        <f t="shared" si="3"/>
        <v>32730.191360000004</v>
      </c>
      <c r="K10" s="192">
        <f t="shared" si="3"/>
        <v>32730.191360000004</v>
      </c>
      <c r="L10" s="192">
        <f t="shared" si="3"/>
        <v>32730.191360000004</v>
      </c>
      <c r="M10" s="192">
        <f t="shared" si="3"/>
        <v>32730.191360000004</v>
      </c>
    </row>
    <row r="11" spans="1:13" ht="14.45" customHeight="1" x14ac:dyDescent="0.2">
      <c r="A11" s="187"/>
      <c r="B11" s="187" t="s">
        <v>93</v>
      </c>
      <c r="C11" s="187">
        <f ca="1">IF(MONTH(TODAY())=1,12,MONTH(TODAY())-1)</f>
        <v>8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ht="14.45" customHeight="1" x14ac:dyDescent="0.2">
      <c r="A12" s="187">
        <v>0</v>
      </c>
      <c r="B12" s="190">
        <f>IF(ISERROR(HI!F15),#REF!,HI!F15)</f>
        <v>1.3351881082925796</v>
      </c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ht="14.45" customHeight="1" x14ac:dyDescent="0.2">
      <c r="A13" s="187">
        <v>1</v>
      </c>
      <c r="B13" s="190">
        <f>IF(ISERROR(HI!F15),#REF!,HI!F15)</f>
        <v>1.3351881082925796</v>
      </c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</sheetData>
  <mergeCells count="1">
    <mergeCell ref="A1:M1"/>
  </mergeCells>
  <hyperlinks>
    <hyperlink ref="A2" location="Obsah!A1" display="Zpět na Obsah  KL 01  1.-4.měsíc" xr:uid="{99E2941E-9B31-4277-9BA2-99603F3689DE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8" bestFit="1" customWidth="1"/>
    <col min="2" max="2" width="12.7109375" style="118" bestFit="1" customWidth="1"/>
    <col min="3" max="3" width="13.7109375" style="118" bestFit="1" customWidth="1"/>
    <col min="4" max="15" width="7.7109375" style="118" bestFit="1" customWidth="1"/>
    <col min="16" max="16" width="8.85546875" style="118" customWidth="1"/>
    <col min="17" max="17" width="6.7109375" style="118" bestFit="1" customWidth="1"/>
    <col min="18" max="16384" width="8.85546875" style="118"/>
  </cols>
  <sheetData>
    <row r="1" spans="1:17" s="193" customFormat="1" ht="18.600000000000001" customHeight="1" thickBot="1" x14ac:dyDescent="0.35">
      <c r="A1" s="330" t="s">
        <v>258</v>
      </c>
      <c r="B1" s="330"/>
      <c r="C1" s="330"/>
      <c r="D1" s="330"/>
      <c r="E1" s="330"/>
      <c r="F1" s="330"/>
      <c r="G1" s="330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193" customFormat="1" ht="14.45" customHeight="1" thickBot="1" x14ac:dyDescent="0.25">
      <c r="A2" s="221" t="s">
        <v>256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14.45" customHeight="1" x14ac:dyDescent="0.2">
      <c r="A3" s="68"/>
      <c r="B3" s="331" t="s">
        <v>29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126"/>
      <c r="Q3" s="128"/>
    </row>
    <row r="4" spans="1:17" ht="14.45" customHeight="1" x14ac:dyDescent="0.2">
      <c r="A4" s="69"/>
      <c r="B4" s="20">
        <v>2019</v>
      </c>
      <c r="C4" s="127" t="s">
        <v>30</v>
      </c>
      <c r="D4" s="251" t="s">
        <v>236</v>
      </c>
      <c r="E4" s="251" t="s">
        <v>237</v>
      </c>
      <c r="F4" s="251" t="s">
        <v>238</v>
      </c>
      <c r="G4" s="251" t="s">
        <v>239</v>
      </c>
      <c r="H4" s="251" t="s">
        <v>240</v>
      </c>
      <c r="I4" s="251" t="s">
        <v>241</v>
      </c>
      <c r="J4" s="251" t="s">
        <v>242</v>
      </c>
      <c r="K4" s="251" t="s">
        <v>243</v>
      </c>
      <c r="L4" s="251" t="s">
        <v>244</v>
      </c>
      <c r="M4" s="251" t="s">
        <v>245</v>
      </c>
      <c r="N4" s="251" t="s">
        <v>246</v>
      </c>
      <c r="O4" s="251" t="s">
        <v>247</v>
      </c>
      <c r="P4" s="333" t="s">
        <v>3</v>
      </c>
      <c r="Q4" s="334"/>
    </row>
    <row r="5" spans="1:17" ht="14.45" customHeight="1" thickBot="1" x14ac:dyDescent="0.25">
      <c r="A5" s="70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4" t="s">
        <v>257</v>
      </c>
    </row>
    <row r="7" spans="1:17" ht="14.45" customHeight="1" x14ac:dyDescent="0.2">
      <c r="A7" s="15" t="s">
        <v>35</v>
      </c>
      <c r="B7" s="46">
        <v>40</v>
      </c>
      <c r="C7" s="47">
        <v>3.333333333333</v>
      </c>
      <c r="D7" s="47">
        <v>2.8769499999999999</v>
      </c>
      <c r="E7" s="47">
        <v>2.1013500000000001</v>
      </c>
      <c r="F7" s="47">
        <v>2.7149799999990001</v>
      </c>
      <c r="G7" s="47">
        <v>3.5268699999990001</v>
      </c>
      <c r="H7" s="47">
        <v>2.3112499999999998</v>
      </c>
      <c r="I7" s="47">
        <v>3.8063899999989999</v>
      </c>
      <c r="J7" s="47">
        <v>2.3610000000000002</v>
      </c>
      <c r="K7" s="47">
        <v>1.64015</v>
      </c>
      <c r="L7" s="47">
        <v>0</v>
      </c>
      <c r="M7" s="47">
        <v>0</v>
      </c>
      <c r="N7" s="47">
        <v>0</v>
      </c>
      <c r="O7" s="47">
        <v>0</v>
      </c>
      <c r="P7" s="48">
        <v>21.338940000000001</v>
      </c>
      <c r="Q7" s="85">
        <v>0.80021024999900003</v>
      </c>
    </row>
    <row r="8" spans="1:17" ht="14.45" customHeight="1" x14ac:dyDescent="0.2">
      <c r="A8" s="15" t="s">
        <v>36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5" t="s">
        <v>257</v>
      </c>
    </row>
    <row r="9" spans="1:17" ht="14.45" customHeight="1" x14ac:dyDescent="0.2">
      <c r="A9" s="15" t="s">
        <v>37</v>
      </c>
      <c r="B9" s="46">
        <v>3625</v>
      </c>
      <c r="C9" s="47">
        <v>302.08333333333297</v>
      </c>
      <c r="D9" s="47">
        <v>409.79432000000099</v>
      </c>
      <c r="E9" s="47">
        <v>161.93584000000001</v>
      </c>
      <c r="F9" s="47">
        <v>347.26454999999902</v>
      </c>
      <c r="G9" s="47">
        <v>120.688999999999</v>
      </c>
      <c r="H9" s="47">
        <v>105.49607</v>
      </c>
      <c r="I9" s="47">
        <v>382.54299999999898</v>
      </c>
      <c r="J9" s="47">
        <v>52.689700000000002</v>
      </c>
      <c r="K9" s="47">
        <v>567.85919000000104</v>
      </c>
      <c r="L9" s="47">
        <v>0</v>
      </c>
      <c r="M9" s="47">
        <v>0</v>
      </c>
      <c r="N9" s="47">
        <v>0</v>
      </c>
      <c r="O9" s="47">
        <v>0</v>
      </c>
      <c r="P9" s="48">
        <v>2148.2716700000001</v>
      </c>
      <c r="Q9" s="85">
        <v>0.88894000137899998</v>
      </c>
    </row>
    <row r="10" spans="1:17" ht="14.45" customHeight="1" x14ac:dyDescent="0.2">
      <c r="A10" s="15" t="s">
        <v>38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5" t="s">
        <v>257</v>
      </c>
    </row>
    <row r="11" spans="1:17" ht="14.45" customHeight="1" x14ac:dyDescent="0.2">
      <c r="A11" s="15" t="s">
        <v>39</v>
      </c>
      <c r="B11" s="46">
        <v>103.810469284729</v>
      </c>
      <c r="C11" s="47">
        <v>8.6508724403940001</v>
      </c>
      <c r="D11" s="47">
        <v>12.513439999999999</v>
      </c>
      <c r="E11" s="47">
        <v>7.14276</v>
      </c>
      <c r="F11" s="47">
        <v>7.8549099999990002</v>
      </c>
      <c r="G11" s="47">
        <v>7.5072299999989998</v>
      </c>
      <c r="H11" s="47">
        <v>9.0267999999999997</v>
      </c>
      <c r="I11" s="47">
        <v>5.2027299999989998</v>
      </c>
      <c r="J11" s="47">
        <v>8.2723600000000008</v>
      </c>
      <c r="K11" s="47">
        <v>4.6633800000000001</v>
      </c>
      <c r="L11" s="47">
        <v>0</v>
      </c>
      <c r="M11" s="47">
        <v>0</v>
      </c>
      <c r="N11" s="47">
        <v>0</v>
      </c>
      <c r="O11" s="47">
        <v>0</v>
      </c>
      <c r="P11" s="48">
        <v>62.183610000000002</v>
      </c>
      <c r="Q11" s="85">
        <v>0.89851645641</v>
      </c>
    </row>
    <row r="12" spans="1:17" ht="14.45" customHeight="1" x14ac:dyDescent="0.2">
      <c r="A12" s="15" t="s">
        <v>40</v>
      </c>
      <c r="B12" s="46">
        <v>11.486239380068</v>
      </c>
      <c r="C12" s="47">
        <v>0.95718661500500002</v>
      </c>
      <c r="D12" s="47">
        <v>0.32740000000000002</v>
      </c>
      <c r="E12" s="47">
        <v>0</v>
      </c>
      <c r="F12" s="47">
        <v>0</v>
      </c>
      <c r="G12" s="47">
        <v>0</v>
      </c>
      <c r="H12" s="47">
        <v>0.32079999999999997</v>
      </c>
      <c r="I12" s="47">
        <v>0.76539999999899999</v>
      </c>
      <c r="J12" s="47">
        <v>0.60599999999999998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2.0196000000000001</v>
      </c>
      <c r="Q12" s="85">
        <v>0.26374167382000002</v>
      </c>
    </row>
    <row r="13" spans="1:17" ht="14.45" customHeight="1" x14ac:dyDescent="0.2">
      <c r="A13" s="15" t="s">
        <v>41</v>
      </c>
      <c r="B13" s="46">
        <v>4</v>
      </c>
      <c r="C13" s="47">
        <v>0.33333333333300003</v>
      </c>
      <c r="D13" s="47">
        <v>0.32425999999999999</v>
      </c>
      <c r="E13" s="47">
        <v>1.14584</v>
      </c>
      <c r="F13" s="47">
        <v>0.25381999999900001</v>
      </c>
      <c r="G13" s="47">
        <v>0.89318999999899995</v>
      </c>
      <c r="H13" s="47">
        <v>0.58103000000000005</v>
      </c>
      <c r="I13" s="47">
        <v>0.65303999999899998</v>
      </c>
      <c r="J13" s="47">
        <v>0.23877999999999999</v>
      </c>
      <c r="K13" s="47">
        <v>0.23765</v>
      </c>
      <c r="L13" s="47">
        <v>0</v>
      </c>
      <c r="M13" s="47">
        <v>0</v>
      </c>
      <c r="N13" s="47">
        <v>0</v>
      </c>
      <c r="O13" s="47">
        <v>0</v>
      </c>
      <c r="P13" s="48">
        <v>4.32761</v>
      </c>
      <c r="Q13" s="85">
        <v>1.62285375</v>
      </c>
    </row>
    <row r="14" spans="1:17" ht="14.45" customHeight="1" x14ac:dyDescent="0.2">
      <c r="A14" s="15" t="s">
        <v>42</v>
      </c>
      <c r="B14" s="46">
        <v>187.75220365988301</v>
      </c>
      <c r="C14" s="47">
        <v>15.646016971656</v>
      </c>
      <c r="D14" s="47">
        <v>22.425000000000001</v>
      </c>
      <c r="E14" s="47">
        <v>18.106000000000002</v>
      </c>
      <c r="F14" s="47">
        <v>17.353000000000002</v>
      </c>
      <c r="G14" s="47">
        <v>14.744999999998999</v>
      </c>
      <c r="H14" s="47">
        <v>14.148999999999999</v>
      </c>
      <c r="I14" s="47">
        <v>12.683</v>
      </c>
      <c r="J14" s="47">
        <v>12.28</v>
      </c>
      <c r="K14" s="47">
        <v>12.359</v>
      </c>
      <c r="L14" s="47">
        <v>0</v>
      </c>
      <c r="M14" s="47">
        <v>0</v>
      </c>
      <c r="N14" s="47">
        <v>0</v>
      </c>
      <c r="O14" s="47">
        <v>0</v>
      </c>
      <c r="P14" s="48">
        <v>124.1</v>
      </c>
      <c r="Q14" s="85">
        <v>0.99146639225099997</v>
      </c>
    </row>
    <row r="15" spans="1:17" ht="14.45" customHeight="1" x14ac:dyDescent="0.2">
      <c r="A15" s="15" t="s">
        <v>43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5" t="s">
        <v>257</v>
      </c>
    </row>
    <row r="16" spans="1:17" ht="14.45" customHeight="1" x14ac:dyDescent="0.2">
      <c r="A16" s="15" t="s">
        <v>44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5" t="s">
        <v>257</v>
      </c>
    </row>
    <row r="17" spans="1:17" ht="14.45" customHeight="1" x14ac:dyDescent="0.2">
      <c r="A17" s="15" t="s">
        <v>45</v>
      </c>
      <c r="B17" s="46">
        <v>437.42248659004298</v>
      </c>
      <c r="C17" s="47">
        <v>36.451873882503001</v>
      </c>
      <c r="D17" s="47">
        <v>2.7297600000000002</v>
      </c>
      <c r="E17" s="47">
        <v>19.959759999999999</v>
      </c>
      <c r="F17" s="47">
        <v>89.460569999998995</v>
      </c>
      <c r="G17" s="47">
        <v>2.7297599999990001</v>
      </c>
      <c r="H17" s="47">
        <v>67.375529999999998</v>
      </c>
      <c r="I17" s="47">
        <v>2.8983099999989999</v>
      </c>
      <c r="J17" s="47">
        <v>2.7297600000000002</v>
      </c>
      <c r="K17" s="47">
        <v>3.4872200000000002</v>
      </c>
      <c r="L17" s="47">
        <v>0</v>
      </c>
      <c r="M17" s="47">
        <v>0</v>
      </c>
      <c r="N17" s="47">
        <v>0</v>
      </c>
      <c r="O17" s="47">
        <v>0</v>
      </c>
      <c r="P17" s="48">
        <v>191.37066999999999</v>
      </c>
      <c r="Q17" s="85">
        <v>0.65624428052999995</v>
      </c>
    </row>
    <row r="18" spans="1:17" ht="14.45" customHeight="1" x14ac:dyDescent="0.2">
      <c r="A18" s="15" t="s">
        <v>46</v>
      </c>
      <c r="B18" s="46">
        <v>0</v>
      </c>
      <c r="C18" s="47">
        <v>0</v>
      </c>
      <c r="D18" s="47">
        <v>3.8340000000000001</v>
      </c>
      <c r="E18" s="47">
        <v>4.9720000000000004</v>
      </c>
      <c r="F18" s="47">
        <v>2.8049999999990001</v>
      </c>
      <c r="G18" s="47">
        <v>8.5439999999990004</v>
      </c>
      <c r="H18" s="47">
        <v>7.2279999999999998</v>
      </c>
      <c r="I18" s="47">
        <v>18.228999999999001</v>
      </c>
      <c r="J18" s="47">
        <v>24.736000000000001</v>
      </c>
      <c r="K18" s="47">
        <v>0.218</v>
      </c>
      <c r="L18" s="47">
        <v>0</v>
      </c>
      <c r="M18" s="47">
        <v>0</v>
      </c>
      <c r="N18" s="47">
        <v>0</v>
      </c>
      <c r="O18" s="47">
        <v>0</v>
      </c>
      <c r="P18" s="48">
        <v>70.565999999998994</v>
      </c>
      <c r="Q18" s="85" t="s">
        <v>257</v>
      </c>
    </row>
    <row r="19" spans="1:17" ht="14.45" customHeight="1" x14ac:dyDescent="0.2">
      <c r="A19" s="15" t="s">
        <v>47</v>
      </c>
      <c r="B19" s="46">
        <v>1297.44438899232</v>
      </c>
      <c r="C19" s="47">
        <v>108.12036574936</v>
      </c>
      <c r="D19" s="47">
        <v>48.753230000000002</v>
      </c>
      <c r="E19" s="47">
        <v>32.59834</v>
      </c>
      <c r="F19" s="47">
        <v>58.612319999999002</v>
      </c>
      <c r="G19" s="47">
        <v>81.172629999999003</v>
      </c>
      <c r="H19" s="47">
        <v>43.99736</v>
      </c>
      <c r="I19" s="47">
        <v>118.38083</v>
      </c>
      <c r="J19" s="47">
        <v>130.27251999999999</v>
      </c>
      <c r="K19" s="47">
        <v>37.198500000000003</v>
      </c>
      <c r="L19" s="47">
        <v>0</v>
      </c>
      <c r="M19" s="47">
        <v>0</v>
      </c>
      <c r="N19" s="47">
        <v>0</v>
      </c>
      <c r="O19" s="47">
        <v>0</v>
      </c>
      <c r="P19" s="48">
        <v>550.98572999999897</v>
      </c>
      <c r="Q19" s="85">
        <v>0.63700502465599995</v>
      </c>
    </row>
    <row r="20" spans="1:17" ht="14.45" customHeight="1" x14ac:dyDescent="0.2">
      <c r="A20" s="15" t="s">
        <v>48</v>
      </c>
      <c r="B20" s="46">
        <v>23016.645256</v>
      </c>
      <c r="C20" s="47">
        <v>1918.0537713333399</v>
      </c>
      <c r="D20" s="47">
        <v>1713.3107500000001</v>
      </c>
      <c r="E20" s="47">
        <v>1631.04666</v>
      </c>
      <c r="F20" s="47">
        <v>1701.02763</v>
      </c>
      <c r="G20" s="47">
        <v>1678.09752999999</v>
      </c>
      <c r="H20" s="47">
        <v>1680.1657</v>
      </c>
      <c r="I20" s="47">
        <v>1640.91723999999</v>
      </c>
      <c r="J20" s="47">
        <v>2424.5864499999998</v>
      </c>
      <c r="K20" s="47">
        <v>1591.9449400000001</v>
      </c>
      <c r="L20" s="47">
        <v>0</v>
      </c>
      <c r="M20" s="47">
        <v>0</v>
      </c>
      <c r="N20" s="47">
        <v>0</v>
      </c>
      <c r="O20" s="47">
        <v>0</v>
      </c>
      <c r="P20" s="48">
        <v>14061.0969</v>
      </c>
      <c r="Q20" s="85">
        <v>0.91636487921700005</v>
      </c>
    </row>
    <row r="21" spans="1:17" ht="14.45" customHeight="1" x14ac:dyDescent="0.2">
      <c r="A21" s="16" t="s">
        <v>49</v>
      </c>
      <c r="B21" s="46">
        <v>1823.99999999997</v>
      </c>
      <c r="C21" s="47">
        <v>151.99999999999801</v>
      </c>
      <c r="D21" s="47">
        <v>119.62018999999999</v>
      </c>
      <c r="E21" s="47">
        <v>114.52419999999999</v>
      </c>
      <c r="F21" s="47">
        <v>114.52323</v>
      </c>
      <c r="G21" s="47">
        <v>112.04823</v>
      </c>
      <c r="H21" s="47">
        <v>123.34021</v>
      </c>
      <c r="I21" s="47">
        <v>123.34021</v>
      </c>
      <c r="J21" s="47">
        <v>123.34021</v>
      </c>
      <c r="K21" s="47">
        <v>123.34021</v>
      </c>
      <c r="L21" s="47">
        <v>0</v>
      </c>
      <c r="M21" s="47">
        <v>0</v>
      </c>
      <c r="N21" s="47">
        <v>0</v>
      </c>
      <c r="O21" s="47">
        <v>0</v>
      </c>
      <c r="P21" s="48">
        <v>954.07668999999896</v>
      </c>
      <c r="Q21" s="85">
        <v>0.78460254111799999</v>
      </c>
    </row>
    <row r="22" spans="1:17" ht="14.45" customHeight="1" x14ac:dyDescent="0.2">
      <c r="A22" s="15" t="s">
        <v>50</v>
      </c>
      <c r="B22" s="46">
        <v>12</v>
      </c>
      <c r="C22" s="47">
        <v>1</v>
      </c>
      <c r="D22" s="47">
        <v>0</v>
      </c>
      <c r="E22" s="47">
        <v>0</v>
      </c>
      <c r="F22" s="47">
        <v>12.087899999999999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12.087899999999999</v>
      </c>
      <c r="Q22" s="85">
        <v>1.5109874999999999</v>
      </c>
    </row>
    <row r="23" spans="1:17" ht="14.45" customHeight="1" x14ac:dyDescent="0.2">
      <c r="A23" s="16" t="s">
        <v>51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5" t="s">
        <v>257</v>
      </c>
    </row>
    <row r="24" spans="1:17" ht="14.45" customHeight="1" x14ac:dyDescent="0.2">
      <c r="A24" s="16" t="s">
        <v>52</v>
      </c>
      <c r="B24" s="46">
        <v>-3.6379788070917101E-12</v>
      </c>
      <c r="C24" s="47">
        <v>0</v>
      </c>
      <c r="D24" s="47">
        <v>1.29955</v>
      </c>
      <c r="E24" s="47">
        <v>8.3993300000000009</v>
      </c>
      <c r="F24" s="47">
        <v>-4.2000000000000002E-4</v>
      </c>
      <c r="G24" s="47">
        <v>5.3815399999990001</v>
      </c>
      <c r="H24" s="47">
        <v>21.783359999999</v>
      </c>
      <c r="I24" s="47">
        <v>6.7485999999989996</v>
      </c>
      <c r="J24" s="47">
        <v>11.13583</v>
      </c>
      <c r="K24" s="47">
        <v>0.37716</v>
      </c>
      <c r="L24" s="47">
        <v>0</v>
      </c>
      <c r="M24" s="47">
        <v>0</v>
      </c>
      <c r="N24" s="47">
        <v>0</v>
      </c>
      <c r="O24" s="47">
        <v>0</v>
      </c>
      <c r="P24" s="48">
        <v>55.124949999998996</v>
      </c>
      <c r="Q24" s="85"/>
    </row>
    <row r="25" spans="1:17" ht="14.45" customHeight="1" x14ac:dyDescent="0.2">
      <c r="A25" s="17" t="s">
        <v>53</v>
      </c>
      <c r="B25" s="49">
        <v>30559.561043907001</v>
      </c>
      <c r="C25" s="50">
        <v>2546.6300869922502</v>
      </c>
      <c r="D25" s="50">
        <v>2337.8088499999999</v>
      </c>
      <c r="E25" s="50">
        <v>2001.93208</v>
      </c>
      <c r="F25" s="50">
        <v>2353.9574899999898</v>
      </c>
      <c r="G25" s="50">
        <v>2035.3349799999901</v>
      </c>
      <c r="H25" s="50">
        <v>2075.77511</v>
      </c>
      <c r="I25" s="50">
        <v>2316.1677499999901</v>
      </c>
      <c r="J25" s="50">
        <v>2793.2486100000001</v>
      </c>
      <c r="K25" s="50">
        <v>2343.3254000000002</v>
      </c>
      <c r="L25" s="50">
        <v>0</v>
      </c>
      <c r="M25" s="50">
        <v>0</v>
      </c>
      <c r="N25" s="50">
        <v>0</v>
      </c>
      <c r="O25" s="50">
        <v>0</v>
      </c>
      <c r="P25" s="51">
        <v>18257.55027</v>
      </c>
      <c r="Q25" s="86">
        <v>0.89616226377200003</v>
      </c>
    </row>
    <row r="26" spans="1:17" ht="14.45" customHeight="1" x14ac:dyDescent="0.2">
      <c r="A26" s="15" t="s">
        <v>54</v>
      </c>
      <c r="B26" s="46">
        <v>3362.57291813335</v>
      </c>
      <c r="C26" s="47">
        <v>280.21440984444598</v>
      </c>
      <c r="D26" s="47">
        <v>283.32184000000098</v>
      </c>
      <c r="E26" s="47">
        <v>288.83366999999998</v>
      </c>
      <c r="F26" s="47">
        <v>252.20142999999999</v>
      </c>
      <c r="G26" s="47">
        <v>297.56166999999999</v>
      </c>
      <c r="H26" s="47">
        <v>258.04073</v>
      </c>
      <c r="I26" s="47">
        <v>415.12526000000003</v>
      </c>
      <c r="J26" s="47">
        <v>324.22453999999999</v>
      </c>
      <c r="K26" s="47">
        <v>225.50466</v>
      </c>
      <c r="L26" s="47">
        <v>0</v>
      </c>
      <c r="M26" s="47">
        <v>0</v>
      </c>
      <c r="N26" s="47">
        <v>0</v>
      </c>
      <c r="O26" s="47">
        <v>0</v>
      </c>
      <c r="P26" s="48">
        <v>2344.8137999999999</v>
      </c>
      <c r="Q26" s="85">
        <v>1.0459909080430001</v>
      </c>
    </row>
    <row r="27" spans="1:17" ht="14.45" customHeight="1" x14ac:dyDescent="0.2">
      <c r="A27" s="18" t="s">
        <v>55</v>
      </c>
      <c r="B27" s="49">
        <v>33922.133962040403</v>
      </c>
      <c r="C27" s="50">
        <v>2826.8444968366998</v>
      </c>
      <c r="D27" s="50">
        <v>2621.13069000001</v>
      </c>
      <c r="E27" s="50">
        <v>2290.76575</v>
      </c>
      <c r="F27" s="50">
        <v>2606.1589199999898</v>
      </c>
      <c r="G27" s="50">
        <v>2332.8966499999901</v>
      </c>
      <c r="H27" s="50">
        <v>2333.8158400000002</v>
      </c>
      <c r="I27" s="50">
        <v>2731.2930099999899</v>
      </c>
      <c r="J27" s="50">
        <v>3117.4731499999998</v>
      </c>
      <c r="K27" s="50">
        <v>2568.8300599999998</v>
      </c>
      <c r="L27" s="50">
        <v>0</v>
      </c>
      <c r="M27" s="50">
        <v>0</v>
      </c>
      <c r="N27" s="50">
        <v>0</v>
      </c>
      <c r="O27" s="50">
        <v>0</v>
      </c>
      <c r="P27" s="51">
        <v>20602.36407</v>
      </c>
      <c r="Q27" s="86">
        <v>0.91101421094500001</v>
      </c>
    </row>
    <row r="28" spans="1:17" ht="14.45" customHeight="1" x14ac:dyDescent="0.2">
      <c r="A28" s="16" t="s">
        <v>56</v>
      </c>
      <c r="B28" s="46">
        <v>57.642385794799999</v>
      </c>
      <c r="C28" s="47">
        <v>4.8035321495660002</v>
      </c>
      <c r="D28" s="47">
        <v>0</v>
      </c>
      <c r="E28" s="47">
        <v>10.755000000000001</v>
      </c>
      <c r="F28" s="47">
        <v>0</v>
      </c>
      <c r="G28" s="47">
        <v>1.3542000000000001</v>
      </c>
      <c r="H28" s="47">
        <v>0</v>
      </c>
      <c r="I28" s="47">
        <v>0</v>
      </c>
      <c r="J28" s="47">
        <v>7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19.109200000000001</v>
      </c>
      <c r="Q28" s="85">
        <v>0.49726949370200002</v>
      </c>
    </row>
    <row r="29" spans="1:17" ht="14.45" customHeight="1" x14ac:dyDescent="0.2">
      <c r="A29" s="16" t="s">
        <v>57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5" t="s">
        <v>257</v>
      </c>
    </row>
    <row r="30" spans="1:17" ht="14.45" customHeight="1" x14ac:dyDescent="0.2">
      <c r="A30" s="16" t="s">
        <v>58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5">
        <v>0</v>
      </c>
    </row>
    <row r="31" spans="1:17" ht="14.45" customHeight="1" thickBot="1" x14ac:dyDescent="0.25">
      <c r="A31" s="19" t="s">
        <v>59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7" t="s">
        <v>257</v>
      </c>
    </row>
    <row r="32" spans="1:17" ht="14.45" customHeight="1" x14ac:dyDescent="0.2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r="33" spans="1:17" ht="14.45" customHeight="1" x14ac:dyDescent="0.2">
      <c r="A33" s="102" t="s">
        <v>148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spans="1:17" ht="14.45" customHeight="1" x14ac:dyDescent="0.2">
      <c r="A34" s="124" t="s">
        <v>234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5" spans="1:17" ht="14.45" customHeight="1" x14ac:dyDescent="0.2">
      <c r="A35" s="125" t="s">
        <v>60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5947D3B4-6AB5-4E2D-95A0-BFF846C82943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8" customWidth="1"/>
    <col min="2" max="11" width="10" style="118" customWidth="1"/>
    <col min="12" max="16384" width="8.85546875" style="118"/>
  </cols>
  <sheetData>
    <row r="1" spans="1:11" s="55" customFormat="1" ht="18.600000000000001" customHeight="1" thickBot="1" x14ac:dyDescent="0.35">
      <c r="A1" s="330" t="s">
        <v>61</v>
      </c>
      <c r="B1" s="330"/>
      <c r="C1" s="330"/>
      <c r="D1" s="330"/>
      <c r="E1" s="330"/>
      <c r="F1" s="330"/>
      <c r="G1" s="330"/>
      <c r="H1" s="335"/>
      <c r="I1" s="335"/>
      <c r="J1" s="335"/>
      <c r="K1" s="335"/>
    </row>
    <row r="2" spans="1:11" s="55" customFormat="1" ht="14.45" customHeight="1" thickBot="1" x14ac:dyDescent="0.25">
      <c r="A2" s="221" t="s">
        <v>256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8"/>
      <c r="B3" s="331" t="s">
        <v>62</v>
      </c>
      <c r="C3" s="332"/>
      <c r="D3" s="332"/>
      <c r="E3" s="332"/>
      <c r="F3" s="338" t="s">
        <v>63</v>
      </c>
      <c r="G3" s="332"/>
      <c r="H3" s="332"/>
      <c r="I3" s="332"/>
      <c r="J3" s="332"/>
      <c r="K3" s="339"/>
    </row>
    <row r="4" spans="1:11" ht="14.45" customHeight="1" x14ac:dyDescent="0.2">
      <c r="A4" s="69"/>
      <c r="B4" s="336"/>
      <c r="C4" s="337"/>
      <c r="D4" s="337"/>
      <c r="E4" s="337"/>
      <c r="F4" s="340" t="s">
        <v>252</v>
      </c>
      <c r="G4" s="342" t="s">
        <v>64</v>
      </c>
      <c r="H4" s="129" t="s">
        <v>134</v>
      </c>
      <c r="I4" s="340" t="s">
        <v>65</v>
      </c>
      <c r="J4" s="342" t="s">
        <v>254</v>
      </c>
      <c r="K4" s="343" t="s">
        <v>255</v>
      </c>
    </row>
    <row r="5" spans="1:11" ht="39" thickBot="1" x14ac:dyDescent="0.25">
      <c r="A5" s="70"/>
      <c r="B5" s="24" t="s">
        <v>248</v>
      </c>
      <c r="C5" s="25" t="s">
        <v>249</v>
      </c>
      <c r="D5" s="26" t="s">
        <v>250</v>
      </c>
      <c r="E5" s="26" t="s">
        <v>251</v>
      </c>
      <c r="F5" s="341"/>
      <c r="G5" s="341"/>
      <c r="H5" s="25" t="s">
        <v>253</v>
      </c>
      <c r="I5" s="341"/>
      <c r="J5" s="341"/>
      <c r="K5" s="344"/>
    </row>
    <row r="6" spans="1:11" ht="14.45" customHeight="1" thickBot="1" x14ac:dyDescent="0.25">
      <c r="A6" s="456" t="s">
        <v>259</v>
      </c>
      <c r="B6" s="438">
        <v>26869.220766740698</v>
      </c>
      <c r="C6" s="438">
        <v>29695.241239999999</v>
      </c>
      <c r="D6" s="439">
        <v>2826.0204732593302</v>
      </c>
      <c r="E6" s="440">
        <v>1.1051768675310001</v>
      </c>
      <c r="F6" s="438">
        <v>30559.561043907001</v>
      </c>
      <c r="G6" s="439">
        <v>20373.040695938002</v>
      </c>
      <c r="H6" s="441">
        <v>2343.3254000000002</v>
      </c>
      <c r="I6" s="438">
        <v>18257.55027</v>
      </c>
      <c r="J6" s="439">
        <v>-2115.4904259380301</v>
      </c>
      <c r="K6" s="442">
        <v>0.59744150918100003</v>
      </c>
    </row>
    <row r="7" spans="1:11" ht="14.45" customHeight="1" thickBot="1" x14ac:dyDescent="0.25">
      <c r="A7" s="457" t="s">
        <v>260</v>
      </c>
      <c r="B7" s="438">
        <v>5127.5818835466198</v>
      </c>
      <c r="C7" s="438">
        <v>5159.2802900000097</v>
      </c>
      <c r="D7" s="439">
        <v>31.698406453392</v>
      </c>
      <c r="E7" s="440">
        <v>1.006181940566</v>
      </c>
      <c r="F7" s="438">
        <v>3972.0489123246798</v>
      </c>
      <c r="G7" s="439">
        <v>2648.0326082164502</v>
      </c>
      <c r="H7" s="441">
        <v>586.75913000000105</v>
      </c>
      <c r="I7" s="438">
        <v>2362.2410300000001</v>
      </c>
      <c r="J7" s="439">
        <v>-285.79157821645299</v>
      </c>
      <c r="K7" s="442">
        <v>0.59471599724500002</v>
      </c>
    </row>
    <row r="8" spans="1:11" ht="14.45" customHeight="1" thickBot="1" x14ac:dyDescent="0.25">
      <c r="A8" s="458" t="s">
        <v>261</v>
      </c>
      <c r="B8" s="438">
        <v>4963.9992058898397</v>
      </c>
      <c r="C8" s="438">
        <v>4996.67029000001</v>
      </c>
      <c r="D8" s="439">
        <v>32.671084110172998</v>
      </c>
      <c r="E8" s="440">
        <v>1.0065816054259999</v>
      </c>
      <c r="F8" s="438">
        <v>3784.2967086648</v>
      </c>
      <c r="G8" s="439">
        <v>2522.8644724432002</v>
      </c>
      <c r="H8" s="441">
        <v>574.40013000000101</v>
      </c>
      <c r="I8" s="438">
        <v>2238.1410299999998</v>
      </c>
      <c r="J8" s="439">
        <v>-284.723442443198</v>
      </c>
      <c r="K8" s="442">
        <v>0.59142852749200003</v>
      </c>
    </row>
    <row r="9" spans="1:11" ht="14.45" customHeight="1" thickBot="1" x14ac:dyDescent="0.25">
      <c r="A9" s="459" t="s">
        <v>262</v>
      </c>
      <c r="B9" s="443">
        <v>0</v>
      </c>
      <c r="C9" s="443">
        <v>-3.32E-3</v>
      </c>
      <c r="D9" s="444">
        <v>-3.32E-3</v>
      </c>
      <c r="E9" s="445" t="s">
        <v>257</v>
      </c>
      <c r="F9" s="443">
        <v>0</v>
      </c>
      <c r="G9" s="444">
        <v>0</v>
      </c>
      <c r="H9" s="446">
        <v>-2.4000000000000001E-4</v>
      </c>
      <c r="I9" s="443">
        <v>-4.0000000000000002E-4</v>
      </c>
      <c r="J9" s="444">
        <v>-4.0000000000000002E-4</v>
      </c>
      <c r="K9" s="447" t="s">
        <v>257</v>
      </c>
    </row>
    <row r="10" spans="1:11" ht="14.45" customHeight="1" thickBot="1" x14ac:dyDescent="0.25">
      <c r="A10" s="460" t="s">
        <v>263</v>
      </c>
      <c r="B10" s="438">
        <v>0</v>
      </c>
      <c r="C10" s="438">
        <v>-3.32E-3</v>
      </c>
      <c r="D10" s="439">
        <v>-3.32E-3</v>
      </c>
      <c r="E10" s="448" t="s">
        <v>257</v>
      </c>
      <c r="F10" s="438">
        <v>0</v>
      </c>
      <c r="G10" s="439">
        <v>0</v>
      </c>
      <c r="H10" s="441">
        <v>-2.4000000000000001E-4</v>
      </c>
      <c r="I10" s="438">
        <v>-4.0000000000000002E-4</v>
      </c>
      <c r="J10" s="439">
        <v>-4.0000000000000002E-4</v>
      </c>
      <c r="K10" s="449" t="s">
        <v>257</v>
      </c>
    </row>
    <row r="11" spans="1:11" ht="14.45" customHeight="1" thickBot="1" x14ac:dyDescent="0.25">
      <c r="A11" s="459" t="s">
        <v>264</v>
      </c>
      <c r="B11" s="443">
        <v>40</v>
      </c>
      <c r="C11" s="443">
        <v>33.46367</v>
      </c>
      <c r="D11" s="444">
        <v>-6.5363299999990003</v>
      </c>
      <c r="E11" s="450">
        <v>0.83659174999999997</v>
      </c>
      <c r="F11" s="443">
        <v>40</v>
      </c>
      <c r="G11" s="444">
        <v>26.666666666666</v>
      </c>
      <c r="H11" s="446">
        <v>1.64015</v>
      </c>
      <c r="I11" s="443">
        <v>21.338940000000001</v>
      </c>
      <c r="J11" s="444">
        <v>-5.3277266666659999</v>
      </c>
      <c r="K11" s="451">
        <v>0.53347349999899996</v>
      </c>
    </row>
    <row r="12" spans="1:11" ht="14.45" customHeight="1" thickBot="1" x14ac:dyDescent="0.25">
      <c r="A12" s="460" t="s">
        <v>265</v>
      </c>
      <c r="B12" s="438">
        <v>40</v>
      </c>
      <c r="C12" s="438">
        <v>33.46367</v>
      </c>
      <c r="D12" s="439">
        <v>-6.5363299999990003</v>
      </c>
      <c r="E12" s="440">
        <v>0.83659174999999997</v>
      </c>
      <c r="F12" s="438">
        <v>40</v>
      </c>
      <c r="G12" s="439">
        <v>26.666666666666</v>
      </c>
      <c r="H12" s="441">
        <v>1.64015</v>
      </c>
      <c r="I12" s="438">
        <v>21.338940000000001</v>
      </c>
      <c r="J12" s="439">
        <v>-5.3277266666659999</v>
      </c>
      <c r="K12" s="442">
        <v>0.53347349999899996</v>
      </c>
    </row>
    <row r="13" spans="1:11" ht="14.45" customHeight="1" thickBot="1" x14ac:dyDescent="0.25">
      <c r="A13" s="459" t="s">
        <v>266</v>
      </c>
      <c r="B13" s="443">
        <v>4786.9540187726398</v>
      </c>
      <c r="C13" s="443">
        <v>4818.8104000000103</v>
      </c>
      <c r="D13" s="444">
        <v>31.856381227370001</v>
      </c>
      <c r="E13" s="450">
        <v>1.0066548333450001</v>
      </c>
      <c r="F13" s="443">
        <v>3625</v>
      </c>
      <c r="G13" s="444">
        <v>2416.6666666666702</v>
      </c>
      <c r="H13" s="446">
        <v>567.85919000000104</v>
      </c>
      <c r="I13" s="443">
        <v>2148.2716700000001</v>
      </c>
      <c r="J13" s="444">
        <v>-268.394996666667</v>
      </c>
      <c r="K13" s="451">
        <v>0.59262666758600002</v>
      </c>
    </row>
    <row r="14" spans="1:11" ht="14.45" customHeight="1" thickBot="1" x14ac:dyDescent="0.25">
      <c r="A14" s="460" t="s">
        <v>267</v>
      </c>
      <c r="B14" s="438">
        <v>4200</v>
      </c>
      <c r="C14" s="438">
        <v>4386.01872000001</v>
      </c>
      <c r="D14" s="439">
        <v>186.018720000011</v>
      </c>
      <c r="E14" s="440">
        <v>1.044290171428</v>
      </c>
      <c r="F14" s="438">
        <v>3200</v>
      </c>
      <c r="G14" s="439">
        <v>2133.3333333333298</v>
      </c>
      <c r="H14" s="441">
        <v>551.33580000000097</v>
      </c>
      <c r="I14" s="438">
        <v>1972.0001500000001</v>
      </c>
      <c r="J14" s="439">
        <v>-161.33318333333401</v>
      </c>
      <c r="K14" s="442">
        <v>0.61625004687499996</v>
      </c>
    </row>
    <row r="15" spans="1:11" ht="14.45" customHeight="1" thickBot="1" x14ac:dyDescent="0.25">
      <c r="A15" s="460" t="s">
        <v>268</v>
      </c>
      <c r="B15" s="438">
        <v>350</v>
      </c>
      <c r="C15" s="438">
        <v>254.07306000000099</v>
      </c>
      <c r="D15" s="439">
        <v>-95.926939999998993</v>
      </c>
      <c r="E15" s="440">
        <v>0.725923028571</v>
      </c>
      <c r="F15" s="438">
        <v>200</v>
      </c>
      <c r="G15" s="439">
        <v>133.333333333333</v>
      </c>
      <c r="H15" s="441">
        <v>12.9626</v>
      </c>
      <c r="I15" s="438">
        <v>110.57326999999999</v>
      </c>
      <c r="J15" s="439">
        <v>-22.760063333333001</v>
      </c>
      <c r="K15" s="442">
        <v>0.55286634999999995</v>
      </c>
    </row>
    <row r="16" spans="1:11" ht="14.45" customHeight="1" thickBot="1" x14ac:dyDescent="0.25">
      <c r="A16" s="460" t="s">
        <v>269</v>
      </c>
      <c r="B16" s="438">
        <v>20</v>
      </c>
      <c r="C16" s="438">
        <v>8.2284699999999997</v>
      </c>
      <c r="D16" s="439">
        <v>-11.77153</v>
      </c>
      <c r="E16" s="440">
        <v>0.4114235</v>
      </c>
      <c r="F16" s="438">
        <v>10</v>
      </c>
      <c r="G16" s="439">
        <v>6.6666666666659999</v>
      </c>
      <c r="H16" s="441">
        <v>0.94779999999999998</v>
      </c>
      <c r="I16" s="438">
        <v>4.8747199999999999</v>
      </c>
      <c r="J16" s="439">
        <v>-1.791946666666</v>
      </c>
      <c r="K16" s="442">
        <v>0.48747200000000002</v>
      </c>
    </row>
    <row r="17" spans="1:11" ht="14.45" customHeight="1" thickBot="1" x14ac:dyDescent="0.25">
      <c r="A17" s="460" t="s">
        <v>270</v>
      </c>
      <c r="B17" s="438">
        <v>191.13127082925601</v>
      </c>
      <c r="C17" s="438">
        <v>148.394170000001</v>
      </c>
      <c r="D17" s="439">
        <v>-42.737100829254999</v>
      </c>
      <c r="E17" s="440">
        <v>0.77639922214799995</v>
      </c>
      <c r="F17" s="438">
        <v>190</v>
      </c>
      <c r="G17" s="439">
        <v>126.666666666667</v>
      </c>
      <c r="H17" s="441">
        <v>1.3409899999999999</v>
      </c>
      <c r="I17" s="438">
        <v>50.01146</v>
      </c>
      <c r="J17" s="439">
        <v>-76.655206666666004</v>
      </c>
      <c r="K17" s="442">
        <v>0.26321821052599997</v>
      </c>
    </row>
    <row r="18" spans="1:11" ht="14.45" customHeight="1" thickBot="1" x14ac:dyDescent="0.25">
      <c r="A18" s="460" t="s">
        <v>271</v>
      </c>
      <c r="B18" s="438">
        <v>6</v>
      </c>
      <c r="C18" s="438">
        <v>3.1909999999999998</v>
      </c>
      <c r="D18" s="439">
        <v>-2.8089999999990001</v>
      </c>
      <c r="E18" s="440">
        <v>0.53183333333299998</v>
      </c>
      <c r="F18" s="438">
        <v>5</v>
      </c>
      <c r="G18" s="439">
        <v>3.333333333333</v>
      </c>
      <c r="H18" s="441">
        <v>0.39</v>
      </c>
      <c r="I18" s="438">
        <v>2.3359999999999999</v>
      </c>
      <c r="J18" s="439">
        <v>-0.99733333333300001</v>
      </c>
      <c r="K18" s="442">
        <v>0.4672</v>
      </c>
    </row>
    <row r="19" spans="1:11" ht="14.45" customHeight="1" thickBot="1" x14ac:dyDescent="0.25">
      <c r="A19" s="460" t="s">
        <v>272</v>
      </c>
      <c r="B19" s="438">
        <v>19.822747943385</v>
      </c>
      <c r="C19" s="438">
        <v>18.904979999999998</v>
      </c>
      <c r="D19" s="439">
        <v>-0.91776794338500001</v>
      </c>
      <c r="E19" s="440">
        <v>0.95370127562499996</v>
      </c>
      <c r="F19" s="438">
        <v>20</v>
      </c>
      <c r="G19" s="439">
        <v>13.333333333333</v>
      </c>
      <c r="H19" s="441">
        <v>0.88200000000000001</v>
      </c>
      <c r="I19" s="438">
        <v>8.47607</v>
      </c>
      <c r="J19" s="439">
        <v>-4.857263333333</v>
      </c>
      <c r="K19" s="442">
        <v>0.4238035</v>
      </c>
    </row>
    <row r="20" spans="1:11" ht="14.45" customHeight="1" thickBot="1" x14ac:dyDescent="0.25">
      <c r="A20" s="459" t="s">
        <v>273</v>
      </c>
      <c r="B20" s="443">
        <v>115.62484221605899</v>
      </c>
      <c r="C20" s="443">
        <v>115.38213</v>
      </c>
      <c r="D20" s="444">
        <v>-0.242712216058</v>
      </c>
      <c r="E20" s="450">
        <v>0.99790086445600001</v>
      </c>
      <c r="F20" s="443">
        <v>103.810469284729</v>
      </c>
      <c r="G20" s="444">
        <v>69.206979523152</v>
      </c>
      <c r="H20" s="446">
        <v>4.6633800000000001</v>
      </c>
      <c r="I20" s="443">
        <v>62.183610000000002</v>
      </c>
      <c r="J20" s="444">
        <v>-7.0233695231519997</v>
      </c>
      <c r="K20" s="451">
        <v>0.59901097094</v>
      </c>
    </row>
    <row r="21" spans="1:11" ht="14.45" customHeight="1" thickBot="1" x14ac:dyDescent="0.25">
      <c r="A21" s="460" t="s">
        <v>274</v>
      </c>
      <c r="B21" s="438">
        <v>0</v>
      </c>
      <c r="C21" s="438">
        <v>4.16432</v>
      </c>
      <c r="D21" s="439">
        <v>4.16432</v>
      </c>
      <c r="E21" s="448" t="s">
        <v>257</v>
      </c>
      <c r="F21" s="438">
        <v>0</v>
      </c>
      <c r="G21" s="439">
        <v>0</v>
      </c>
      <c r="H21" s="441">
        <v>0</v>
      </c>
      <c r="I21" s="438">
        <v>1.75329</v>
      </c>
      <c r="J21" s="439">
        <v>1.75329</v>
      </c>
      <c r="K21" s="449" t="s">
        <v>257</v>
      </c>
    </row>
    <row r="22" spans="1:11" ht="14.45" customHeight="1" thickBot="1" x14ac:dyDescent="0.25">
      <c r="A22" s="460" t="s">
        <v>275</v>
      </c>
      <c r="B22" s="438">
        <v>6.919713588714</v>
      </c>
      <c r="C22" s="438">
        <v>5.3445299999999998</v>
      </c>
      <c r="D22" s="439">
        <v>-1.575183588714</v>
      </c>
      <c r="E22" s="440">
        <v>0.77236289211599995</v>
      </c>
      <c r="F22" s="438">
        <v>7</v>
      </c>
      <c r="G22" s="439">
        <v>4.6666666666659999</v>
      </c>
      <c r="H22" s="441">
        <v>0.36415999999999998</v>
      </c>
      <c r="I22" s="438">
        <v>3.7673899999999998</v>
      </c>
      <c r="J22" s="439">
        <v>-0.89927666666600004</v>
      </c>
      <c r="K22" s="442">
        <v>0.53819857142799998</v>
      </c>
    </row>
    <row r="23" spans="1:11" ht="14.45" customHeight="1" thickBot="1" x14ac:dyDescent="0.25">
      <c r="A23" s="460" t="s">
        <v>276</v>
      </c>
      <c r="B23" s="438">
        <v>8.6161114615120002</v>
      </c>
      <c r="C23" s="438">
        <v>16.03586</v>
      </c>
      <c r="D23" s="439">
        <v>7.4197485384870001</v>
      </c>
      <c r="E23" s="440">
        <v>1.8611481608180001</v>
      </c>
      <c r="F23" s="438">
        <v>15</v>
      </c>
      <c r="G23" s="439">
        <v>10</v>
      </c>
      <c r="H23" s="441">
        <v>0.82328000000000001</v>
      </c>
      <c r="I23" s="438">
        <v>6.0824599999990001</v>
      </c>
      <c r="J23" s="439">
        <v>-3.9175399999999998</v>
      </c>
      <c r="K23" s="442">
        <v>0.40549733333299998</v>
      </c>
    </row>
    <row r="24" spans="1:11" ht="14.45" customHeight="1" thickBot="1" x14ac:dyDescent="0.25">
      <c r="A24" s="460" t="s">
        <v>277</v>
      </c>
      <c r="B24" s="438">
        <v>33.137804132874003</v>
      </c>
      <c r="C24" s="438">
        <v>33.788550000000001</v>
      </c>
      <c r="D24" s="439">
        <v>0.65074586712500004</v>
      </c>
      <c r="E24" s="440">
        <v>1.01963756755</v>
      </c>
      <c r="F24" s="438">
        <v>33</v>
      </c>
      <c r="G24" s="439">
        <v>22</v>
      </c>
      <c r="H24" s="441">
        <v>1.7683</v>
      </c>
      <c r="I24" s="438">
        <v>21.084630000000001</v>
      </c>
      <c r="J24" s="439">
        <v>-0.91537000000000002</v>
      </c>
      <c r="K24" s="442">
        <v>0.63892818181800004</v>
      </c>
    </row>
    <row r="25" spans="1:11" ht="14.45" customHeight="1" thickBot="1" x14ac:dyDescent="0.25">
      <c r="A25" s="460" t="s">
        <v>278</v>
      </c>
      <c r="B25" s="438">
        <v>3.5074837825829999</v>
      </c>
      <c r="C25" s="438">
        <v>0.38819999999999999</v>
      </c>
      <c r="D25" s="439">
        <v>-3.119283782583</v>
      </c>
      <c r="E25" s="440">
        <v>0.11067763218899999</v>
      </c>
      <c r="F25" s="438">
        <v>0.36616262680099998</v>
      </c>
      <c r="G25" s="439">
        <v>0.24410841786699999</v>
      </c>
      <c r="H25" s="441">
        <v>0</v>
      </c>
      <c r="I25" s="438">
        <v>1.1739999999999999</v>
      </c>
      <c r="J25" s="439">
        <v>0.92989158213199996</v>
      </c>
      <c r="K25" s="442">
        <v>3.206225633281</v>
      </c>
    </row>
    <row r="26" spans="1:11" ht="14.45" customHeight="1" thickBot="1" x14ac:dyDescent="0.25">
      <c r="A26" s="460" t="s">
        <v>279</v>
      </c>
      <c r="B26" s="438">
        <v>0</v>
      </c>
      <c r="C26" s="438">
        <v>2.5999999999999999E-2</v>
      </c>
      <c r="D26" s="439">
        <v>2.5999999999999999E-2</v>
      </c>
      <c r="E26" s="448" t="s">
        <v>280</v>
      </c>
      <c r="F26" s="438">
        <v>0</v>
      </c>
      <c r="G26" s="439">
        <v>0</v>
      </c>
      <c r="H26" s="441">
        <v>0</v>
      </c>
      <c r="I26" s="438">
        <v>0</v>
      </c>
      <c r="J26" s="439">
        <v>0</v>
      </c>
      <c r="K26" s="449" t="s">
        <v>257</v>
      </c>
    </row>
    <row r="27" spans="1:11" ht="14.45" customHeight="1" thickBot="1" x14ac:dyDescent="0.25">
      <c r="A27" s="460" t="s">
        <v>281</v>
      </c>
      <c r="B27" s="438">
        <v>0</v>
      </c>
      <c r="C27" s="438">
        <v>0.51500000000000001</v>
      </c>
      <c r="D27" s="439">
        <v>0.51500000000000001</v>
      </c>
      <c r="E27" s="448" t="s">
        <v>257</v>
      </c>
      <c r="F27" s="438">
        <v>0</v>
      </c>
      <c r="G27" s="439">
        <v>0</v>
      </c>
      <c r="H27" s="441">
        <v>0</v>
      </c>
      <c r="I27" s="438">
        <v>0.63173999999999997</v>
      </c>
      <c r="J27" s="439">
        <v>0.63173999999999997</v>
      </c>
      <c r="K27" s="449" t="s">
        <v>257</v>
      </c>
    </row>
    <row r="28" spans="1:11" ht="14.45" customHeight="1" thickBot="1" x14ac:dyDescent="0.25">
      <c r="A28" s="460" t="s">
        <v>282</v>
      </c>
      <c r="B28" s="438">
        <v>0</v>
      </c>
      <c r="C28" s="438">
        <v>0</v>
      </c>
      <c r="D28" s="439">
        <v>0</v>
      </c>
      <c r="E28" s="440">
        <v>1</v>
      </c>
      <c r="F28" s="438">
        <v>0</v>
      </c>
      <c r="G28" s="439">
        <v>0</v>
      </c>
      <c r="H28" s="441">
        <v>0</v>
      </c>
      <c r="I28" s="438">
        <v>5.9900000000000002E-2</v>
      </c>
      <c r="J28" s="439">
        <v>5.9900000000000002E-2</v>
      </c>
      <c r="K28" s="449" t="s">
        <v>280</v>
      </c>
    </row>
    <row r="29" spans="1:11" ht="14.45" customHeight="1" thickBot="1" x14ac:dyDescent="0.25">
      <c r="A29" s="460" t="s">
        <v>283</v>
      </c>
      <c r="B29" s="438">
        <v>5</v>
      </c>
      <c r="C29" s="438">
        <v>0.87200999999999995</v>
      </c>
      <c r="D29" s="439">
        <v>-4.1279899999999996</v>
      </c>
      <c r="E29" s="440">
        <v>0.174402</v>
      </c>
      <c r="F29" s="438">
        <v>2</v>
      </c>
      <c r="G29" s="439">
        <v>1.333333333333</v>
      </c>
      <c r="H29" s="441">
        <v>0</v>
      </c>
      <c r="I29" s="438">
        <v>0.47239999999999999</v>
      </c>
      <c r="J29" s="439">
        <v>-0.86093333333300004</v>
      </c>
      <c r="K29" s="442">
        <v>0.23619999999999999</v>
      </c>
    </row>
    <row r="30" spans="1:11" ht="14.45" customHeight="1" thickBot="1" x14ac:dyDescent="0.25">
      <c r="A30" s="460" t="s">
        <v>284</v>
      </c>
      <c r="B30" s="438">
        <v>24.879762528446999</v>
      </c>
      <c r="C30" s="438">
        <v>24.13381</v>
      </c>
      <c r="D30" s="439">
        <v>-0.745952528447</v>
      </c>
      <c r="E30" s="440">
        <v>0.97001769901900003</v>
      </c>
      <c r="F30" s="438">
        <v>21.444306657927001</v>
      </c>
      <c r="G30" s="439">
        <v>14.296204438618</v>
      </c>
      <c r="H30" s="441">
        <v>0.45374999999999999</v>
      </c>
      <c r="I30" s="438">
        <v>13.18967</v>
      </c>
      <c r="J30" s="439">
        <v>-1.106534438618</v>
      </c>
      <c r="K30" s="442">
        <v>0.61506628357799997</v>
      </c>
    </row>
    <row r="31" spans="1:11" ht="14.45" customHeight="1" thickBot="1" x14ac:dyDescent="0.25">
      <c r="A31" s="460" t="s">
        <v>285</v>
      </c>
      <c r="B31" s="438">
        <v>0</v>
      </c>
      <c r="C31" s="438">
        <v>1.21</v>
      </c>
      <c r="D31" s="439">
        <v>1.21</v>
      </c>
      <c r="E31" s="448" t="s">
        <v>280</v>
      </c>
      <c r="F31" s="438">
        <v>0</v>
      </c>
      <c r="G31" s="439">
        <v>0</v>
      </c>
      <c r="H31" s="441">
        <v>0</v>
      </c>
      <c r="I31" s="438">
        <v>0</v>
      </c>
      <c r="J31" s="439">
        <v>0</v>
      </c>
      <c r="K31" s="442">
        <v>0</v>
      </c>
    </row>
    <row r="32" spans="1:11" ht="14.45" customHeight="1" thickBot="1" x14ac:dyDescent="0.25">
      <c r="A32" s="460" t="s">
        <v>286</v>
      </c>
      <c r="B32" s="438">
        <v>25</v>
      </c>
      <c r="C32" s="438">
        <v>23.241050000000001</v>
      </c>
      <c r="D32" s="439">
        <v>-1.7589499999989999</v>
      </c>
      <c r="E32" s="440">
        <v>0.92964199999999997</v>
      </c>
      <c r="F32" s="438">
        <v>25</v>
      </c>
      <c r="G32" s="439">
        <v>16.666666666666</v>
      </c>
      <c r="H32" s="441">
        <v>1.2538899999999999</v>
      </c>
      <c r="I32" s="438">
        <v>11.13673</v>
      </c>
      <c r="J32" s="439">
        <v>-5.5299366666659999</v>
      </c>
      <c r="K32" s="442">
        <v>0.44546919999899998</v>
      </c>
    </row>
    <row r="33" spans="1:11" ht="14.45" customHeight="1" thickBot="1" x14ac:dyDescent="0.25">
      <c r="A33" s="460" t="s">
        <v>287</v>
      </c>
      <c r="B33" s="438">
        <v>8.5639667219270006</v>
      </c>
      <c r="C33" s="438">
        <v>5.6627999999999998</v>
      </c>
      <c r="D33" s="439">
        <v>-2.9011667219269999</v>
      </c>
      <c r="E33" s="440">
        <v>0.66123563809499997</v>
      </c>
      <c r="F33" s="438">
        <v>0</v>
      </c>
      <c r="G33" s="439">
        <v>0</v>
      </c>
      <c r="H33" s="441">
        <v>0</v>
      </c>
      <c r="I33" s="438">
        <v>2.8313999999999999</v>
      </c>
      <c r="J33" s="439">
        <v>2.8313999999999999</v>
      </c>
      <c r="K33" s="449" t="s">
        <v>257</v>
      </c>
    </row>
    <row r="34" spans="1:11" ht="14.45" customHeight="1" thickBot="1" x14ac:dyDescent="0.25">
      <c r="A34" s="459" t="s">
        <v>288</v>
      </c>
      <c r="B34" s="443">
        <v>9.3296949157160007</v>
      </c>
      <c r="C34" s="443">
        <v>13.74661</v>
      </c>
      <c r="D34" s="444">
        <v>4.4169150842829996</v>
      </c>
      <c r="E34" s="450">
        <v>1.4734254575500001</v>
      </c>
      <c r="F34" s="443">
        <v>11.486239380068</v>
      </c>
      <c r="G34" s="444">
        <v>7.6574929200449997</v>
      </c>
      <c r="H34" s="446">
        <v>0</v>
      </c>
      <c r="I34" s="443">
        <v>2.0196000000000001</v>
      </c>
      <c r="J34" s="444">
        <v>-5.6378929200450001</v>
      </c>
      <c r="K34" s="451">
        <v>0.17582778254600001</v>
      </c>
    </row>
    <row r="35" spans="1:11" ht="14.45" customHeight="1" thickBot="1" x14ac:dyDescent="0.25">
      <c r="A35" s="460" t="s">
        <v>289</v>
      </c>
      <c r="B35" s="438">
        <v>6.8071174374129999</v>
      </c>
      <c r="C35" s="438">
        <v>9.5009200000000007</v>
      </c>
      <c r="D35" s="439">
        <v>2.6938025625859998</v>
      </c>
      <c r="E35" s="440">
        <v>1.3957332288369999</v>
      </c>
      <c r="F35" s="438">
        <v>2.4650637214779998</v>
      </c>
      <c r="G35" s="439">
        <v>1.643375814318</v>
      </c>
      <c r="H35" s="441">
        <v>0</v>
      </c>
      <c r="I35" s="438">
        <v>0</v>
      </c>
      <c r="J35" s="439">
        <v>-1.643375814318</v>
      </c>
      <c r="K35" s="442">
        <v>0</v>
      </c>
    </row>
    <row r="36" spans="1:11" ht="14.45" customHeight="1" thickBot="1" x14ac:dyDescent="0.25">
      <c r="A36" s="460" t="s">
        <v>290</v>
      </c>
      <c r="B36" s="438">
        <v>2.5225774783029999</v>
      </c>
      <c r="C36" s="438">
        <v>4.2456899999999997</v>
      </c>
      <c r="D36" s="439">
        <v>1.7231125216959999</v>
      </c>
      <c r="E36" s="440">
        <v>1.683076153861</v>
      </c>
      <c r="F36" s="438">
        <v>3.2693603084739999</v>
      </c>
      <c r="G36" s="439">
        <v>2.179573538983</v>
      </c>
      <c r="H36" s="441">
        <v>0</v>
      </c>
      <c r="I36" s="438">
        <v>2.0196000000000001</v>
      </c>
      <c r="J36" s="439">
        <v>-0.15997353898300001</v>
      </c>
      <c r="K36" s="442">
        <v>0.61773552299000001</v>
      </c>
    </row>
    <row r="37" spans="1:11" ht="14.45" customHeight="1" thickBot="1" x14ac:dyDescent="0.25">
      <c r="A37" s="460" t="s">
        <v>291</v>
      </c>
      <c r="B37" s="438">
        <v>0</v>
      </c>
      <c r="C37" s="438">
        <v>0</v>
      </c>
      <c r="D37" s="439">
        <v>0</v>
      </c>
      <c r="E37" s="440">
        <v>1</v>
      </c>
      <c r="F37" s="438">
        <v>5.7518153501149998</v>
      </c>
      <c r="G37" s="439">
        <v>3.8345435667430001</v>
      </c>
      <c r="H37" s="441">
        <v>0</v>
      </c>
      <c r="I37" s="438">
        <v>0</v>
      </c>
      <c r="J37" s="439">
        <v>-3.8345435667430001</v>
      </c>
      <c r="K37" s="442">
        <v>0</v>
      </c>
    </row>
    <row r="38" spans="1:11" ht="14.45" customHeight="1" thickBot="1" x14ac:dyDescent="0.25">
      <c r="A38" s="459" t="s">
        <v>292</v>
      </c>
      <c r="B38" s="443">
        <v>12.090649985422999</v>
      </c>
      <c r="C38" s="443">
        <v>15.270799999999999</v>
      </c>
      <c r="D38" s="444">
        <v>3.1801500145760002</v>
      </c>
      <c r="E38" s="450">
        <v>1.2630255625960001</v>
      </c>
      <c r="F38" s="443">
        <v>4</v>
      </c>
      <c r="G38" s="444">
        <v>2.6666666666659999</v>
      </c>
      <c r="H38" s="446">
        <v>0.23765</v>
      </c>
      <c r="I38" s="443">
        <v>4.32761</v>
      </c>
      <c r="J38" s="444">
        <v>1.6609433333329999</v>
      </c>
      <c r="K38" s="451">
        <v>1.0819025</v>
      </c>
    </row>
    <row r="39" spans="1:11" ht="14.45" customHeight="1" thickBot="1" x14ac:dyDescent="0.25">
      <c r="A39" s="460" t="s">
        <v>293</v>
      </c>
      <c r="B39" s="438">
        <v>8.0906499854229992</v>
      </c>
      <c r="C39" s="438">
        <v>8.5872700000000002</v>
      </c>
      <c r="D39" s="439">
        <v>0.49662001457600002</v>
      </c>
      <c r="E39" s="440">
        <v>1.0613819675139999</v>
      </c>
      <c r="F39" s="438">
        <v>0</v>
      </c>
      <c r="G39" s="439">
        <v>0</v>
      </c>
      <c r="H39" s="441">
        <v>0</v>
      </c>
      <c r="I39" s="438">
        <v>1.98803</v>
      </c>
      <c r="J39" s="439">
        <v>1.98803</v>
      </c>
      <c r="K39" s="449" t="s">
        <v>257</v>
      </c>
    </row>
    <row r="40" spans="1:11" ht="14.45" customHeight="1" thickBot="1" x14ac:dyDescent="0.25">
      <c r="A40" s="460" t="s">
        <v>294</v>
      </c>
      <c r="B40" s="438">
        <v>0</v>
      </c>
      <c r="C40" s="438">
        <v>2.9184899999999998</v>
      </c>
      <c r="D40" s="439">
        <v>2.9184899999999998</v>
      </c>
      <c r="E40" s="448" t="s">
        <v>280</v>
      </c>
      <c r="F40" s="438">
        <v>0</v>
      </c>
      <c r="G40" s="439">
        <v>0</v>
      </c>
      <c r="H40" s="441">
        <v>0</v>
      </c>
      <c r="I40" s="438">
        <v>0</v>
      </c>
      <c r="J40" s="439">
        <v>0</v>
      </c>
      <c r="K40" s="449" t="s">
        <v>257</v>
      </c>
    </row>
    <row r="41" spans="1:11" ht="14.45" customHeight="1" thickBot="1" x14ac:dyDescent="0.25">
      <c r="A41" s="460" t="s">
        <v>295</v>
      </c>
      <c r="B41" s="438">
        <v>1</v>
      </c>
      <c r="C41" s="438">
        <v>0.76839999999999997</v>
      </c>
      <c r="D41" s="439">
        <v>-0.23159999999899999</v>
      </c>
      <c r="E41" s="440">
        <v>0.76839999999999997</v>
      </c>
      <c r="F41" s="438">
        <v>1</v>
      </c>
      <c r="G41" s="439">
        <v>0.66666666666600005</v>
      </c>
      <c r="H41" s="441">
        <v>0</v>
      </c>
      <c r="I41" s="438">
        <v>0.38419999999900001</v>
      </c>
      <c r="J41" s="439">
        <v>-0.28246666666600001</v>
      </c>
      <c r="K41" s="442">
        <v>0.38419999999900001</v>
      </c>
    </row>
    <row r="42" spans="1:11" ht="14.45" customHeight="1" thickBot="1" x14ac:dyDescent="0.25">
      <c r="A42" s="460" t="s">
        <v>296</v>
      </c>
      <c r="B42" s="438">
        <v>3</v>
      </c>
      <c r="C42" s="438">
        <v>2.9966400000000002</v>
      </c>
      <c r="D42" s="439">
        <v>-3.3599999990000001E-3</v>
      </c>
      <c r="E42" s="440">
        <v>0.99887999999999999</v>
      </c>
      <c r="F42" s="438">
        <v>3</v>
      </c>
      <c r="G42" s="439">
        <v>2</v>
      </c>
      <c r="H42" s="441">
        <v>0.23765</v>
      </c>
      <c r="I42" s="438">
        <v>1.9553799999999999</v>
      </c>
      <c r="J42" s="439">
        <v>-4.462E-2</v>
      </c>
      <c r="K42" s="442">
        <v>0.65179333333300005</v>
      </c>
    </row>
    <row r="43" spans="1:11" ht="14.45" customHeight="1" thickBot="1" x14ac:dyDescent="0.25">
      <c r="A43" s="458" t="s">
        <v>42</v>
      </c>
      <c r="B43" s="438">
        <v>163.58267765678099</v>
      </c>
      <c r="C43" s="438">
        <v>162.61000000000001</v>
      </c>
      <c r="D43" s="439">
        <v>-0.97267765677999996</v>
      </c>
      <c r="E43" s="440">
        <v>0.99405390796399995</v>
      </c>
      <c r="F43" s="438">
        <v>187.75220365988301</v>
      </c>
      <c r="G43" s="439">
        <v>125.168135773255</v>
      </c>
      <c r="H43" s="441">
        <v>12.359</v>
      </c>
      <c r="I43" s="438">
        <v>124.1</v>
      </c>
      <c r="J43" s="439">
        <v>-1.0681357732550001</v>
      </c>
      <c r="K43" s="442">
        <v>0.66097759483399998</v>
      </c>
    </row>
    <row r="44" spans="1:11" ht="14.45" customHeight="1" thickBot="1" x14ac:dyDescent="0.25">
      <c r="A44" s="459" t="s">
        <v>297</v>
      </c>
      <c r="B44" s="443">
        <v>163.58267765678099</v>
      </c>
      <c r="C44" s="443">
        <v>162.61000000000001</v>
      </c>
      <c r="D44" s="444">
        <v>-0.97267765677999996</v>
      </c>
      <c r="E44" s="450">
        <v>0.99405390796399995</v>
      </c>
      <c r="F44" s="443">
        <v>187.75220365988301</v>
      </c>
      <c r="G44" s="444">
        <v>125.168135773255</v>
      </c>
      <c r="H44" s="446">
        <v>12.359</v>
      </c>
      <c r="I44" s="443">
        <v>124.1</v>
      </c>
      <c r="J44" s="444">
        <v>-1.0681357732550001</v>
      </c>
      <c r="K44" s="451">
        <v>0.66097759483399998</v>
      </c>
    </row>
    <row r="45" spans="1:11" ht="14.45" customHeight="1" thickBot="1" x14ac:dyDescent="0.25">
      <c r="A45" s="460" t="s">
        <v>298</v>
      </c>
      <c r="B45" s="438">
        <v>56.590948534797</v>
      </c>
      <c r="C45" s="438">
        <v>58.965000000000003</v>
      </c>
      <c r="D45" s="439">
        <v>2.3740514652020002</v>
      </c>
      <c r="E45" s="440">
        <v>1.0419510809879999</v>
      </c>
      <c r="F45" s="438">
        <v>77.203828123188003</v>
      </c>
      <c r="G45" s="439">
        <v>51.469218748792002</v>
      </c>
      <c r="H45" s="441">
        <v>7.3920000000000003</v>
      </c>
      <c r="I45" s="438">
        <v>55.067999999999998</v>
      </c>
      <c r="J45" s="439">
        <v>3.5987812512069999</v>
      </c>
      <c r="K45" s="442">
        <v>0.71328069266299998</v>
      </c>
    </row>
    <row r="46" spans="1:11" ht="14.45" customHeight="1" thickBot="1" x14ac:dyDescent="0.25">
      <c r="A46" s="460" t="s">
        <v>299</v>
      </c>
      <c r="B46" s="438">
        <v>26.103329548232999</v>
      </c>
      <c r="C46" s="438">
        <v>27.466999999999999</v>
      </c>
      <c r="D46" s="439">
        <v>1.3636704517660001</v>
      </c>
      <c r="E46" s="440">
        <v>1.052241245671</v>
      </c>
      <c r="F46" s="438">
        <v>27.096836424203001</v>
      </c>
      <c r="G46" s="439">
        <v>18.064557616135001</v>
      </c>
      <c r="H46" s="441">
        <v>2.016</v>
      </c>
      <c r="I46" s="438">
        <v>17.734000000000002</v>
      </c>
      <c r="J46" s="439">
        <v>-0.33055761613500001</v>
      </c>
      <c r="K46" s="442">
        <v>0.65446754456300005</v>
      </c>
    </row>
    <row r="47" spans="1:11" ht="14.45" customHeight="1" thickBot="1" x14ac:dyDescent="0.25">
      <c r="A47" s="460" t="s">
        <v>300</v>
      </c>
      <c r="B47" s="438">
        <v>80.888399573749993</v>
      </c>
      <c r="C47" s="438">
        <v>76.177999999999997</v>
      </c>
      <c r="D47" s="439">
        <v>-4.7103995737500002</v>
      </c>
      <c r="E47" s="440">
        <v>0.94176668597000002</v>
      </c>
      <c r="F47" s="438">
        <v>83.451539112491005</v>
      </c>
      <c r="G47" s="439">
        <v>55.634359408327001</v>
      </c>
      <c r="H47" s="441">
        <v>2.9510000000000001</v>
      </c>
      <c r="I47" s="438">
        <v>51.298000000000002</v>
      </c>
      <c r="J47" s="439">
        <v>-4.3363594083269996</v>
      </c>
      <c r="K47" s="442">
        <v>0.61470406112999998</v>
      </c>
    </row>
    <row r="48" spans="1:11" ht="14.45" customHeight="1" thickBot="1" x14ac:dyDescent="0.25">
      <c r="A48" s="461" t="s">
        <v>301</v>
      </c>
      <c r="B48" s="443">
        <v>1568.3223746640699</v>
      </c>
      <c r="C48" s="443">
        <v>1906.1504199999999</v>
      </c>
      <c r="D48" s="444">
        <v>337.82804533593799</v>
      </c>
      <c r="E48" s="450">
        <v>1.2154072726330001</v>
      </c>
      <c r="F48" s="443">
        <v>1734.8668755823601</v>
      </c>
      <c r="G48" s="444">
        <v>1156.5779170549099</v>
      </c>
      <c r="H48" s="446">
        <v>40.90372</v>
      </c>
      <c r="I48" s="443">
        <v>812.92239999999902</v>
      </c>
      <c r="J48" s="444">
        <v>-343.65551705490998</v>
      </c>
      <c r="K48" s="451">
        <v>0.468579123529</v>
      </c>
    </row>
    <row r="49" spans="1:11" ht="14.45" customHeight="1" thickBot="1" x14ac:dyDescent="0.25">
      <c r="A49" s="458" t="s">
        <v>45</v>
      </c>
      <c r="B49" s="438">
        <v>318.971382100109</v>
      </c>
      <c r="C49" s="438">
        <v>713.07642000000305</v>
      </c>
      <c r="D49" s="439">
        <v>394.105037899894</v>
      </c>
      <c r="E49" s="440">
        <v>2.2355498330439998</v>
      </c>
      <c r="F49" s="438">
        <v>437.42248659004298</v>
      </c>
      <c r="G49" s="439">
        <v>291.61499106002799</v>
      </c>
      <c r="H49" s="441">
        <v>3.4872200000000002</v>
      </c>
      <c r="I49" s="438">
        <v>191.37066999999999</v>
      </c>
      <c r="J49" s="439">
        <v>-100.24432106002899</v>
      </c>
      <c r="K49" s="442">
        <v>0.43749618701999998</v>
      </c>
    </row>
    <row r="50" spans="1:11" ht="14.45" customHeight="1" thickBot="1" x14ac:dyDescent="0.25">
      <c r="A50" s="462" t="s">
        <v>302</v>
      </c>
      <c r="B50" s="438">
        <v>318.971382100109</v>
      </c>
      <c r="C50" s="438">
        <v>713.07642000000305</v>
      </c>
      <c r="D50" s="439">
        <v>394.105037899894</v>
      </c>
      <c r="E50" s="440">
        <v>2.2355498330439998</v>
      </c>
      <c r="F50" s="438">
        <v>437.42248659004298</v>
      </c>
      <c r="G50" s="439">
        <v>291.61499106002799</v>
      </c>
      <c r="H50" s="441">
        <v>3.4872200000000002</v>
      </c>
      <c r="I50" s="438">
        <v>191.37066999999999</v>
      </c>
      <c r="J50" s="439">
        <v>-100.24432106002899</v>
      </c>
      <c r="K50" s="442">
        <v>0.43749618701999998</v>
      </c>
    </row>
    <row r="51" spans="1:11" ht="14.45" customHeight="1" thickBot="1" x14ac:dyDescent="0.25">
      <c r="A51" s="460" t="s">
        <v>303</v>
      </c>
      <c r="B51" s="438">
        <v>192.51354985390299</v>
      </c>
      <c r="C51" s="438">
        <v>601.73395000000301</v>
      </c>
      <c r="D51" s="439">
        <v>409.22040014610002</v>
      </c>
      <c r="E51" s="440">
        <v>3.1256706369840002</v>
      </c>
      <c r="F51" s="438">
        <v>285.34893424154598</v>
      </c>
      <c r="G51" s="439">
        <v>190.23262282769701</v>
      </c>
      <c r="H51" s="441">
        <v>0</v>
      </c>
      <c r="I51" s="438">
        <v>85.065419999998994</v>
      </c>
      <c r="J51" s="439">
        <v>-105.16720282769801</v>
      </c>
      <c r="K51" s="442">
        <v>0.29811017246600002</v>
      </c>
    </row>
    <row r="52" spans="1:11" ht="14.45" customHeight="1" thickBot="1" x14ac:dyDescent="0.25">
      <c r="A52" s="460" t="s">
        <v>304</v>
      </c>
      <c r="B52" s="438">
        <v>43.77582921914</v>
      </c>
      <c r="C52" s="438">
        <v>4.7674000000000003</v>
      </c>
      <c r="D52" s="439">
        <v>-39.008429219139998</v>
      </c>
      <c r="E52" s="440">
        <v>0.108904847379</v>
      </c>
      <c r="F52" s="438">
        <v>0.24384296602700001</v>
      </c>
      <c r="G52" s="439">
        <v>0.162561977351</v>
      </c>
      <c r="H52" s="441">
        <v>0</v>
      </c>
      <c r="I52" s="438">
        <v>15.589</v>
      </c>
      <c r="J52" s="439">
        <v>15.426438022648</v>
      </c>
      <c r="K52" s="442">
        <v>0</v>
      </c>
    </row>
    <row r="53" spans="1:11" ht="14.45" customHeight="1" thickBot="1" x14ac:dyDescent="0.25">
      <c r="A53" s="460" t="s">
        <v>305</v>
      </c>
      <c r="B53" s="438">
        <v>40.581173918231997</v>
      </c>
      <c r="C53" s="438">
        <v>69.139129999999994</v>
      </c>
      <c r="D53" s="439">
        <v>28.557956081766999</v>
      </c>
      <c r="E53" s="440">
        <v>1.7037242475859999</v>
      </c>
      <c r="F53" s="438">
        <v>112.696298191926</v>
      </c>
      <c r="G53" s="439">
        <v>75.130865461284003</v>
      </c>
      <c r="H53" s="441">
        <v>1.6673800000000001</v>
      </c>
      <c r="I53" s="438">
        <v>67.954149999999998</v>
      </c>
      <c r="J53" s="439">
        <v>-7.1767154612840001</v>
      </c>
      <c r="K53" s="442">
        <v>0.60298475717599997</v>
      </c>
    </row>
    <row r="54" spans="1:11" ht="14.45" customHeight="1" thickBot="1" x14ac:dyDescent="0.25">
      <c r="A54" s="460" t="s">
        <v>306</v>
      </c>
      <c r="B54" s="438">
        <v>42.100829108832002</v>
      </c>
      <c r="C54" s="438">
        <v>37.435940000000002</v>
      </c>
      <c r="D54" s="439">
        <v>-4.6648891088319999</v>
      </c>
      <c r="E54" s="440">
        <v>0.88919721517100003</v>
      </c>
      <c r="F54" s="438">
        <v>31.352059669523001</v>
      </c>
      <c r="G54" s="439">
        <v>20.901373113015001</v>
      </c>
      <c r="H54" s="441">
        <v>1.8198399999999999</v>
      </c>
      <c r="I54" s="438">
        <v>22.7621</v>
      </c>
      <c r="J54" s="439">
        <v>1.8607268869839999</v>
      </c>
      <c r="K54" s="442">
        <v>0.72601609718500004</v>
      </c>
    </row>
    <row r="55" spans="1:11" ht="14.45" customHeight="1" thickBot="1" x14ac:dyDescent="0.25">
      <c r="A55" s="460" t="s">
        <v>307</v>
      </c>
      <c r="B55" s="438">
        <v>0</v>
      </c>
      <c r="C55" s="438">
        <v>0</v>
      </c>
      <c r="D55" s="439">
        <v>0</v>
      </c>
      <c r="E55" s="440">
        <v>1</v>
      </c>
      <c r="F55" s="438">
        <v>2.9798713107600001</v>
      </c>
      <c r="G55" s="439">
        <v>1.9865808738399999</v>
      </c>
      <c r="H55" s="441">
        <v>0</v>
      </c>
      <c r="I55" s="438">
        <v>0</v>
      </c>
      <c r="J55" s="439">
        <v>-1.9865808738399999</v>
      </c>
      <c r="K55" s="442">
        <v>0</v>
      </c>
    </row>
    <row r="56" spans="1:11" ht="14.45" customHeight="1" thickBot="1" x14ac:dyDescent="0.25">
      <c r="A56" s="460" t="s">
        <v>308</v>
      </c>
      <c r="B56" s="438">
        <v>0</v>
      </c>
      <c r="C56" s="438">
        <v>0</v>
      </c>
      <c r="D56" s="439">
        <v>0</v>
      </c>
      <c r="E56" s="440">
        <v>1</v>
      </c>
      <c r="F56" s="438">
        <v>3.6256075057050001</v>
      </c>
      <c r="G56" s="439">
        <v>2.4170716704699999</v>
      </c>
      <c r="H56" s="441">
        <v>0</v>
      </c>
      <c r="I56" s="438">
        <v>0</v>
      </c>
      <c r="J56" s="439">
        <v>-2.4170716704699999</v>
      </c>
      <c r="K56" s="442">
        <v>0</v>
      </c>
    </row>
    <row r="57" spans="1:11" ht="14.45" customHeight="1" thickBot="1" x14ac:dyDescent="0.25">
      <c r="A57" s="460" t="s">
        <v>309</v>
      </c>
      <c r="B57" s="438">
        <v>0</v>
      </c>
      <c r="C57" s="438">
        <v>0</v>
      </c>
      <c r="D57" s="439">
        <v>0</v>
      </c>
      <c r="E57" s="440">
        <v>1</v>
      </c>
      <c r="F57" s="438">
        <v>1.175872704553</v>
      </c>
      <c r="G57" s="439">
        <v>0.78391513636800003</v>
      </c>
      <c r="H57" s="441">
        <v>0</v>
      </c>
      <c r="I57" s="438">
        <v>0</v>
      </c>
      <c r="J57" s="439">
        <v>-0.78391513636800003</v>
      </c>
      <c r="K57" s="442">
        <v>0</v>
      </c>
    </row>
    <row r="58" spans="1:11" ht="14.45" customHeight="1" thickBot="1" x14ac:dyDescent="0.25">
      <c r="A58" s="463" t="s">
        <v>46</v>
      </c>
      <c r="B58" s="443">
        <v>0</v>
      </c>
      <c r="C58" s="443">
        <v>78.254000000000005</v>
      </c>
      <c r="D58" s="444">
        <v>78.254000000000005</v>
      </c>
      <c r="E58" s="445" t="s">
        <v>257</v>
      </c>
      <c r="F58" s="443">
        <v>0</v>
      </c>
      <c r="G58" s="444">
        <v>0</v>
      </c>
      <c r="H58" s="446">
        <v>0.218</v>
      </c>
      <c r="I58" s="443">
        <v>70.565999999998994</v>
      </c>
      <c r="J58" s="444">
        <v>70.565999999998994</v>
      </c>
      <c r="K58" s="447" t="s">
        <v>257</v>
      </c>
    </row>
    <row r="59" spans="1:11" ht="14.45" customHeight="1" thickBot="1" x14ac:dyDescent="0.25">
      <c r="A59" s="459" t="s">
        <v>310</v>
      </c>
      <c r="B59" s="443">
        <v>0</v>
      </c>
      <c r="C59" s="443">
        <v>63.787999999999997</v>
      </c>
      <c r="D59" s="444">
        <v>63.787999999999997</v>
      </c>
      <c r="E59" s="445" t="s">
        <v>257</v>
      </c>
      <c r="F59" s="443">
        <v>0</v>
      </c>
      <c r="G59" s="444">
        <v>0</v>
      </c>
      <c r="H59" s="446">
        <v>0.218</v>
      </c>
      <c r="I59" s="443">
        <v>46.000999999999003</v>
      </c>
      <c r="J59" s="444">
        <v>46.000999999999003</v>
      </c>
      <c r="K59" s="447" t="s">
        <v>257</v>
      </c>
    </row>
    <row r="60" spans="1:11" ht="14.45" customHeight="1" thickBot="1" x14ac:dyDescent="0.25">
      <c r="A60" s="460" t="s">
        <v>311</v>
      </c>
      <c r="B60" s="438">
        <v>0</v>
      </c>
      <c r="C60" s="438">
        <v>62.887999999999998</v>
      </c>
      <c r="D60" s="439">
        <v>62.887999999999998</v>
      </c>
      <c r="E60" s="448" t="s">
        <v>257</v>
      </c>
      <c r="F60" s="438">
        <v>0</v>
      </c>
      <c r="G60" s="439">
        <v>0</v>
      </c>
      <c r="H60" s="441">
        <v>0.218</v>
      </c>
      <c r="I60" s="438">
        <v>41.160999999998999</v>
      </c>
      <c r="J60" s="439">
        <v>41.160999999998999</v>
      </c>
      <c r="K60" s="449" t="s">
        <v>257</v>
      </c>
    </row>
    <row r="61" spans="1:11" ht="14.45" customHeight="1" thickBot="1" x14ac:dyDescent="0.25">
      <c r="A61" s="460" t="s">
        <v>312</v>
      </c>
      <c r="B61" s="438">
        <v>0</v>
      </c>
      <c r="C61" s="438">
        <v>0.9</v>
      </c>
      <c r="D61" s="439">
        <v>0.9</v>
      </c>
      <c r="E61" s="448" t="s">
        <v>257</v>
      </c>
      <c r="F61" s="438">
        <v>0</v>
      </c>
      <c r="G61" s="439">
        <v>0</v>
      </c>
      <c r="H61" s="441">
        <v>0</v>
      </c>
      <c r="I61" s="438">
        <v>4.8399999999989998</v>
      </c>
      <c r="J61" s="439">
        <v>4.8399999999989998</v>
      </c>
      <c r="K61" s="449" t="s">
        <v>257</v>
      </c>
    </row>
    <row r="62" spans="1:11" ht="14.45" customHeight="1" thickBot="1" x14ac:dyDescent="0.25">
      <c r="A62" s="459" t="s">
        <v>313</v>
      </c>
      <c r="B62" s="443">
        <v>0</v>
      </c>
      <c r="C62" s="443">
        <v>14.465999999998999</v>
      </c>
      <c r="D62" s="444">
        <v>14.465999999998999</v>
      </c>
      <c r="E62" s="445" t="s">
        <v>257</v>
      </c>
      <c r="F62" s="443">
        <v>0</v>
      </c>
      <c r="G62" s="444">
        <v>0</v>
      </c>
      <c r="H62" s="446">
        <v>0</v>
      </c>
      <c r="I62" s="443">
        <v>24.565000000000001</v>
      </c>
      <c r="J62" s="444">
        <v>24.565000000000001</v>
      </c>
      <c r="K62" s="447" t="s">
        <v>257</v>
      </c>
    </row>
    <row r="63" spans="1:11" ht="14.45" customHeight="1" thickBot="1" x14ac:dyDescent="0.25">
      <c r="A63" s="460" t="s">
        <v>314</v>
      </c>
      <c r="B63" s="438">
        <v>0</v>
      </c>
      <c r="C63" s="438">
        <v>14.465999999998999</v>
      </c>
      <c r="D63" s="439">
        <v>14.465999999998999</v>
      </c>
      <c r="E63" s="448" t="s">
        <v>257</v>
      </c>
      <c r="F63" s="438">
        <v>0</v>
      </c>
      <c r="G63" s="439">
        <v>0</v>
      </c>
      <c r="H63" s="441">
        <v>0</v>
      </c>
      <c r="I63" s="438">
        <v>24.565000000000001</v>
      </c>
      <c r="J63" s="439">
        <v>24.565000000000001</v>
      </c>
      <c r="K63" s="449" t="s">
        <v>257</v>
      </c>
    </row>
    <row r="64" spans="1:11" ht="14.45" customHeight="1" thickBot="1" x14ac:dyDescent="0.25">
      <c r="A64" s="458" t="s">
        <v>47</v>
      </c>
      <c r="B64" s="438">
        <v>1249.3509925639601</v>
      </c>
      <c r="C64" s="438">
        <v>1114.82</v>
      </c>
      <c r="D64" s="439">
        <v>-134.530992563956</v>
      </c>
      <c r="E64" s="440">
        <v>0.89231929748700001</v>
      </c>
      <c r="F64" s="438">
        <v>1297.44438899232</v>
      </c>
      <c r="G64" s="439">
        <v>864.96292599488095</v>
      </c>
      <c r="H64" s="441">
        <v>37.198500000000003</v>
      </c>
      <c r="I64" s="438">
        <v>550.98572999999897</v>
      </c>
      <c r="J64" s="439">
        <v>-313.97719599488101</v>
      </c>
      <c r="K64" s="442">
        <v>0.42467001643699998</v>
      </c>
    </row>
    <row r="65" spans="1:11" ht="14.45" customHeight="1" thickBot="1" x14ac:dyDescent="0.25">
      <c r="A65" s="459" t="s">
        <v>315</v>
      </c>
      <c r="B65" s="443">
        <v>41.495417365441</v>
      </c>
      <c r="C65" s="443">
        <v>51.298490000000001</v>
      </c>
      <c r="D65" s="444">
        <v>9.8030726345579993</v>
      </c>
      <c r="E65" s="450">
        <v>1.2362447050050001</v>
      </c>
      <c r="F65" s="443">
        <v>51.626109002798003</v>
      </c>
      <c r="G65" s="444">
        <v>34.417406001864997</v>
      </c>
      <c r="H65" s="446">
        <v>3.9185500000000002</v>
      </c>
      <c r="I65" s="443">
        <v>41.683639999999997</v>
      </c>
      <c r="J65" s="444">
        <v>7.2662339981340001</v>
      </c>
      <c r="K65" s="451">
        <v>0.80741393851200005</v>
      </c>
    </row>
    <row r="66" spans="1:11" ht="14.45" customHeight="1" thickBot="1" x14ac:dyDescent="0.25">
      <c r="A66" s="460" t="s">
        <v>316</v>
      </c>
      <c r="B66" s="438">
        <v>30.875383554245001</v>
      </c>
      <c r="C66" s="438">
        <v>39.792099999999998</v>
      </c>
      <c r="D66" s="439">
        <v>8.9167164457550001</v>
      </c>
      <c r="E66" s="440">
        <v>1.2887969449859999</v>
      </c>
      <c r="F66" s="438">
        <v>40.058546712991003</v>
      </c>
      <c r="G66" s="439">
        <v>26.705697808659998</v>
      </c>
      <c r="H66" s="441">
        <v>2.5070999999999999</v>
      </c>
      <c r="I66" s="438">
        <v>31.4941</v>
      </c>
      <c r="J66" s="439">
        <v>4.7884021913390002</v>
      </c>
      <c r="K66" s="442">
        <v>0.78620176177699996</v>
      </c>
    </row>
    <row r="67" spans="1:11" ht="14.45" customHeight="1" thickBot="1" x14ac:dyDescent="0.25">
      <c r="A67" s="460" t="s">
        <v>317</v>
      </c>
      <c r="B67" s="438">
        <v>10.620033811196</v>
      </c>
      <c r="C67" s="438">
        <v>11.50639</v>
      </c>
      <c r="D67" s="439">
        <v>0.88635618880300004</v>
      </c>
      <c r="E67" s="440">
        <v>1.08346076901</v>
      </c>
      <c r="F67" s="438">
        <v>11.567562289807</v>
      </c>
      <c r="G67" s="439">
        <v>7.7117081932050002</v>
      </c>
      <c r="H67" s="441">
        <v>1.4114500000000001</v>
      </c>
      <c r="I67" s="438">
        <v>10.189539999999999</v>
      </c>
      <c r="J67" s="439">
        <v>2.4778318067940002</v>
      </c>
      <c r="K67" s="442">
        <v>0.88087185050000005</v>
      </c>
    </row>
    <row r="68" spans="1:11" ht="14.45" customHeight="1" thickBot="1" x14ac:dyDescent="0.25">
      <c r="A68" s="459" t="s">
        <v>318</v>
      </c>
      <c r="B68" s="443">
        <v>27.440013654967998</v>
      </c>
      <c r="C68" s="443">
        <v>20.608000000000001</v>
      </c>
      <c r="D68" s="444">
        <v>-6.8320136549679997</v>
      </c>
      <c r="E68" s="450">
        <v>0.75102003443300003</v>
      </c>
      <c r="F68" s="443">
        <v>21.843736730109999</v>
      </c>
      <c r="G68" s="444">
        <v>14.562491153406</v>
      </c>
      <c r="H68" s="446">
        <v>4.2689899999999996</v>
      </c>
      <c r="I68" s="443">
        <v>16.548469999999998</v>
      </c>
      <c r="J68" s="444">
        <v>1.9859788465929999</v>
      </c>
      <c r="K68" s="451">
        <v>0.75758420843700003</v>
      </c>
    </row>
    <row r="69" spans="1:11" ht="14.45" customHeight="1" thickBot="1" x14ac:dyDescent="0.25">
      <c r="A69" s="460" t="s">
        <v>319</v>
      </c>
      <c r="B69" s="438">
        <v>2.8394366197180001</v>
      </c>
      <c r="C69" s="438">
        <v>2.7</v>
      </c>
      <c r="D69" s="439">
        <v>-0.139436619718</v>
      </c>
      <c r="E69" s="440">
        <v>0.950892857142</v>
      </c>
      <c r="F69" s="438">
        <v>2.9999999999989999</v>
      </c>
      <c r="G69" s="439">
        <v>1.9999999999989999</v>
      </c>
      <c r="H69" s="441">
        <v>0</v>
      </c>
      <c r="I69" s="438">
        <v>2.0249999999999999</v>
      </c>
      <c r="J69" s="439">
        <v>2.5000000000000001E-2</v>
      </c>
      <c r="K69" s="442">
        <v>0.67500000000000004</v>
      </c>
    </row>
    <row r="70" spans="1:11" ht="14.45" customHeight="1" thickBot="1" x14ac:dyDescent="0.25">
      <c r="A70" s="460" t="s">
        <v>320</v>
      </c>
      <c r="B70" s="438">
        <v>24.600577035249</v>
      </c>
      <c r="C70" s="438">
        <v>17.908000000000001</v>
      </c>
      <c r="D70" s="439">
        <v>-6.6925770352490002</v>
      </c>
      <c r="E70" s="440">
        <v>0.72795040434699998</v>
      </c>
      <c r="F70" s="438">
        <v>18.843736730109999</v>
      </c>
      <c r="G70" s="439">
        <v>12.562491153406</v>
      </c>
      <c r="H70" s="441">
        <v>4.2689899999999996</v>
      </c>
      <c r="I70" s="438">
        <v>14.52347</v>
      </c>
      <c r="J70" s="439">
        <v>1.960978846593</v>
      </c>
      <c r="K70" s="442">
        <v>0.77073195237199998</v>
      </c>
    </row>
    <row r="71" spans="1:11" ht="14.45" customHeight="1" thickBot="1" x14ac:dyDescent="0.25">
      <c r="A71" s="459" t="s">
        <v>321</v>
      </c>
      <c r="B71" s="443">
        <v>295.332630834459</v>
      </c>
      <c r="C71" s="443">
        <v>272.59141</v>
      </c>
      <c r="D71" s="444">
        <v>-22.741220834458002</v>
      </c>
      <c r="E71" s="450">
        <v>0.92299794042299999</v>
      </c>
      <c r="F71" s="443">
        <v>282.033959159613</v>
      </c>
      <c r="G71" s="444">
        <v>188.02263943974199</v>
      </c>
      <c r="H71" s="446">
        <v>24.4648</v>
      </c>
      <c r="I71" s="443">
        <v>190.74967000000001</v>
      </c>
      <c r="J71" s="444">
        <v>2.727030560257</v>
      </c>
      <c r="K71" s="451">
        <v>0.67633582341700005</v>
      </c>
    </row>
    <row r="72" spans="1:11" ht="14.45" customHeight="1" thickBot="1" x14ac:dyDescent="0.25">
      <c r="A72" s="460" t="s">
        <v>322</v>
      </c>
      <c r="B72" s="438">
        <v>259.75243803257098</v>
      </c>
      <c r="C72" s="438">
        <v>239.1369</v>
      </c>
      <c r="D72" s="439">
        <v>-20.615538032570001</v>
      </c>
      <c r="E72" s="440">
        <v>0.92063389976700005</v>
      </c>
      <c r="F72" s="438">
        <v>247.38589968277401</v>
      </c>
      <c r="G72" s="439">
        <v>164.92393312184899</v>
      </c>
      <c r="H72" s="441">
        <v>20.920400000000001</v>
      </c>
      <c r="I72" s="438">
        <v>163.8826</v>
      </c>
      <c r="J72" s="439">
        <v>-1.0413331218490001</v>
      </c>
      <c r="K72" s="442">
        <v>0.66245731955599996</v>
      </c>
    </row>
    <row r="73" spans="1:11" ht="14.45" customHeight="1" thickBot="1" x14ac:dyDescent="0.25">
      <c r="A73" s="460" t="s">
        <v>323</v>
      </c>
      <c r="B73" s="438">
        <v>0</v>
      </c>
      <c r="C73" s="438">
        <v>0</v>
      </c>
      <c r="D73" s="439">
        <v>0</v>
      </c>
      <c r="E73" s="440">
        <v>1</v>
      </c>
      <c r="F73" s="438">
        <v>0</v>
      </c>
      <c r="G73" s="439">
        <v>0</v>
      </c>
      <c r="H73" s="441">
        <v>0</v>
      </c>
      <c r="I73" s="438">
        <v>4.2349999999990002</v>
      </c>
      <c r="J73" s="439">
        <v>4.2349999999990002</v>
      </c>
      <c r="K73" s="449" t="s">
        <v>280</v>
      </c>
    </row>
    <row r="74" spans="1:11" ht="14.45" customHeight="1" thickBot="1" x14ac:dyDescent="0.25">
      <c r="A74" s="460" t="s">
        <v>324</v>
      </c>
      <c r="B74" s="438">
        <v>0</v>
      </c>
      <c r="C74" s="438">
        <v>0.36399999999999999</v>
      </c>
      <c r="D74" s="439">
        <v>0.36399999999999999</v>
      </c>
      <c r="E74" s="448" t="s">
        <v>257</v>
      </c>
      <c r="F74" s="438">
        <v>0.35685609777799998</v>
      </c>
      <c r="G74" s="439">
        <v>0.23790406518500001</v>
      </c>
      <c r="H74" s="441">
        <v>0.182</v>
      </c>
      <c r="I74" s="438">
        <v>0.36399999999999999</v>
      </c>
      <c r="J74" s="439">
        <v>0.126095934814</v>
      </c>
      <c r="K74" s="442">
        <v>1.020019</v>
      </c>
    </row>
    <row r="75" spans="1:11" ht="14.45" customHeight="1" thickBot="1" x14ac:dyDescent="0.25">
      <c r="A75" s="460" t="s">
        <v>325</v>
      </c>
      <c r="B75" s="438">
        <v>35.580192801888003</v>
      </c>
      <c r="C75" s="438">
        <v>33.090510000000002</v>
      </c>
      <c r="D75" s="439">
        <v>-2.4896828018880002</v>
      </c>
      <c r="E75" s="440">
        <v>0.93002615764999996</v>
      </c>
      <c r="F75" s="438">
        <v>34.291203379060001</v>
      </c>
      <c r="G75" s="439">
        <v>22.860802252707</v>
      </c>
      <c r="H75" s="441">
        <v>2.19428</v>
      </c>
      <c r="I75" s="438">
        <v>18.774370000000001</v>
      </c>
      <c r="J75" s="439">
        <v>-4.0864322527069996</v>
      </c>
      <c r="K75" s="442">
        <v>0.54749813800500002</v>
      </c>
    </row>
    <row r="76" spans="1:11" ht="14.45" customHeight="1" thickBot="1" x14ac:dyDescent="0.25">
      <c r="A76" s="460" t="s">
        <v>326</v>
      </c>
      <c r="B76" s="438">
        <v>0</v>
      </c>
      <c r="C76" s="438">
        <v>0</v>
      </c>
      <c r="D76" s="439">
        <v>0</v>
      </c>
      <c r="E76" s="440">
        <v>1</v>
      </c>
      <c r="F76" s="438">
        <v>0</v>
      </c>
      <c r="G76" s="439">
        <v>0</v>
      </c>
      <c r="H76" s="441">
        <v>1.16812</v>
      </c>
      <c r="I76" s="438">
        <v>3.4937</v>
      </c>
      <c r="J76" s="439">
        <v>3.4937</v>
      </c>
      <c r="K76" s="449" t="s">
        <v>280</v>
      </c>
    </row>
    <row r="77" spans="1:11" ht="14.45" customHeight="1" thickBot="1" x14ac:dyDescent="0.25">
      <c r="A77" s="459" t="s">
        <v>327</v>
      </c>
      <c r="B77" s="443">
        <v>675.08293070908906</v>
      </c>
      <c r="C77" s="443">
        <v>649.51512000000105</v>
      </c>
      <c r="D77" s="444">
        <v>-25.567810709086999</v>
      </c>
      <c r="E77" s="450">
        <v>0.96212641507200003</v>
      </c>
      <c r="F77" s="443">
        <v>711.94058409979903</v>
      </c>
      <c r="G77" s="444">
        <v>474.62705606653299</v>
      </c>
      <c r="H77" s="446">
        <v>4.5461600000000004</v>
      </c>
      <c r="I77" s="443">
        <v>254.90056000000001</v>
      </c>
      <c r="J77" s="444">
        <v>-219.726496066533</v>
      </c>
      <c r="K77" s="451">
        <v>0.35803628237000001</v>
      </c>
    </row>
    <row r="78" spans="1:11" ht="14.45" customHeight="1" thickBot="1" x14ac:dyDescent="0.25">
      <c r="A78" s="460" t="s">
        <v>328</v>
      </c>
      <c r="B78" s="438">
        <v>459.54662533480501</v>
      </c>
      <c r="C78" s="438">
        <v>376.59744000000097</v>
      </c>
      <c r="D78" s="439">
        <v>-82.949185334804</v>
      </c>
      <c r="E78" s="440">
        <v>0.81949778159200004</v>
      </c>
      <c r="F78" s="438">
        <v>447.95134008808901</v>
      </c>
      <c r="G78" s="439">
        <v>298.63422672539298</v>
      </c>
      <c r="H78" s="441">
        <v>4.5461600000000004</v>
      </c>
      <c r="I78" s="438">
        <v>154.86344</v>
      </c>
      <c r="J78" s="439">
        <v>-143.77078672539301</v>
      </c>
      <c r="K78" s="442">
        <v>0.345714871551</v>
      </c>
    </row>
    <row r="79" spans="1:11" ht="14.45" customHeight="1" thickBot="1" x14ac:dyDescent="0.25">
      <c r="A79" s="460" t="s">
        <v>329</v>
      </c>
      <c r="B79" s="438">
        <v>15.544532759457001</v>
      </c>
      <c r="C79" s="438">
        <v>8.7575000000000003</v>
      </c>
      <c r="D79" s="439">
        <v>-6.7870327594570004</v>
      </c>
      <c r="E79" s="440">
        <v>0.563381359576</v>
      </c>
      <c r="F79" s="438">
        <v>10</v>
      </c>
      <c r="G79" s="439">
        <v>6.6666666666659999</v>
      </c>
      <c r="H79" s="441">
        <v>0</v>
      </c>
      <c r="I79" s="438">
        <v>5.0064999999989999</v>
      </c>
      <c r="J79" s="439">
        <v>-1.660166666666</v>
      </c>
      <c r="K79" s="442">
        <v>0.50064999999899995</v>
      </c>
    </row>
    <row r="80" spans="1:11" ht="14.45" customHeight="1" thickBot="1" x14ac:dyDescent="0.25">
      <c r="A80" s="460" t="s">
        <v>330</v>
      </c>
      <c r="B80" s="438">
        <v>197.82051572174001</v>
      </c>
      <c r="C80" s="438">
        <v>245.74936</v>
      </c>
      <c r="D80" s="439">
        <v>47.928844278259</v>
      </c>
      <c r="E80" s="440">
        <v>1.2422844976580001</v>
      </c>
      <c r="F80" s="438">
        <v>233.75619728673399</v>
      </c>
      <c r="G80" s="439">
        <v>155.83746485782299</v>
      </c>
      <c r="H80" s="441">
        <v>0</v>
      </c>
      <c r="I80" s="438">
        <v>81.350519999998994</v>
      </c>
      <c r="J80" s="439">
        <v>-74.486944857823005</v>
      </c>
      <c r="K80" s="442">
        <v>0.34801438825600001</v>
      </c>
    </row>
    <row r="81" spans="1:11" ht="14.45" customHeight="1" thickBot="1" x14ac:dyDescent="0.25">
      <c r="A81" s="460" t="s">
        <v>331</v>
      </c>
      <c r="B81" s="438">
        <v>2.1712568930849998</v>
      </c>
      <c r="C81" s="438">
        <v>18.410820000000001</v>
      </c>
      <c r="D81" s="439">
        <v>16.239563106914002</v>
      </c>
      <c r="E81" s="440">
        <v>8.4793375019909991</v>
      </c>
      <c r="F81" s="438">
        <v>20.233046724975001</v>
      </c>
      <c r="G81" s="439">
        <v>13.488697816649999</v>
      </c>
      <c r="H81" s="441">
        <v>0</v>
      </c>
      <c r="I81" s="438">
        <v>13.680099999999999</v>
      </c>
      <c r="J81" s="439">
        <v>0.191402183349</v>
      </c>
      <c r="K81" s="442">
        <v>0.67612654613699996</v>
      </c>
    </row>
    <row r="82" spans="1:11" ht="14.45" customHeight="1" thickBot="1" x14ac:dyDescent="0.25">
      <c r="A82" s="459" t="s">
        <v>332</v>
      </c>
      <c r="B82" s="443">
        <v>210</v>
      </c>
      <c r="C82" s="443">
        <v>120.80698</v>
      </c>
      <c r="D82" s="444">
        <v>-89.193019999998995</v>
      </c>
      <c r="E82" s="450">
        <v>0.57527133333299996</v>
      </c>
      <c r="F82" s="443">
        <v>230</v>
      </c>
      <c r="G82" s="444">
        <v>153.333333333334</v>
      </c>
      <c r="H82" s="446">
        <v>0</v>
      </c>
      <c r="I82" s="443">
        <v>47.103389999999003</v>
      </c>
      <c r="J82" s="444">
        <v>-106.22994333333401</v>
      </c>
      <c r="K82" s="451">
        <v>0.20479734782600001</v>
      </c>
    </row>
    <row r="83" spans="1:11" ht="14.45" customHeight="1" thickBot="1" x14ac:dyDescent="0.25">
      <c r="A83" s="460" t="s">
        <v>333</v>
      </c>
      <c r="B83" s="438">
        <v>0</v>
      </c>
      <c r="C83" s="438">
        <v>1.1000000000000001</v>
      </c>
      <c r="D83" s="439">
        <v>1.1000000000000001</v>
      </c>
      <c r="E83" s="448" t="s">
        <v>280</v>
      </c>
      <c r="F83" s="438">
        <v>0</v>
      </c>
      <c r="G83" s="439">
        <v>0</v>
      </c>
      <c r="H83" s="441">
        <v>0</v>
      </c>
      <c r="I83" s="438">
        <v>0</v>
      </c>
      <c r="J83" s="439">
        <v>0</v>
      </c>
      <c r="K83" s="449" t="s">
        <v>257</v>
      </c>
    </row>
    <row r="84" spans="1:11" ht="14.45" customHeight="1" thickBot="1" x14ac:dyDescent="0.25">
      <c r="A84" s="460" t="s">
        <v>334</v>
      </c>
      <c r="B84" s="438">
        <v>160</v>
      </c>
      <c r="C84" s="438">
        <v>66.818979999999996</v>
      </c>
      <c r="D84" s="439">
        <v>-93.181019999998995</v>
      </c>
      <c r="E84" s="440">
        <v>0.41761862500000002</v>
      </c>
      <c r="F84" s="438">
        <v>120</v>
      </c>
      <c r="G84" s="439">
        <v>80</v>
      </c>
      <c r="H84" s="441">
        <v>0</v>
      </c>
      <c r="I84" s="438">
        <v>32.287289999998997</v>
      </c>
      <c r="J84" s="439">
        <v>-47.712710000000001</v>
      </c>
      <c r="K84" s="442">
        <v>0.26906074999899998</v>
      </c>
    </row>
    <row r="85" spans="1:11" ht="14.45" customHeight="1" thickBot="1" x14ac:dyDescent="0.25">
      <c r="A85" s="460" t="s">
        <v>335</v>
      </c>
      <c r="B85" s="438">
        <v>50</v>
      </c>
      <c r="C85" s="438">
        <v>52.040999999999997</v>
      </c>
      <c r="D85" s="439">
        <v>2.0409999999999999</v>
      </c>
      <c r="E85" s="440">
        <v>1.0408200000000001</v>
      </c>
      <c r="F85" s="438">
        <v>110</v>
      </c>
      <c r="G85" s="439">
        <v>73.333333333333002</v>
      </c>
      <c r="H85" s="441">
        <v>0</v>
      </c>
      <c r="I85" s="438">
        <v>14.8161</v>
      </c>
      <c r="J85" s="439">
        <v>-58.517233333333003</v>
      </c>
      <c r="K85" s="442">
        <v>0.13469181818100001</v>
      </c>
    </row>
    <row r="86" spans="1:11" ht="14.45" customHeight="1" thickBot="1" x14ac:dyDescent="0.25">
      <c r="A86" s="460" t="s">
        <v>336</v>
      </c>
      <c r="B86" s="438">
        <v>0</v>
      </c>
      <c r="C86" s="438">
        <v>0.84699999999999998</v>
      </c>
      <c r="D86" s="439">
        <v>0.84699999999999998</v>
      </c>
      <c r="E86" s="448" t="s">
        <v>280</v>
      </c>
      <c r="F86" s="438">
        <v>0</v>
      </c>
      <c r="G86" s="439">
        <v>0</v>
      </c>
      <c r="H86" s="441">
        <v>0</v>
      </c>
      <c r="I86" s="438">
        <v>0</v>
      </c>
      <c r="J86" s="439">
        <v>0</v>
      </c>
      <c r="K86" s="449" t="s">
        <v>257</v>
      </c>
    </row>
    <row r="87" spans="1:11" ht="14.45" customHeight="1" thickBot="1" x14ac:dyDescent="0.25">
      <c r="A87" s="457" t="s">
        <v>48</v>
      </c>
      <c r="B87" s="438">
        <v>18881.9959987609</v>
      </c>
      <c r="C87" s="438">
        <v>21137.790069999999</v>
      </c>
      <c r="D87" s="439">
        <v>2255.7940712391401</v>
      </c>
      <c r="E87" s="440">
        <v>1.1194679879909999</v>
      </c>
      <c r="F87" s="438">
        <v>23016.645256</v>
      </c>
      <c r="G87" s="439">
        <v>15344.430170666699</v>
      </c>
      <c r="H87" s="441">
        <v>1591.9449400000001</v>
      </c>
      <c r="I87" s="438">
        <v>14061.0969</v>
      </c>
      <c r="J87" s="439">
        <v>-1283.3332706666899</v>
      </c>
      <c r="K87" s="442">
        <v>0.610909919478</v>
      </c>
    </row>
    <row r="88" spans="1:11" ht="14.45" customHeight="1" thickBot="1" x14ac:dyDescent="0.25">
      <c r="A88" s="463" t="s">
        <v>337</v>
      </c>
      <c r="B88" s="443">
        <v>13931.9959987609</v>
      </c>
      <c r="C88" s="443">
        <v>15575.951999999999</v>
      </c>
      <c r="D88" s="444">
        <v>1643.9560012391401</v>
      </c>
      <c r="E88" s="450">
        <v>1.1179985984330001</v>
      </c>
      <c r="F88" s="443">
        <v>16350.56</v>
      </c>
      <c r="G88" s="444">
        <v>10900.3733333334</v>
      </c>
      <c r="H88" s="446">
        <v>1174.499</v>
      </c>
      <c r="I88" s="443">
        <v>10350.815000000001</v>
      </c>
      <c r="J88" s="444">
        <v>-549.55833333336204</v>
      </c>
      <c r="K88" s="451">
        <v>0.63305568738899998</v>
      </c>
    </row>
    <row r="89" spans="1:11" ht="14.45" customHeight="1" thickBot="1" x14ac:dyDescent="0.25">
      <c r="A89" s="459" t="s">
        <v>338</v>
      </c>
      <c r="B89" s="443">
        <v>13750</v>
      </c>
      <c r="C89" s="443">
        <v>15384.217000000001</v>
      </c>
      <c r="D89" s="444">
        <v>1634.2170000000699</v>
      </c>
      <c r="E89" s="450">
        <v>1.1188521454539999</v>
      </c>
      <c r="F89" s="443">
        <v>15897.67</v>
      </c>
      <c r="G89" s="444">
        <v>10598.446666666699</v>
      </c>
      <c r="H89" s="446">
        <v>1158.482</v>
      </c>
      <c r="I89" s="443">
        <v>10276.942999999999</v>
      </c>
      <c r="J89" s="444">
        <v>-321.50366666669299</v>
      </c>
      <c r="K89" s="451">
        <v>0.64644334672899995</v>
      </c>
    </row>
    <row r="90" spans="1:11" ht="14.45" customHeight="1" thickBot="1" x14ac:dyDescent="0.25">
      <c r="A90" s="460" t="s">
        <v>339</v>
      </c>
      <c r="B90" s="438">
        <v>13750</v>
      </c>
      <c r="C90" s="438">
        <v>15384.217000000001</v>
      </c>
      <c r="D90" s="439">
        <v>1634.2170000000699</v>
      </c>
      <c r="E90" s="440">
        <v>1.1188521454539999</v>
      </c>
      <c r="F90" s="438">
        <v>15897.67</v>
      </c>
      <c r="G90" s="439">
        <v>10598.446666666699</v>
      </c>
      <c r="H90" s="441">
        <v>1158.482</v>
      </c>
      <c r="I90" s="438">
        <v>10276.942999999999</v>
      </c>
      <c r="J90" s="439">
        <v>-321.50366666669299</v>
      </c>
      <c r="K90" s="442">
        <v>0.64644334672899995</v>
      </c>
    </row>
    <row r="91" spans="1:11" ht="14.45" customHeight="1" thickBot="1" x14ac:dyDescent="0.25">
      <c r="A91" s="459" t="s">
        <v>340</v>
      </c>
      <c r="B91" s="443">
        <v>149.22699876093</v>
      </c>
      <c r="C91" s="443">
        <v>158.85</v>
      </c>
      <c r="D91" s="444">
        <v>9.6230012390699997</v>
      </c>
      <c r="E91" s="450">
        <v>1.064485658218</v>
      </c>
      <c r="F91" s="443">
        <v>416.30000000000098</v>
      </c>
      <c r="G91" s="444">
        <v>277.53333333333399</v>
      </c>
      <c r="H91" s="446">
        <v>0</v>
      </c>
      <c r="I91" s="443">
        <v>34.35</v>
      </c>
      <c r="J91" s="444">
        <v>-243.18333333333399</v>
      </c>
      <c r="K91" s="451">
        <v>8.2512611097000005E-2</v>
      </c>
    </row>
    <row r="92" spans="1:11" ht="14.45" customHeight="1" thickBot="1" x14ac:dyDescent="0.25">
      <c r="A92" s="460" t="s">
        <v>341</v>
      </c>
      <c r="B92" s="438">
        <v>149.22699876093</v>
      </c>
      <c r="C92" s="438">
        <v>158.85</v>
      </c>
      <c r="D92" s="439">
        <v>9.6230012390699997</v>
      </c>
      <c r="E92" s="440">
        <v>1.064485658218</v>
      </c>
      <c r="F92" s="438">
        <v>416.30000000000098</v>
      </c>
      <c r="G92" s="439">
        <v>277.53333333333399</v>
      </c>
      <c r="H92" s="441">
        <v>0</v>
      </c>
      <c r="I92" s="438">
        <v>34.35</v>
      </c>
      <c r="J92" s="439">
        <v>-243.18333333333399</v>
      </c>
      <c r="K92" s="442">
        <v>8.2512611097000005E-2</v>
      </c>
    </row>
    <row r="93" spans="1:11" ht="14.45" customHeight="1" thickBot="1" x14ac:dyDescent="0.25">
      <c r="A93" s="459" t="s">
        <v>342</v>
      </c>
      <c r="B93" s="443">
        <v>32.768999999999998</v>
      </c>
      <c r="C93" s="443">
        <v>22.885000000000002</v>
      </c>
      <c r="D93" s="444">
        <v>-9.8839999999990003</v>
      </c>
      <c r="E93" s="450">
        <v>0.69837346272300005</v>
      </c>
      <c r="F93" s="443">
        <v>23.51</v>
      </c>
      <c r="G93" s="444">
        <v>15.673333333333</v>
      </c>
      <c r="H93" s="446">
        <v>8.5169999999999995</v>
      </c>
      <c r="I93" s="443">
        <v>27.021999999999998</v>
      </c>
      <c r="J93" s="444">
        <v>11.348666666666</v>
      </c>
      <c r="K93" s="451">
        <v>1.1493832411730001</v>
      </c>
    </row>
    <row r="94" spans="1:11" ht="14.45" customHeight="1" thickBot="1" x14ac:dyDescent="0.25">
      <c r="A94" s="460" t="s">
        <v>343</v>
      </c>
      <c r="B94" s="438">
        <v>32.768999999999998</v>
      </c>
      <c r="C94" s="438">
        <v>22.885000000000002</v>
      </c>
      <c r="D94" s="439">
        <v>-9.8839999999990003</v>
      </c>
      <c r="E94" s="440">
        <v>0.69837346272300005</v>
      </c>
      <c r="F94" s="438">
        <v>23.51</v>
      </c>
      <c r="G94" s="439">
        <v>15.673333333333</v>
      </c>
      <c r="H94" s="441">
        <v>8.5169999999999995</v>
      </c>
      <c r="I94" s="438">
        <v>27.021999999999998</v>
      </c>
      <c r="J94" s="439">
        <v>11.348666666666</v>
      </c>
      <c r="K94" s="442">
        <v>1.1493832411730001</v>
      </c>
    </row>
    <row r="95" spans="1:11" ht="14.45" customHeight="1" thickBot="1" x14ac:dyDescent="0.25">
      <c r="A95" s="462" t="s">
        <v>344</v>
      </c>
      <c r="B95" s="438">
        <v>0</v>
      </c>
      <c r="C95" s="438">
        <v>10</v>
      </c>
      <c r="D95" s="439">
        <v>10</v>
      </c>
      <c r="E95" s="448" t="s">
        <v>257</v>
      </c>
      <c r="F95" s="438">
        <v>13.08</v>
      </c>
      <c r="G95" s="439">
        <v>8.7200000000000006</v>
      </c>
      <c r="H95" s="441">
        <v>7.5</v>
      </c>
      <c r="I95" s="438">
        <v>12.5</v>
      </c>
      <c r="J95" s="439">
        <v>3.78</v>
      </c>
      <c r="K95" s="442">
        <v>0.95565749235399999</v>
      </c>
    </row>
    <row r="96" spans="1:11" ht="14.45" customHeight="1" thickBot="1" x14ac:dyDescent="0.25">
      <c r="A96" s="460" t="s">
        <v>345</v>
      </c>
      <c r="B96" s="438">
        <v>0</v>
      </c>
      <c r="C96" s="438">
        <v>10</v>
      </c>
      <c r="D96" s="439">
        <v>10</v>
      </c>
      <c r="E96" s="448" t="s">
        <v>257</v>
      </c>
      <c r="F96" s="438">
        <v>13.08</v>
      </c>
      <c r="G96" s="439">
        <v>8.7200000000000006</v>
      </c>
      <c r="H96" s="441">
        <v>7.5</v>
      </c>
      <c r="I96" s="438">
        <v>12.5</v>
      </c>
      <c r="J96" s="439">
        <v>3.78</v>
      </c>
      <c r="K96" s="442">
        <v>0.95565749235399999</v>
      </c>
    </row>
    <row r="97" spans="1:11" ht="14.45" customHeight="1" thickBot="1" x14ac:dyDescent="0.25">
      <c r="A97" s="458" t="s">
        <v>346</v>
      </c>
      <c r="B97" s="438">
        <v>4675</v>
      </c>
      <c r="C97" s="438">
        <v>5253.68084000001</v>
      </c>
      <c r="D97" s="439">
        <v>578.68084000001102</v>
      </c>
      <c r="E97" s="440">
        <v>1.1237819978600001</v>
      </c>
      <c r="F97" s="438">
        <v>6222.0899999999901</v>
      </c>
      <c r="G97" s="439">
        <v>4148.0600000000004</v>
      </c>
      <c r="H97" s="441">
        <v>394.10430000000099</v>
      </c>
      <c r="I97" s="438">
        <v>3504.18993</v>
      </c>
      <c r="J97" s="439">
        <v>-643.87006999999903</v>
      </c>
      <c r="K97" s="442">
        <v>0.56318534929499997</v>
      </c>
    </row>
    <row r="98" spans="1:11" ht="14.45" customHeight="1" thickBot="1" x14ac:dyDescent="0.25">
      <c r="A98" s="459" t="s">
        <v>347</v>
      </c>
      <c r="B98" s="443">
        <v>1237.5</v>
      </c>
      <c r="C98" s="443">
        <v>1391.66608</v>
      </c>
      <c r="D98" s="444">
        <v>154.16607999999999</v>
      </c>
      <c r="E98" s="450">
        <v>1.1245786505049999</v>
      </c>
      <c r="F98" s="443">
        <v>1652.11</v>
      </c>
      <c r="G98" s="444">
        <v>1101.4066666666599</v>
      </c>
      <c r="H98" s="446">
        <v>104.94078</v>
      </c>
      <c r="I98" s="443">
        <v>929.14447999999902</v>
      </c>
      <c r="J98" s="444">
        <v>-172.262186666665</v>
      </c>
      <c r="K98" s="451">
        <v>0.56239867805400001</v>
      </c>
    </row>
    <row r="99" spans="1:11" ht="14.45" customHeight="1" thickBot="1" x14ac:dyDescent="0.25">
      <c r="A99" s="460" t="s">
        <v>348</v>
      </c>
      <c r="B99" s="438">
        <v>1237.5</v>
      </c>
      <c r="C99" s="438">
        <v>1391.66608</v>
      </c>
      <c r="D99" s="439">
        <v>154.16607999999999</v>
      </c>
      <c r="E99" s="440">
        <v>1.1245786505049999</v>
      </c>
      <c r="F99" s="438">
        <v>1652.11</v>
      </c>
      <c r="G99" s="439">
        <v>1101.4066666666599</v>
      </c>
      <c r="H99" s="441">
        <v>104.94078</v>
      </c>
      <c r="I99" s="438">
        <v>929.14447999999902</v>
      </c>
      <c r="J99" s="439">
        <v>-172.262186666665</v>
      </c>
      <c r="K99" s="442">
        <v>0.56239867805400001</v>
      </c>
    </row>
    <row r="100" spans="1:11" ht="14.45" customHeight="1" thickBot="1" x14ac:dyDescent="0.25">
      <c r="A100" s="459" t="s">
        <v>349</v>
      </c>
      <c r="B100" s="443">
        <v>3437.5</v>
      </c>
      <c r="C100" s="443">
        <v>3862.01476000001</v>
      </c>
      <c r="D100" s="444">
        <v>424.51476000001099</v>
      </c>
      <c r="E100" s="450">
        <v>1.123495202909</v>
      </c>
      <c r="F100" s="443">
        <v>4569.9799999999996</v>
      </c>
      <c r="G100" s="444">
        <v>3046.65333333333</v>
      </c>
      <c r="H100" s="446">
        <v>289.16352000000097</v>
      </c>
      <c r="I100" s="443">
        <v>2575.0454500000001</v>
      </c>
      <c r="J100" s="444">
        <v>-471.60788333333397</v>
      </c>
      <c r="K100" s="451">
        <v>0.56346974166099995</v>
      </c>
    </row>
    <row r="101" spans="1:11" ht="14.45" customHeight="1" thickBot="1" x14ac:dyDescent="0.25">
      <c r="A101" s="460" t="s">
        <v>350</v>
      </c>
      <c r="B101" s="438">
        <v>3437.5</v>
      </c>
      <c r="C101" s="438">
        <v>3862.01476000001</v>
      </c>
      <c r="D101" s="439">
        <v>424.51476000001099</v>
      </c>
      <c r="E101" s="440">
        <v>1.123495202909</v>
      </c>
      <c r="F101" s="438">
        <v>4569.9799999999996</v>
      </c>
      <c r="G101" s="439">
        <v>3046.65333333333</v>
      </c>
      <c r="H101" s="441">
        <v>289.16352000000097</v>
      </c>
      <c r="I101" s="438">
        <v>2575.0454500000001</v>
      </c>
      <c r="J101" s="439">
        <v>-471.60788333333397</v>
      </c>
      <c r="K101" s="442">
        <v>0.56346974166099995</v>
      </c>
    </row>
    <row r="102" spans="1:11" ht="14.45" customHeight="1" thickBot="1" x14ac:dyDescent="0.25">
      <c r="A102" s="458" t="s">
        <v>351</v>
      </c>
      <c r="B102" s="438">
        <v>0</v>
      </c>
      <c r="C102" s="438">
        <v>0</v>
      </c>
      <c r="D102" s="439">
        <v>0</v>
      </c>
      <c r="E102" s="440">
        <v>1</v>
      </c>
      <c r="F102" s="438">
        <v>75.485256000000007</v>
      </c>
      <c r="G102" s="439">
        <v>50.323504</v>
      </c>
      <c r="H102" s="441">
        <v>0</v>
      </c>
      <c r="I102" s="438">
        <v>0</v>
      </c>
      <c r="J102" s="439">
        <v>-50.323504</v>
      </c>
      <c r="K102" s="442">
        <v>0</v>
      </c>
    </row>
    <row r="103" spans="1:11" ht="14.45" customHeight="1" thickBot="1" x14ac:dyDescent="0.25">
      <c r="A103" s="459" t="s">
        <v>352</v>
      </c>
      <c r="B103" s="443">
        <v>0</v>
      </c>
      <c r="C103" s="443">
        <v>0</v>
      </c>
      <c r="D103" s="444">
        <v>0</v>
      </c>
      <c r="E103" s="450">
        <v>1</v>
      </c>
      <c r="F103" s="443">
        <v>75.485256000000007</v>
      </c>
      <c r="G103" s="444">
        <v>50.323504</v>
      </c>
      <c r="H103" s="446">
        <v>0</v>
      </c>
      <c r="I103" s="443">
        <v>0</v>
      </c>
      <c r="J103" s="444">
        <v>-50.323504</v>
      </c>
      <c r="K103" s="451">
        <v>0</v>
      </c>
    </row>
    <row r="104" spans="1:11" ht="14.45" customHeight="1" thickBot="1" x14ac:dyDescent="0.25">
      <c r="A104" s="460" t="s">
        <v>353</v>
      </c>
      <c r="B104" s="438">
        <v>0</v>
      </c>
      <c r="C104" s="438">
        <v>0</v>
      </c>
      <c r="D104" s="439">
        <v>0</v>
      </c>
      <c r="E104" s="440">
        <v>1</v>
      </c>
      <c r="F104" s="438">
        <v>75.485256000000007</v>
      </c>
      <c r="G104" s="439">
        <v>50.323504</v>
      </c>
      <c r="H104" s="441">
        <v>0</v>
      </c>
      <c r="I104" s="438">
        <v>0</v>
      </c>
      <c r="J104" s="439">
        <v>-50.323504</v>
      </c>
      <c r="K104" s="442">
        <v>0</v>
      </c>
    </row>
    <row r="105" spans="1:11" ht="14.45" customHeight="1" thickBot="1" x14ac:dyDescent="0.25">
      <c r="A105" s="458" t="s">
        <v>354</v>
      </c>
      <c r="B105" s="438">
        <v>275.00000000000102</v>
      </c>
      <c r="C105" s="438">
        <v>308.15723000000003</v>
      </c>
      <c r="D105" s="439">
        <v>33.157229999998997</v>
      </c>
      <c r="E105" s="440">
        <v>1.1205717454540001</v>
      </c>
      <c r="F105" s="438">
        <v>368.51</v>
      </c>
      <c r="G105" s="439">
        <v>245.67333333333301</v>
      </c>
      <c r="H105" s="441">
        <v>23.341640000000002</v>
      </c>
      <c r="I105" s="438">
        <v>206.09197</v>
      </c>
      <c r="J105" s="439">
        <v>-39.581363333333002</v>
      </c>
      <c r="K105" s="442">
        <v>0.55925746926800002</v>
      </c>
    </row>
    <row r="106" spans="1:11" ht="14.45" customHeight="1" thickBot="1" x14ac:dyDescent="0.25">
      <c r="A106" s="459" t="s">
        <v>355</v>
      </c>
      <c r="B106" s="443">
        <v>275.00000000000102</v>
      </c>
      <c r="C106" s="443">
        <v>308.15723000000003</v>
      </c>
      <c r="D106" s="444">
        <v>33.157229999998997</v>
      </c>
      <c r="E106" s="450">
        <v>1.1205717454540001</v>
      </c>
      <c r="F106" s="443">
        <v>368.51</v>
      </c>
      <c r="G106" s="444">
        <v>245.67333333333301</v>
      </c>
      <c r="H106" s="446">
        <v>23.341640000000002</v>
      </c>
      <c r="I106" s="443">
        <v>206.09197</v>
      </c>
      <c r="J106" s="444">
        <v>-39.581363333333002</v>
      </c>
      <c r="K106" s="451">
        <v>0.55925746926800002</v>
      </c>
    </row>
    <row r="107" spans="1:11" ht="14.45" customHeight="1" thickBot="1" x14ac:dyDescent="0.25">
      <c r="A107" s="460" t="s">
        <v>356</v>
      </c>
      <c r="B107" s="438">
        <v>275.00000000000102</v>
      </c>
      <c r="C107" s="438">
        <v>308.15723000000003</v>
      </c>
      <c r="D107" s="439">
        <v>33.157229999998997</v>
      </c>
      <c r="E107" s="440">
        <v>1.1205717454540001</v>
      </c>
      <c r="F107" s="438">
        <v>368.51</v>
      </c>
      <c r="G107" s="439">
        <v>245.67333333333301</v>
      </c>
      <c r="H107" s="441">
        <v>23.341640000000002</v>
      </c>
      <c r="I107" s="438">
        <v>206.09197</v>
      </c>
      <c r="J107" s="439">
        <v>-39.581363333333002</v>
      </c>
      <c r="K107" s="442">
        <v>0.55925746926800002</v>
      </c>
    </row>
    <row r="108" spans="1:11" ht="14.45" customHeight="1" thickBot="1" x14ac:dyDescent="0.25">
      <c r="A108" s="457" t="s">
        <v>357</v>
      </c>
      <c r="B108" s="438">
        <v>16.552120762752001</v>
      </c>
      <c r="C108" s="438">
        <v>85.568250000000006</v>
      </c>
      <c r="D108" s="439">
        <v>69.016129237247</v>
      </c>
      <c r="E108" s="440">
        <v>5.1696245590809999</v>
      </c>
      <c r="F108" s="438">
        <v>0</v>
      </c>
      <c r="G108" s="439">
        <v>0</v>
      </c>
      <c r="H108" s="441">
        <v>0.37740000000000001</v>
      </c>
      <c r="I108" s="438">
        <v>55.125349999999997</v>
      </c>
      <c r="J108" s="439">
        <v>55.125349999999997</v>
      </c>
      <c r="K108" s="449" t="s">
        <v>257</v>
      </c>
    </row>
    <row r="109" spans="1:11" ht="14.45" customHeight="1" thickBot="1" x14ac:dyDescent="0.25">
      <c r="A109" s="458" t="s">
        <v>358</v>
      </c>
      <c r="B109" s="438">
        <v>16.552120762752001</v>
      </c>
      <c r="C109" s="438">
        <v>85.568250000000006</v>
      </c>
      <c r="D109" s="439">
        <v>69.016129237247</v>
      </c>
      <c r="E109" s="440">
        <v>5.1696245590809999</v>
      </c>
      <c r="F109" s="438">
        <v>0</v>
      </c>
      <c r="G109" s="439">
        <v>0</v>
      </c>
      <c r="H109" s="441">
        <v>0.37740000000000001</v>
      </c>
      <c r="I109" s="438">
        <v>55.125349999999997</v>
      </c>
      <c r="J109" s="439">
        <v>55.125349999999997</v>
      </c>
      <c r="K109" s="449" t="s">
        <v>257</v>
      </c>
    </row>
    <row r="110" spans="1:11" ht="14.45" customHeight="1" thickBot="1" x14ac:dyDescent="0.25">
      <c r="A110" s="459" t="s">
        <v>359</v>
      </c>
      <c r="B110" s="443">
        <v>0</v>
      </c>
      <c r="C110" s="443">
        <v>17.984249999999999</v>
      </c>
      <c r="D110" s="444">
        <v>17.984249999999999</v>
      </c>
      <c r="E110" s="445" t="s">
        <v>257</v>
      </c>
      <c r="F110" s="443">
        <v>0</v>
      </c>
      <c r="G110" s="444">
        <v>0</v>
      </c>
      <c r="H110" s="446">
        <v>0.37740000000000001</v>
      </c>
      <c r="I110" s="443">
        <v>39.690350000000002</v>
      </c>
      <c r="J110" s="444">
        <v>39.690350000000002</v>
      </c>
      <c r="K110" s="447" t="s">
        <v>257</v>
      </c>
    </row>
    <row r="111" spans="1:11" ht="14.45" customHeight="1" thickBot="1" x14ac:dyDescent="0.25">
      <c r="A111" s="460" t="s">
        <v>360</v>
      </c>
      <c r="B111" s="438">
        <v>0</v>
      </c>
      <c r="C111" s="438">
        <v>1.36425</v>
      </c>
      <c r="D111" s="439">
        <v>1.36425</v>
      </c>
      <c r="E111" s="448" t="s">
        <v>257</v>
      </c>
      <c r="F111" s="438">
        <v>0</v>
      </c>
      <c r="G111" s="439">
        <v>0</v>
      </c>
      <c r="H111" s="441">
        <v>0.37740000000000001</v>
      </c>
      <c r="I111" s="438">
        <v>0.80834999999900004</v>
      </c>
      <c r="J111" s="439">
        <v>0.80834999999900004</v>
      </c>
      <c r="K111" s="449" t="s">
        <v>257</v>
      </c>
    </row>
    <row r="112" spans="1:11" ht="14.45" customHeight="1" thickBot="1" x14ac:dyDescent="0.25">
      <c r="A112" s="460" t="s">
        <v>361</v>
      </c>
      <c r="B112" s="438">
        <v>0</v>
      </c>
      <c r="C112" s="438">
        <v>4.5</v>
      </c>
      <c r="D112" s="439">
        <v>4.5</v>
      </c>
      <c r="E112" s="448" t="s">
        <v>280</v>
      </c>
      <c r="F112" s="438">
        <v>0</v>
      </c>
      <c r="G112" s="439">
        <v>0</v>
      </c>
      <c r="H112" s="441">
        <v>0</v>
      </c>
      <c r="I112" s="438">
        <v>2.9</v>
      </c>
      <c r="J112" s="439">
        <v>2.9</v>
      </c>
      <c r="K112" s="449" t="s">
        <v>257</v>
      </c>
    </row>
    <row r="113" spans="1:11" ht="14.45" customHeight="1" thickBot="1" x14ac:dyDescent="0.25">
      <c r="A113" s="460" t="s">
        <v>362</v>
      </c>
      <c r="B113" s="438">
        <v>0</v>
      </c>
      <c r="C113" s="438">
        <v>12.01</v>
      </c>
      <c r="D113" s="439">
        <v>12.01</v>
      </c>
      <c r="E113" s="448" t="s">
        <v>257</v>
      </c>
      <c r="F113" s="438">
        <v>0</v>
      </c>
      <c r="G113" s="439">
        <v>0</v>
      </c>
      <c r="H113" s="441">
        <v>0</v>
      </c>
      <c r="I113" s="438">
        <v>35.981999999999999</v>
      </c>
      <c r="J113" s="439">
        <v>35.981999999999999</v>
      </c>
      <c r="K113" s="449" t="s">
        <v>257</v>
      </c>
    </row>
    <row r="114" spans="1:11" ht="14.45" customHeight="1" thickBot="1" x14ac:dyDescent="0.25">
      <c r="A114" s="460" t="s">
        <v>363</v>
      </c>
      <c r="B114" s="438">
        <v>0</v>
      </c>
      <c r="C114" s="438">
        <v>0.11</v>
      </c>
      <c r="D114" s="439">
        <v>0.11</v>
      </c>
      <c r="E114" s="448" t="s">
        <v>280</v>
      </c>
      <c r="F114" s="438">
        <v>0</v>
      </c>
      <c r="G114" s="439">
        <v>0</v>
      </c>
      <c r="H114" s="441">
        <v>0</v>
      </c>
      <c r="I114" s="438">
        <v>0</v>
      </c>
      <c r="J114" s="439">
        <v>0</v>
      </c>
      <c r="K114" s="449" t="s">
        <v>257</v>
      </c>
    </row>
    <row r="115" spans="1:11" ht="14.45" customHeight="1" thickBot="1" x14ac:dyDescent="0.25">
      <c r="A115" s="462" t="s">
        <v>364</v>
      </c>
      <c r="B115" s="438">
        <v>0</v>
      </c>
      <c r="C115" s="438">
        <v>17.454000000000001</v>
      </c>
      <c r="D115" s="439">
        <v>17.454000000000001</v>
      </c>
      <c r="E115" s="448" t="s">
        <v>280</v>
      </c>
      <c r="F115" s="438">
        <v>0</v>
      </c>
      <c r="G115" s="439">
        <v>0</v>
      </c>
      <c r="H115" s="441">
        <v>0</v>
      </c>
      <c r="I115" s="438">
        <v>0</v>
      </c>
      <c r="J115" s="439">
        <v>0</v>
      </c>
      <c r="K115" s="449" t="s">
        <v>257</v>
      </c>
    </row>
    <row r="116" spans="1:11" ht="14.45" customHeight="1" thickBot="1" x14ac:dyDescent="0.25">
      <c r="A116" s="460" t="s">
        <v>365</v>
      </c>
      <c r="B116" s="438">
        <v>0</v>
      </c>
      <c r="C116" s="438">
        <v>17.454000000000001</v>
      </c>
      <c r="D116" s="439">
        <v>17.454000000000001</v>
      </c>
      <c r="E116" s="448" t="s">
        <v>280</v>
      </c>
      <c r="F116" s="438">
        <v>0</v>
      </c>
      <c r="G116" s="439">
        <v>0</v>
      </c>
      <c r="H116" s="441">
        <v>0</v>
      </c>
      <c r="I116" s="438">
        <v>0</v>
      </c>
      <c r="J116" s="439">
        <v>0</v>
      </c>
      <c r="K116" s="449" t="s">
        <v>257</v>
      </c>
    </row>
    <row r="117" spans="1:11" ht="14.45" customHeight="1" thickBot="1" x14ac:dyDescent="0.25">
      <c r="A117" s="462" t="s">
        <v>366</v>
      </c>
      <c r="B117" s="438">
        <v>16.552120762752001</v>
      </c>
      <c r="C117" s="438">
        <v>11</v>
      </c>
      <c r="D117" s="439">
        <v>-5.5521207627519997</v>
      </c>
      <c r="E117" s="440">
        <v>0.66456740846999995</v>
      </c>
      <c r="F117" s="438">
        <v>0</v>
      </c>
      <c r="G117" s="439">
        <v>0</v>
      </c>
      <c r="H117" s="441">
        <v>0</v>
      </c>
      <c r="I117" s="438">
        <v>0.7</v>
      </c>
      <c r="J117" s="439">
        <v>0.7</v>
      </c>
      <c r="K117" s="449" t="s">
        <v>257</v>
      </c>
    </row>
    <row r="118" spans="1:11" ht="14.45" customHeight="1" thickBot="1" x14ac:dyDescent="0.25">
      <c r="A118" s="460" t="s">
        <v>367</v>
      </c>
      <c r="B118" s="438">
        <v>16.552120762752001</v>
      </c>
      <c r="C118" s="438">
        <v>11</v>
      </c>
      <c r="D118" s="439">
        <v>-5.5521207627519997</v>
      </c>
      <c r="E118" s="440">
        <v>0.66456740846999995</v>
      </c>
      <c r="F118" s="438">
        <v>0</v>
      </c>
      <c r="G118" s="439">
        <v>0</v>
      </c>
      <c r="H118" s="441">
        <v>0</v>
      </c>
      <c r="I118" s="438">
        <v>0.7</v>
      </c>
      <c r="J118" s="439">
        <v>0.7</v>
      </c>
      <c r="K118" s="449" t="s">
        <v>257</v>
      </c>
    </row>
    <row r="119" spans="1:11" ht="14.45" customHeight="1" thickBot="1" x14ac:dyDescent="0.25">
      <c r="A119" s="462" t="s">
        <v>368</v>
      </c>
      <c r="B119" s="438">
        <v>0</v>
      </c>
      <c r="C119" s="438">
        <v>25.143999999999998</v>
      </c>
      <c r="D119" s="439">
        <v>25.143999999999998</v>
      </c>
      <c r="E119" s="448" t="s">
        <v>257</v>
      </c>
      <c r="F119" s="438">
        <v>0</v>
      </c>
      <c r="G119" s="439">
        <v>0</v>
      </c>
      <c r="H119" s="441">
        <v>0</v>
      </c>
      <c r="I119" s="438">
        <v>3.6</v>
      </c>
      <c r="J119" s="439">
        <v>3.6</v>
      </c>
      <c r="K119" s="449" t="s">
        <v>257</v>
      </c>
    </row>
    <row r="120" spans="1:11" ht="14.45" customHeight="1" thickBot="1" x14ac:dyDescent="0.25">
      <c r="A120" s="460" t="s">
        <v>369</v>
      </c>
      <c r="B120" s="438">
        <v>0</v>
      </c>
      <c r="C120" s="438">
        <v>25.143999999999998</v>
      </c>
      <c r="D120" s="439">
        <v>25.143999999999998</v>
      </c>
      <c r="E120" s="448" t="s">
        <v>257</v>
      </c>
      <c r="F120" s="438">
        <v>0</v>
      </c>
      <c r="G120" s="439">
        <v>0</v>
      </c>
      <c r="H120" s="441">
        <v>0</v>
      </c>
      <c r="I120" s="438">
        <v>3.6</v>
      </c>
      <c r="J120" s="439">
        <v>3.6</v>
      </c>
      <c r="K120" s="449" t="s">
        <v>257</v>
      </c>
    </row>
    <row r="121" spans="1:11" ht="14.45" customHeight="1" thickBot="1" x14ac:dyDescent="0.25">
      <c r="A121" s="462" t="s">
        <v>370</v>
      </c>
      <c r="B121" s="438">
        <v>0</v>
      </c>
      <c r="C121" s="438">
        <v>13.986000000000001</v>
      </c>
      <c r="D121" s="439">
        <v>13.986000000000001</v>
      </c>
      <c r="E121" s="448" t="s">
        <v>257</v>
      </c>
      <c r="F121" s="438">
        <v>0</v>
      </c>
      <c r="G121" s="439">
        <v>0</v>
      </c>
      <c r="H121" s="441">
        <v>0</v>
      </c>
      <c r="I121" s="438">
        <v>11.135</v>
      </c>
      <c r="J121" s="439">
        <v>11.135</v>
      </c>
      <c r="K121" s="449" t="s">
        <v>257</v>
      </c>
    </row>
    <row r="122" spans="1:11" ht="14.45" customHeight="1" thickBot="1" x14ac:dyDescent="0.25">
      <c r="A122" s="460" t="s">
        <v>371</v>
      </c>
      <c r="B122" s="438">
        <v>0</v>
      </c>
      <c r="C122" s="438">
        <v>13.986000000000001</v>
      </c>
      <c r="D122" s="439">
        <v>13.986000000000001</v>
      </c>
      <c r="E122" s="448" t="s">
        <v>257</v>
      </c>
      <c r="F122" s="438">
        <v>0</v>
      </c>
      <c r="G122" s="439">
        <v>0</v>
      </c>
      <c r="H122" s="441">
        <v>0</v>
      </c>
      <c r="I122" s="438">
        <v>11.135</v>
      </c>
      <c r="J122" s="439">
        <v>11.135</v>
      </c>
      <c r="K122" s="449" t="s">
        <v>257</v>
      </c>
    </row>
    <row r="123" spans="1:11" ht="14.45" customHeight="1" thickBot="1" x14ac:dyDescent="0.25">
      <c r="A123" s="457" t="s">
        <v>372</v>
      </c>
      <c r="B123" s="438">
        <v>1274.76838900639</v>
      </c>
      <c r="C123" s="438">
        <v>1406.35283</v>
      </c>
      <c r="D123" s="439">
        <v>131.58444099360901</v>
      </c>
      <c r="E123" s="440">
        <v>1.1032222340369999</v>
      </c>
      <c r="F123" s="438">
        <v>1835.99999999997</v>
      </c>
      <c r="G123" s="439">
        <v>1223.99999999998</v>
      </c>
      <c r="H123" s="441">
        <v>123.34021</v>
      </c>
      <c r="I123" s="438">
        <v>966.16458999999895</v>
      </c>
      <c r="J123" s="439">
        <v>-257.83540999998303</v>
      </c>
      <c r="K123" s="442">
        <v>0.52623343681900003</v>
      </c>
    </row>
    <row r="124" spans="1:11" ht="14.45" customHeight="1" thickBot="1" x14ac:dyDescent="0.25">
      <c r="A124" s="458" t="s">
        <v>373</v>
      </c>
      <c r="B124" s="438">
        <v>1274.76838900639</v>
      </c>
      <c r="C124" s="438">
        <v>1347.271</v>
      </c>
      <c r="D124" s="439">
        <v>72.502610993608997</v>
      </c>
      <c r="E124" s="440">
        <v>1.0568751246250001</v>
      </c>
      <c r="F124" s="438">
        <v>1823.99999999997</v>
      </c>
      <c r="G124" s="439">
        <v>1215.99999999998</v>
      </c>
      <c r="H124" s="441">
        <v>123.34021</v>
      </c>
      <c r="I124" s="438">
        <v>954.07668999999896</v>
      </c>
      <c r="J124" s="439">
        <v>-261.92330999998302</v>
      </c>
      <c r="K124" s="442">
        <v>0.52306836074499996</v>
      </c>
    </row>
    <row r="125" spans="1:11" ht="14.45" customHeight="1" thickBot="1" x14ac:dyDescent="0.25">
      <c r="A125" s="459" t="s">
        <v>374</v>
      </c>
      <c r="B125" s="443">
        <v>1274.76838900639</v>
      </c>
      <c r="C125" s="443">
        <v>1347.271</v>
      </c>
      <c r="D125" s="444">
        <v>72.502610993608997</v>
      </c>
      <c r="E125" s="450">
        <v>1.0568751246250001</v>
      </c>
      <c r="F125" s="443">
        <v>1823.99999999997</v>
      </c>
      <c r="G125" s="444">
        <v>1215.99999999998</v>
      </c>
      <c r="H125" s="446">
        <v>123.34021</v>
      </c>
      <c r="I125" s="443">
        <v>954.07668999999896</v>
      </c>
      <c r="J125" s="444">
        <v>-261.92330999998302</v>
      </c>
      <c r="K125" s="451">
        <v>0.52306836074499996</v>
      </c>
    </row>
    <row r="126" spans="1:11" ht="14.45" customHeight="1" thickBot="1" x14ac:dyDescent="0.25">
      <c r="A126" s="460" t="s">
        <v>375</v>
      </c>
      <c r="B126" s="438">
        <v>44.992838238300997</v>
      </c>
      <c r="C126" s="438">
        <v>42.335999999999999</v>
      </c>
      <c r="D126" s="439">
        <v>-2.6568382383009999</v>
      </c>
      <c r="E126" s="440">
        <v>0.94094975239699996</v>
      </c>
      <c r="F126" s="438">
        <v>3.9999999999989999</v>
      </c>
      <c r="G126" s="439">
        <v>2.6666666666659999</v>
      </c>
      <c r="H126" s="441">
        <v>0</v>
      </c>
      <c r="I126" s="438">
        <v>3.528</v>
      </c>
      <c r="J126" s="439">
        <v>0.861333333333</v>
      </c>
      <c r="K126" s="442">
        <v>0.88200000000000001</v>
      </c>
    </row>
    <row r="127" spans="1:11" ht="14.45" customHeight="1" thickBot="1" x14ac:dyDescent="0.25">
      <c r="A127" s="460" t="s">
        <v>376</v>
      </c>
      <c r="B127" s="438">
        <v>467.73060822696999</v>
      </c>
      <c r="C127" s="438">
        <v>496.80200000000099</v>
      </c>
      <c r="D127" s="439">
        <v>29.071391773030999</v>
      </c>
      <c r="E127" s="440">
        <v>1.0621541358669999</v>
      </c>
      <c r="F127" s="438">
        <v>496.99999999999301</v>
      </c>
      <c r="G127" s="439">
        <v>331.33333333332803</v>
      </c>
      <c r="H127" s="441">
        <v>41.378120000000003</v>
      </c>
      <c r="I127" s="438">
        <v>331.02497</v>
      </c>
      <c r="J127" s="439">
        <v>-0.30836333332799998</v>
      </c>
      <c r="K127" s="442">
        <v>0.66604621730299995</v>
      </c>
    </row>
    <row r="128" spans="1:11" ht="14.45" customHeight="1" thickBot="1" x14ac:dyDescent="0.25">
      <c r="A128" s="460" t="s">
        <v>377</v>
      </c>
      <c r="B128" s="438">
        <v>756.966031592028</v>
      </c>
      <c r="C128" s="438">
        <v>698.19500000000096</v>
      </c>
      <c r="D128" s="439">
        <v>-58.771031592027001</v>
      </c>
      <c r="E128" s="440">
        <v>0.92235975045200003</v>
      </c>
      <c r="F128" s="438">
        <v>703.99999999999</v>
      </c>
      <c r="G128" s="439">
        <v>469.33333333332598</v>
      </c>
      <c r="H128" s="441">
        <v>19.132000000000001</v>
      </c>
      <c r="I128" s="438">
        <v>162.04900000000001</v>
      </c>
      <c r="J128" s="439">
        <v>-307.28433333332703</v>
      </c>
      <c r="K128" s="442">
        <v>0.23018323863599999</v>
      </c>
    </row>
    <row r="129" spans="1:11" ht="14.45" customHeight="1" thickBot="1" x14ac:dyDescent="0.25">
      <c r="A129" s="460" t="s">
        <v>378</v>
      </c>
      <c r="B129" s="438">
        <v>0</v>
      </c>
      <c r="C129" s="438">
        <v>58.62</v>
      </c>
      <c r="D129" s="439">
        <v>58.62</v>
      </c>
      <c r="E129" s="448" t="s">
        <v>280</v>
      </c>
      <c r="F129" s="438">
        <v>58.999999999998998</v>
      </c>
      <c r="G129" s="439">
        <v>39.333333333332</v>
      </c>
      <c r="H129" s="441">
        <v>4.8840000000000003</v>
      </c>
      <c r="I129" s="438">
        <v>39.073999999999998</v>
      </c>
      <c r="J129" s="439">
        <v>-0.25933333333199998</v>
      </c>
      <c r="K129" s="442">
        <v>0.66227118644000005</v>
      </c>
    </row>
    <row r="130" spans="1:11" ht="14.45" customHeight="1" thickBot="1" x14ac:dyDescent="0.25">
      <c r="A130" s="460" t="s">
        <v>379</v>
      </c>
      <c r="B130" s="438">
        <v>5.0789109490930002</v>
      </c>
      <c r="C130" s="438">
        <v>5.0880000000000001</v>
      </c>
      <c r="D130" s="439">
        <v>9.0890509060000003E-3</v>
      </c>
      <c r="E130" s="440">
        <v>1.001789566896</v>
      </c>
      <c r="F130" s="438">
        <v>4.9999999999989999</v>
      </c>
      <c r="G130" s="439">
        <v>3.333333333333</v>
      </c>
      <c r="H130" s="441">
        <v>0.42409000000000002</v>
      </c>
      <c r="I130" s="438">
        <v>3.3927200000000002</v>
      </c>
      <c r="J130" s="439">
        <v>5.9386666666000003E-2</v>
      </c>
      <c r="K130" s="442">
        <v>0.67854400000000004</v>
      </c>
    </row>
    <row r="131" spans="1:11" ht="14.45" customHeight="1" thickBot="1" x14ac:dyDescent="0.25">
      <c r="A131" s="460" t="s">
        <v>380</v>
      </c>
      <c r="B131" s="438">
        <v>0</v>
      </c>
      <c r="C131" s="438">
        <v>46.23</v>
      </c>
      <c r="D131" s="439">
        <v>46.23</v>
      </c>
      <c r="E131" s="448" t="s">
        <v>280</v>
      </c>
      <c r="F131" s="438">
        <v>554.99999999999204</v>
      </c>
      <c r="G131" s="439">
        <v>369.999999999995</v>
      </c>
      <c r="H131" s="441">
        <v>57.521999999999998</v>
      </c>
      <c r="I131" s="438">
        <v>415.00799999999998</v>
      </c>
      <c r="J131" s="439">
        <v>45.008000000004998</v>
      </c>
      <c r="K131" s="442">
        <v>0.74776216216199998</v>
      </c>
    </row>
    <row r="132" spans="1:11" ht="14.45" customHeight="1" thickBot="1" x14ac:dyDescent="0.25">
      <c r="A132" s="458" t="s">
        <v>381</v>
      </c>
      <c r="B132" s="438">
        <v>0</v>
      </c>
      <c r="C132" s="438">
        <v>59.081829999999997</v>
      </c>
      <c r="D132" s="439">
        <v>59.081829999999997</v>
      </c>
      <c r="E132" s="448" t="s">
        <v>257</v>
      </c>
      <c r="F132" s="438">
        <v>12</v>
      </c>
      <c r="G132" s="439">
        <v>8</v>
      </c>
      <c r="H132" s="441">
        <v>0</v>
      </c>
      <c r="I132" s="438">
        <v>12.087899999999999</v>
      </c>
      <c r="J132" s="439">
        <v>4.0878999999990002</v>
      </c>
      <c r="K132" s="442">
        <v>1.007325</v>
      </c>
    </row>
    <row r="133" spans="1:11" ht="14.45" customHeight="1" thickBot="1" x14ac:dyDescent="0.25">
      <c r="A133" s="459" t="s">
        <v>382</v>
      </c>
      <c r="B133" s="443">
        <v>0</v>
      </c>
      <c r="C133" s="443">
        <v>52.291829999999997</v>
      </c>
      <c r="D133" s="444">
        <v>52.291829999999997</v>
      </c>
      <c r="E133" s="445" t="s">
        <v>257</v>
      </c>
      <c r="F133" s="443">
        <v>12</v>
      </c>
      <c r="G133" s="444">
        <v>8</v>
      </c>
      <c r="H133" s="446">
        <v>0</v>
      </c>
      <c r="I133" s="443">
        <v>12.087899999999999</v>
      </c>
      <c r="J133" s="444">
        <v>4.0878999999990002</v>
      </c>
      <c r="K133" s="451">
        <v>1.007325</v>
      </c>
    </row>
    <row r="134" spans="1:11" ht="14.45" customHeight="1" thickBot="1" x14ac:dyDescent="0.25">
      <c r="A134" s="460" t="s">
        <v>383</v>
      </c>
      <c r="B134" s="438">
        <v>0</v>
      </c>
      <c r="C134" s="438">
        <v>52.291829999999997</v>
      </c>
      <c r="D134" s="439">
        <v>52.291829999999997</v>
      </c>
      <c r="E134" s="448" t="s">
        <v>257</v>
      </c>
      <c r="F134" s="438">
        <v>12</v>
      </c>
      <c r="G134" s="439">
        <v>8</v>
      </c>
      <c r="H134" s="441">
        <v>0</v>
      </c>
      <c r="I134" s="438">
        <v>12.087899999999999</v>
      </c>
      <c r="J134" s="439">
        <v>4.0878999999990002</v>
      </c>
      <c r="K134" s="442">
        <v>1.007325</v>
      </c>
    </row>
    <row r="135" spans="1:11" ht="14.45" customHeight="1" thickBot="1" x14ac:dyDescent="0.25">
      <c r="A135" s="459" t="s">
        <v>384</v>
      </c>
      <c r="B135" s="443">
        <v>0</v>
      </c>
      <c r="C135" s="443">
        <v>6.79</v>
      </c>
      <c r="D135" s="444">
        <v>6.79</v>
      </c>
      <c r="E135" s="445" t="s">
        <v>280</v>
      </c>
      <c r="F135" s="443">
        <v>0</v>
      </c>
      <c r="G135" s="444">
        <v>0</v>
      </c>
      <c r="H135" s="446">
        <v>0</v>
      </c>
      <c r="I135" s="443">
        <v>0</v>
      </c>
      <c r="J135" s="444">
        <v>0</v>
      </c>
      <c r="K135" s="447" t="s">
        <v>257</v>
      </c>
    </row>
    <row r="136" spans="1:11" ht="14.45" customHeight="1" thickBot="1" x14ac:dyDescent="0.25">
      <c r="A136" s="460" t="s">
        <v>385</v>
      </c>
      <c r="B136" s="438">
        <v>0</v>
      </c>
      <c r="C136" s="438">
        <v>6.79</v>
      </c>
      <c r="D136" s="439">
        <v>6.79</v>
      </c>
      <c r="E136" s="448" t="s">
        <v>280</v>
      </c>
      <c r="F136" s="438">
        <v>0</v>
      </c>
      <c r="G136" s="439">
        <v>0</v>
      </c>
      <c r="H136" s="441">
        <v>0</v>
      </c>
      <c r="I136" s="438">
        <v>0</v>
      </c>
      <c r="J136" s="439">
        <v>0</v>
      </c>
      <c r="K136" s="449" t="s">
        <v>257</v>
      </c>
    </row>
    <row r="137" spans="1:11" ht="14.45" customHeight="1" thickBot="1" x14ac:dyDescent="0.25">
      <c r="A137" s="457" t="s">
        <v>386</v>
      </c>
      <c r="B137" s="438">
        <v>0</v>
      </c>
      <c r="C137" s="438">
        <v>9.9379999999999996E-2</v>
      </c>
      <c r="D137" s="439">
        <v>9.9379999999999996E-2</v>
      </c>
      <c r="E137" s="448" t="s">
        <v>257</v>
      </c>
      <c r="F137" s="438">
        <v>0</v>
      </c>
      <c r="G137" s="439">
        <v>0</v>
      </c>
      <c r="H137" s="441">
        <v>0</v>
      </c>
      <c r="I137" s="438">
        <v>0</v>
      </c>
      <c r="J137" s="439">
        <v>0</v>
      </c>
      <c r="K137" s="449" t="s">
        <v>257</v>
      </c>
    </row>
    <row r="138" spans="1:11" ht="14.45" customHeight="1" thickBot="1" x14ac:dyDescent="0.25">
      <c r="A138" s="458" t="s">
        <v>387</v>
      </c>
      <c r="B138" s="438">
        <v>0</v>
      </c>
      <c r="C138" s="438">
        <v>9.9379999999999996E-2</v>
      </c>
      <c r="D138" s="439">
        <v>9.9379999999999996E-2</v>
      </c>
      <c r="E138" s="448" t="s">
        <v>257</v>
      </c>
      <c r="F138" s="438">
        <v>0</v>
      </c>
      <c r="G138" s="439">
        <v>0</v>
      </c>
      <c r="H138" s="441">
        <v>0</v>
      </c>
      <c r="I138" s="438">
        <v>0</v>
      </c>
      <c r="J138" s="439">
        <v>0</v>
      </c>
      <c r="K138" s="449" t="s">
        <v>257</v>
      </c>
    </row>
    <row r="139" spans="1:11" ht="14.45" customHeight="1" thickBot="1" x14ac:dyDescent="0.25">
      <c r="A139" s="459" t="s">
        <v>388</v>
      </c>
      <c r="B139" s="443">
        <v>0</v>
      </c>
      <c r="C139" s="443">
        <v>9.9379999999999996E-2</v>
      </c>
      <c r="D139" s="444">
        <v>9.9379999999999996E-2</v>
      </c>
      <c r="E139" s="445" t="s">
        <v>257</v>
      </c>
      <c r="F139" s="443">
        <v>0</v>
      </c>
      <c r="G139" s="444">
        <v>0</v>
      </c>
      <c r="H139" s="446">
        <v>0</v>
      </c>
      <c r="I139" s="443">
        <v>0</v>
      </c>
      <c r="J139" s="444">
        <v>0</v>
      </c>
      <c r="K139" s="447" t="s">
        <v>257</v>
      </c>
    </row>
    <row r="140" spans="1:11" ht="14.45" customHeight="1" thickBot="1" x14ac:dyDescent="0.25">
      <c r="A140" s="460" t="s">
        <v>389</v>
      </c>
      <c r="B140" s="438">
        <v>0</v>
      </c>
      <c r="C140" s="438">
        <v>9.9379999999999996E-2</v>
      </c>
      <c r="D140" s="439">
        <v>9.9379999999999996E-2</v>
      </c>
      <c r="E140" s="448" t="s">
        <v>257</v>
      </c>
      <c r="F140" s="438">
        <v>0</v>
      </c>
      <c r="G140" s="439">
        <v>0</v>
      </c>
      <c r="H140" s="441">
        <v>0</v>
      </c>
      <c r="I140" s="438">
        <v>0</v>
      </c>
      <c r="J140" s="439">
        <v>0</v>
      </c>
      <c r="K140" s="449" t="s">
        <v>257</v>
      </c>
    </row>
    <row r="141" spans="1:11" ht="14.45" customHeight="1" thickBot="1" x14ac:dyDescent="0.25">
      <c r="A141" s="456" t="s">
        <v>390</v>
      </c>
      <c r="B141" s="438">
        <v>82966.4299938146</v>
      </c>
      <c r="C141" s="438">
        <v>43253.244079999997</v>
      </c>
      <c r="D141" s="439">
        <v>-39713.185913814603</v>
      </c>
      <c r="E141" s="440">
        <v>0.52133428042100005</v>
      </c>
      <c r="F141" s="438">
        <v>18890.854659393899</v>
      </c>
      <c r="G141" s="439">
        <v>12593.9031062626</v>
      </c>
      <c r="H141" s="441">
        <v>3982.2336799999998</v>
      </c>
      <c r="I141" s="438">
        <v>38525.703739999997</v>
      </c>
      <c r="J141" s="439">
        <v>25931.800633737399</v>
      </c>
      <c r="K141" s="442">
        <v>2.039383841262</v>
      </c>
    </row>
    <row r="142" spans="1:11" ht="14.45" customHeight="1" thickBot="1" x14ac:dyDescent="0.25">
      <c r="A142" s="457" t="s">
        <v>391</v>
      </c>
      <c r="B142" s="438">
        <v>82931.927874898494</v>
      </c>
      <c r="C142" s="438">
        <v>43234.196069999998</v>
      </c>
      <c r="D142" s="439">
        <v>-39697.731804898503</v>
      </c>
      <c r="E142" s="440">
        <v>0.52132148833199998</v>
      </c>
      <c r="F142" s="438">
        <v>18890.854659393899</v>
      </c>
      <c r="G142" s="439">
        <v>12593.9031062626</v>
      </c>
      <c r="H142" s="441">
        <v>3974.7336799999998</v>
      </c>
      <c r="I142" s="438">
        <v>38510.612330000004</v>
      </c>
      <c r="J142" s="439">
        <v>25916.709223737402</v>
      </c>
      <c r="K142" s="442">
        <v>2.0385849674009999</v>
      </c>
    </row>
    <row r="143" spans="1:11" ht="14.45" customHeight="1" thickBot="1" x14ac:dyDescent="0.25">
      <c r="A143" s="458" t="s">
        <v>392</v>
      </c>
      <c r="B143" s="438">
        <v>82931.927874898494</v>
      </c>
      <c r="C143" s="438">
        <v>43234.196069999998</v>
      </c>
      <c r="D143" s="439">
        <v>-39697.731804898503</v>
      </c>
      <c r="E143" s="440">
        <v>0.52132148833199998</v>
      </c>
      <c r="F143" s="438">
        <v>18890.854659393899</v>
      </c>
      <c r="G143" s="439">
        <v>12593.9031062626</v>
      </c>
      <c r="H143" s="441">
        <v>3974.7336799999998</v>
      </c>
      <c r="I143" s="438">
        <v>38510.612330000004</v>
      </c>
      <c r="J143" s="439">
        <v>25916.709223737402</v>
      </c>
      <c r="K143" s="442">
        <v>2.0385849674009999</v>
      </c>
    </row>
    <row r="144" spans="1:11" ht="14.45" customHeight="1" thickBot="1" x14ac:dyDescent="0.25">
      <c r="A144" s="459" t="s">
        <v>393</v>
      </c>
      <c r="B144" s="443">
        <v>25.991262776671999</v>
      </c>
      <c r="C144" s="443">
        <v>52.909799999999997</v>
      </c>
      <c r="D144" s="444">
        <v>26.918537223327</v>
      </c>
      <c r="E144" s="450">
        <v>2.03567639074</v>
      </c>
      <c r="F144" s="443">
        <v>57.642385794799999</v>
      </c>
      <c r="G144" s="444">
        <v>38.428257196533004</v>
      </c>
      <c r="H144" s="446">
        <v>0</v>
      </c>
      <c r="I144" s="443">
        <v>19.109200000000001</v>
      </c>
      <c r="J144" s="444">
        <v>-19.319057196532999</v>
      </c>
      <c r="K144" s="451">
        <v>0.33151299580100002</v>
      </c>
    </row>
    <row r="145" spans="1:11" ht="14.45" customHeight="1" thickBot="1" x14ac:dyDescent="0.25">
      <c r="A145" s="460" t="s">
        <v>394</v>
      </c>
      <c r="B145" s="438">
        <v>0.263101171473</v>
      </c>
      <c r="C145" s="438">
        <v>33.828000000000003</v>
      </c>
      <c r="D145" s="439">
        <v>33.564898828525997</v>
      </c>
      <c r="E145" s="440">
        <v>128.57411394463099</v>
      </c>
      <c r="F145" s="438">
        <v>39.359513808259997</v>
      </c>
      <c r="G145" s="439">
        <v>26.239675872172999</v>
      </c>
      <c r="H145" s="441">
        <v>0</v>
      </c>
      <c r="I145" s="438">
        <v>0</v>
      </c>
      <c r="J145" s="439">
        <v>-26.239675872172999</v>
      </c>
      <c r="K145" s="442">
        <v>0</v>
      </c>
    </row>
    <row r="146" spans="1:11" ht="14.45" customHeight="1" thickBot="1" x14ac:dyDescent="0.25">
      <c r="A146" s="460" t="s">
        <v>395</v>
      </c>
      <c r="B146" s="438">
        <v>2.846120438876</v>
      </c>
      <c r="C146" s="438">
        <v>1.8264</v>
      </c>
      <c r="D146" s="439">
        <v>-1.0197204388759999</v>
      </c>
      <c r="E146" s="440">
        <v>0.641715640368</v>
      </c>
      <c r="F146" s="438">
        <v>1.8727266245950001</v>
      </c>
      <c r="G146" s="439">
        <v>1.2484844163960001</v>
      </c>
      <c r="H146" s="441">
        <v>0</v>
      </c>
      <c r="I146" s="438">
        <v>10.755000000000001</v>
      </c>
      <c r="J146" s="439">
        <v>9.5065155836030009</v>
      </c>
      <c r="K146" s="442">
        <v>0</v>
      </c>
    </row>
    <row r="147" spans="1:11" ht="14.45" customHeight="1" thickBot="1" x14ac:dyDescent="0.25">
      <c r="A147" s="460" t="s">
        <v>396</v>
      </c>
      <c r="B147" s="438">
        <v>22.882041166322001</v>
      </c>
      <c r="C147" s="438">
        <v>17.255400000000002</v>
      </c>
      <c r="D147" s="439">
        <v>-5.626641166322</v>
      </c>
      <c r="E147" s="440">
        <v>0.75410230558400004</v>
      </c>
      <c r="F147" s="438">
        <v>16.410145361944</v>
      </c>
      <c r="G147" s="439">
        <v>10.940096907962999</v>
      </c>
      <c r="H147" s="441">
        <v>0</v>
      </c>
      <c r="I147" s="438">
        <v>8.3542000000000005</v>
      </c>
      <c r="J147" s="439">
        <v>-2.5858969079629999</v>
      </c>
      <c r="K147" s="442">
        <v>0.50908750749800002</v>
      </c>
    </row>
    <row r="148" spans="1:11" ht="14.45" customHeight="1" thickBot="1" x14ac:dyDescent="0.25">
      <c r="A148" s="459" t="s">
        <v>397</v>
      </c>
      <c r="B148" s="443">
        <v>37.038982367144001</v>
      </c>
      <c r="C148" s="443">
        <v>85.891350000000003</v>
      </c>
      <c r="D148" s="444">
        <v>48.852367632855</v>
      </c>
      <c r="E148" s="450">
        <v>2.318944649953</v>
      </c>
      <c r="F148" s="443">
        <v>0</v>
      </c>
      <c r="G148" s="444">
        <v>0</v>
      </c>
      <c r="H148" s="446">
        <v>0</v>
      </c>
      <c r="I148" s="443">
        <v>0</v>
      </c>
      <c r="J148" s="444">
        <v>0</v>
      </c>
      <c r="K148" s="447" t="s">
        <v>257</v>
      </c>
    </row>
    <row r="149" spans="1:11" ht="14.45" customHeight="1" thickBot="1" x14ac:dyDescent="0.25">
      <c r="A149" s="460" t="s">
        <v>398</v>
      </c>
      <c r="B149" s="438">
        <v>37.038982367144001</v>
      </c>
      <c r="C149" s="438">
        <v>85.891350000000003</v>
      </c>
      <c r="D149" s="439">
        <v>48.852367632855</v>
      </c>
      <c r="E149" s="440">
        <v>2.318944649953</v>
      </c>
      <c r="F149" s="438">
        <v>0</v>
      </c>
      <c r="G149" s="439">
        <v>0</v>
      </c>
      <c r="H149" s="441">
        <v>0</v>
      </c>
      <c r="I149" s="438">
        <v>0</v>
      </c>
      <c r="J149" s="439">
        <v>0</v>
      </c>
      <c r="K149" s="449" t="s">
        <v>257</v>
      </c>
    </row>
    <row r="150" spans="1:11" ht="14.45" customHeight="1" thickBot="1" x14ac:dyDescent="0.25">
      <c r="A150" s="462" t="s">
        <v>399</v>
      </c>
      <c r="B150" s="438">
        <v>4.7208109027459999</v>
      </c>
      <c r="C150" s="438">
        <v>240.96913000000001</v>
      </c>
      <c r="D150" s="439">
        <v>236.24831909725401</v>
      </c>
      <c r="E150" s="440">
        <v>51.044012345384999</v>
      </c>
      <c r="F150" s="438">
        <v>0</v>
      </c>
      <c r="G150" s="439">
        <v>0</v>
      </c>
      <c r="H150" s="441">
        <v>0</v>
      </c>
      <c r="I150" s="438">
        <v>1.7242999999990001</v>
      </c>
      <c r="J150" s="439">
        <v>1.7242999999990001</v>
      </c>
      <c r="K150" s="449" t="s">
        <v>257</v>
      </c>
    </row>
    <row r="151" spans="1:11" ht="14.45" customHeight="1" thickBot="1" x14ac:dyDescent="0.25">
      <c r="A151" s="460" t="s">
        <v>400</v>
      </c>
      <c r="B151" s="438">
        <v>0</v>
      </c>
      <c r="C151" s="438">
        <v>0</v>
      </c>
      <c r="D151" s="439">
        <v>0</v>
      </c>
      <c r="E151" s="440">
        <v>1</v>
      </c>
      <c r="F151" s="438">
        <v>0</v>
      </c>
      <c r="G151" s="439">
        <v>0</v>
      </c>
      <c r="H151" s="441">
        <v>0</v>
      </c>
      <c r="I151" s="438">
        <v>1.7242999999990001</v>
      </c>
      <c r="J151" s="439">
        <v>1.7242999999990001</v>
      </c>
      <c r="K151" s="449" t="s">
        <v>257</v>
      </c>
    </row>
    <row r="152" spans="1:11" ht="14.45" customHeight="1" thickBot="1" x14ac:dyDescent="0.25">
      <c r="A152" s="460" t="s">
        <v>401</v>
      </c>
      <c r="B152" s="438">
        <v>4.7208109027459999</v>
      </c>
      <c r="C152" s="438">
        <v>70.896060000000006</v>
      </c>
      <c r="D152" s="439">
        <v>66.175249097253001</v>
      </c>
      <c r="E152" s="440">
        <v>15.017771620286</v>
      </c>
      <c r="F152" s="438">
        <v>0</v>
      </c>
      <c r="G152" s="439">
        <v>0</v>
      </c>
      <c r="H152" s="441">
        <v>0</v>
      </c>
      <c r="I152" s="438">
        <v>0</v>
      </c>
      <c r="J152" s="439">
        <v>0</v>
      </c>
      <c r="K152" s="449" t="s">
        <v>257</v>
      </c>
    </row>
    <row r="153" spans="1:11" ht="14.45" customHeight="1" thickBot="1" x14ac:dyDescent="0.25">
      <c r="A153" s="460" t="s">
        <v>402</v>
      </c>
      <c r="B153" s="438">
        <v>0</v>
      </c>
      <c r="C153" s="438">
        <v>170.07307</v>
      </c>
      <c r="D153" s="439">
        <v>170.07307</v>
      </c>
      <c r="E153" s="448" t="s">
        <v>257</v>
      </c>
      <c r="F153" s="438">
        <v>0</v>
      </c>
      <c r="G153" s="439">
        <v>0</v>
      </c>
      <c r="H153" s="441">
        <v>0</v>
      </c>
      <c r="I153" s="438">
        <v>0</v>
      </c>
      <c r="J153" s="439">
        <v>0</v>
      </c>
      <c r="K153" s="449" t="s">
        <v>257</v>
      </c>
    </row>
    <row r="154" spans="1:11" ht="14.45" customHeight="1" thickBot="1" x14ac:dyDescent="0.25">
      <c r="A154" s="459" t="s">
        <v>403</v>
      </c>
      <c r="B154" s="443">
        <v>82864.176818851905</v>
      </c>
      <c r="C154" s="443">
        <v>36748.44167</v>
      </c>
      <c r="D154" s="444">
        <v>-46115.735148851898</v>
      </c>
      <c r="E154" s="450">
        <v>0.443478027306</v>
      </c>
      <c r="F154" s="443">
        <v>18833.2122735991</v>
      </c>
      <c r="G154" s="444">
        <v>12555.4748490661</v>
      </c>
      <c r="H154" s="446">
        <v>3971.5732400000002</v>
      </c>
      <c r="I154" s="443">
        <v>35488.835460000002</v>
      </c>
      <c r="J154" s="444">
        <v>22933.360610933902</v>
      </c>
      <c r="K154" s="451">
        <v>1.884375057448</v>
      </c>
    </row>
    <row r="155" spans="1:11" ht="14.45" customHeight="1" thickBot="1" x14ac:dyDescent="0.25">
      <c r="A155" s="460" t="s">
        <v>404</v>
      </c>
      <c r="B155" s="438">
        <v>33634.274548514797</v>
      </c>
      <c r="C155" s="438">
        <v>16541.192500000001</v>
      </c>
      <c r="D155" s="439">
        <v>-17093.0820485148</v>
      </c>
      <c r="E155" s="440">
        <v>0.49179572688899997</v>
      </c>
      <c r="F155" s="438">
        <v>0</v>
      </c>
      <c r="G155" s="439">
        <v>0</v>
      </c>
      <c r="H155" s="441">
        <v>0</v>
      </c>
      <c r="I155" s="438">
        <v>0</v>
      </c>
      <c r="J155" s="439">
        <v>0</v>
      </c>
      <c r="K155" s="449" t="s">
        <v>257</v>
      </c>
    </row>
    <row r="156" spans="1:11" ht="14.45" customHeight="1" thickBot="1" x14ac:dyDescent="0.25">
      <c r="A156" s="460" t="s">
        <v>405</v>
      </c>
      <c r="B156" s="438">
        <v>49229.902270337101</v>
      </c>
      <c r="C156" s="438">
        <v>20207.249169999999</v>
      </c>
      <c r="D156" s="439">
        <v>-29022.653100337098</v>
      </c>
      <c r="E156" s="440">
        <v>0.41046697714399999</v>
      </c>
      <c r="F156" s="438">
        <v>18833.2122735991</v>
      </c>
      <c r="G156" s="439">
        <v>12555.4748490661</v>
      </c>
      <c r="H156" s="441">
        <v>3971.5732400000002</v>
      </c>
      <c r="I156" s="438">
        <v>35488.835460000002</v>
      </c>
      <c r="J156" s="439">
        <v>22933.360610933902</v>
      </c>
      <c r="K156" s="442">
        <v>1.884375057448</v>
      </c>
    </row>
    <row r="157" spans="1:11" ht="14.45" customHeight="1" thickBot="1" x14ac:dyDescent="0.25">
      <c r="A157" s="459" t="s">
        <v>406</v>
      </c>
      <c r="B157" s="443">
        <v>0</v>
      </c>
      <c r="C157" s="443">
        <v>6105.9841200000001</v>
      </c>
      <c r="D157" s="444">
        <v>6105.9841200000001</v>
      </c>
      <c r="E157" s="445" t="s">
        <v>257</v>
      </c>
      <c r="F157" s="443">
        <v>0</v>
      </c>
      <c r="G157" s="444">
        <v>0</v>
      </c>
      <c r="H157" s="446">
        <v>3.1604399999999999</v>
      </c>
      <c r="I157" s="443">
        <v>3000.94337</v>
      </c>
      <c r="J157" s="444">
        <v>3000.94337</v>
      </c>
      <c r="K157" s="447" t="s">
        <v>257</v>
      </c>
    </row>
    <row r="158" spans="1:11" ht="14.45" customHeight="1" thickBot="1" x14ac:dyDescent="0.25">
      <c r="A158" s="460" t="s">
        <v>407</v>
      </c>
      <c r="B158" s="438">
        <v>0</v>
      </c>
      <c r="C158" s="438">
        <v>1737.48748</v>
      </c>
      <c r="D158" s="439">
        <v>1737.48748</v>
      </c>
      <c r="E158" s="448" t="s">
        <v>257</v>
      </c>
      <c r="F158" s="438">
        <v>0</v>
      </c>
      <c r="G158" s="439">
        <v>0</v>
      </c>
      <c r="H158" s="441">
        <v>0</v>
      </c>
      <c r="I158" s="438">
        <v>0</v>
      </c>
      <c r="J158" s="439">
        <v>0</v>
      </c>
      <c r="K158" s="449" t="s">
        <v>257</v>
      </c>
    </row>
    <row r="159" spans="1:11" ht="14.45" customHeight="1" thickBot="1" x14ac:dyDescent="0.25">
      <c r="A159" s="460" t="s">
        <v>408</v>
      </c>
      <c r="B159" s="438">
        <v>0</v>
      </c>
      <c r="C159" s="438">
        <v>4368.4966400000003</v>
      </c>
      <c r="D159" s="439">
        <v>4368.4966400000003</v>
      </c>
      <c r="E159" s="448" t="s">
        <v>257</v>
      </c>
      <c r="F159" s="438">
        <v>0</v>
      </c>
      <c r="G159" s="439">
        <v>0</v>
      </c>
      <c r="H159" s="441">
        <v>3.1604399999999999</v>
      </c>
      <c r="I159" s="438">
        <v>3000.94337</v>
      </c>
      <c r="J159" s="439">
        <v>3000.94337</v>
      </c>
      <c r="K159" s="449" t="s">
        <v>257</v>
      </c>
    </row>
    <row r="160" spans="1:11" ht="14.45" customHeight="1" thickBot="1" x14ac:dyDescent="0.25">
      <c r="A160" s="457" t="s">
        <v>409</v>
      </c>
      <c r="B160" s="438">
        <v>34.502118916157997</v>
      </c>
      <c r="C160" s="438">
        <v>18.263660000000002</v>
      </c>
      <c r="D160" s="439">
        <v>-16.238458916157999</v>
      </c>
      <c r="E160" s="440">
        <v>0.52934893779600001</v>
      </c>
      <c r="F160" s="438">
        <v>0</v>
      </c>
      <c r="G160" s="439">
        <v>0</v>
      </c>
      <c r="H160" s="441">
        <v>7.4999999999989999</v>
      </c>
      <c r="I160" s="438">
        <v>14.92943</v>
      </c>
      <c r="J160" s="439">
        <v>14.92943</v>
      </c>
      <c r="K160" s="449" t="s">
        <v>257</v>
      </c>
    </row>
    <row r="161" spans="1:11" ht="14.45" customHeight="1" thickBot="1" x14ac:dyDescent="0.25">
      <c r="A161" s="458" t="s">
        <v>410</v>
      </c>
      <c r="B161" s="438">
        <v>0</v>
      </c>
      <c r="C161" s="438">
        <v>9.9999999999989999</v>
      </c>
      <c r="D161" s="439">
        <v>9.9999999999989999</v>
      </c>
      <c r="E161" s="448" t="s">
        <v>257</v>
      </c>
      <c r="F161" s="438">
        <v>0</v>
      </c>
      <c r="G161" s="439">
        <v>0</v>
      </c>
      <c r="H161" s="441">
        <v>7.4999999999989999</v>
      </c>
      <c r="I161" s="438">
        <v>12.5</v>
      </c>
      <c r="J161" s="439">
        <v>12.5</v>
      </c>
      <c r="K161" s="449" t="s">
        <v>257</v>
      </c>
    </row>
    <row r="162" spans="1:11" ht="14.45" customHeight="1" thickBot="1" x14ac:dyDescent="0.25">
      <c r="A162" s="459" t="s">
        <v>411</v>
      </c>
      <c r="B162" s="443">
        <v>0</v>
      </c>
      <c r="C162" s="443">
        <v>9.9999999999989999</v>
      </c>
      <c r="D162" s="444">
        <v>9.9999999999989999</v>
      </c>
      <c r="E162" s="445" t="s">
        <v>257</v>
      </c>
      <c r="F162" s="443">
        <v>0</v>
      </c>
      <c r="G162" s="444">
        <v>0</v>
      </c>
      <c r="H162" s="446">
        <v>7.4999999999989999</v>
      </c>
      <c r="I162" s="443">
        <v>12.5</v>
      </c>
      <c r="J162" s="444">
        <v>12.5</v>
      </c>
      <c r="K162" s="447" t="s">
        <v>257</v>
      </c>
    </row>
    <row r="163" spans="1:11" ht="14.45" customHeight="1" thickBot="1" x14ac:dyDescent="0.25">
      <c r="A163" s="460" t="s">
        <v>412</v>
      </c>
      <c r="B163" s="438">
        <v>0</v>
      </c>
      <c r="C163" s="438">
        <v>9.9999999999989999</v>
      </c>
      <c r="D163" s="439">
        <v>9.9999999999989999</v>
      </c>
      <c r="E163" s="448" t="s">
        <v>257</v>
      </c>
      <c r="F163" s="438">
        <v>0</v>
      </c>
      <c r="G163" s="439">
        <v>0</v>
      </c>
      <c r="H163" s="441">
        <v>7.4999999999989999</v>
      </c>
      <c r="I163" s="438">
        <v>12.5</v>
      </c>
      <c r="J163" s="439">
        <v>12.5</v>
      </c>
      <c r="K163" s="449" t="s">
        <v>257</v>
      </c>
    </row>
    <row r="164" spans="1:11" ht="14.45" customHeight="1" thickBot="1" x14ac:dyDescent="0.25">
      <c r="A164" s="463" t="s">
        <v>413</v>
      </c>
      <c r="B164" s="443">
        <v>34.502118916157997</v>
      </c>
      <c r="C164" s="443">
        <v>8.2636599999999998</v>
      </c>
      <c r="D164" s="444">
        <v>-26.238458916157999</v>
      </c>
      <c r="E164" s="450">
        <v>0.23951166651700001</v>
      </c>
      <c r="F164" s="443">
        <v>0</v>
      </c>
      <c r="G164" s="444">
        <v>0</v>
      </c>
      <c r="H164" s="446">
        <v>0</v>
      </c>
      <c r="I164" s="443">
        <v>2.42943</v>
      </c>
      <c r="J164" s="444">
        <v>2.42943</v>
      </c>
      <c r="K164" s="447" t="s">
        <v>257</v>
      </c>
    </row>
    <row r="165" spans="1:11" ht="14.45" customHeight="1" thickBot="1" x14ac:dyDescent="0.25">
      <c r="A165" s="459" t="s">
        <v>414</v>
      </c>
      <c r="B165" s="443">
        <v>0</v>
      </c>
      <c r="C165" s="443">
        <v>-8.0000000000000004E-4</v>
      </c>
      <c r="D165" s="444">
        <v>-8.0000000000000004E-4</v>
      </c>
      <c r="E165" s="445" t="s">
        <v>257</v>
      </c>
      <c r="F165" s="443">
        <v>0</v>
      </c>
      <c r="G165" s="444">
        <v>0</v>
      </c>
      <c r="H165" s="446">
        <v>0</v>
      </c>
      <c r="I165" s="443">
        <v>-2.9E-4</v>
      </c>
      <c r="J165" s="444">
        <v>-2.9E-4</v>
      </c>
      <c r="K165" s="447" t="s">
        <v>257</v>
      </c>
    </row>
    <row r="166" spans="1:11" ht="14.45" customHeight="1" thickBot="1" x14ac:dyDescent="0.25">
      <c r="A166" s="460" t="s">
        <v>415</v>
      </c>
      <c r="B166" s="438">
        <v>0</v>
      </c>
      <c r="C166" s="438">
        <v>-8.0000000000000004E-4</v>
      </c>
      <c r="D166" s="439">
        <v>-8.0000000000000004E-4</v>
      </c>
      <c r="E166" s="448" t="s">
        <v>257</v>
      </c>
      <c r="F166" s="438">
        <v>0</v>
      </c>
      <c r="G166" s="439">
        <v>0</v>
      </c>
      <c r="H166" s="441">
        <v>0</v>
      </c>
      <c r="I166" s="438">
        <v>-2.9E-4</v>
      </c>
      <c r="J166" s="439">
        <v>-2.9E-4</v>
      </c>
      <c r="K166" s="449" t="s">
        <v>257</v>
      </c>
    </row>
    <row r="167" spans="1:11" ht="14.45" customHeight="1" thickBot="1" x14ac:dyDescent="0.25">
      <c r="A167" s="459" t="s">
        <v>416</v>
      </c>
      <c r="B167" s="443">
        <v>34.502118916157997</v>
      </c>
      <c r="C167" s="443">
        <v>8.2644599999999997</v>
      </c>
      <c r="D167" s="444">
        <v>-26.237658916158001</v>
      </c>
      <c r="E167" s="450">
        <v>0.239534853499</v>
      </c>
      <c r="F167" s="443">
        <v>0</v>
      </c>
      <c r="G167" s="444">
        <v>0</v>
      </c>
      <c r="H167" s="446">
        <v>0</v>
      </c>
      <c r="I167" s="443">
        <v>2.4297200000000001</v>
      </c>
      <c r="J167" s="444">
        <v>2.4297200000000001</v>
      </c>
      <c r="K167" s="447" t="s">
        <v>257</v>
      </c>
    </row>
    <row r="168" spans="1:11" ht="14.45" customHeight="1" thickBot="1" x14ac:dyDescent="0.25">
      <c r="A168" s="460" t="s">
        <v>417</v>
      </c>
      <c r="B168" s="438">
        <v>34.502118916157997</v>
      </c>
      <c r="C168" s="438">
        <v>8.2644599999999997</v>
      </c>
      <c r="D168" s="439">
        <v>-26.237658916158001</v>
      </c>
      <c r="E168" s="440">
        <v>0.239534853499</v>
      </c>
      <c r="F168" s="438">
        <v>0</v>
      </c>
      <c r="G168" s="439">
        <v>0</v>
      </c>
      <c r="H168" s="441">
        <v>0</v>
      </c>
      <c r="I168" s="438">
        <v>2.4297200000000001</v>
      </c>
      <c r="J168" s="439">
        <v>2.4297200000000001</v>
      </c>
      <c r="K168" s="449" t="s">
        <v>257</v>
      </c>
    </row>
    <row r="169" spans="1:11" ht="14.45" customHeight="1" thickBot="1" x14ac:dyDescent="0.25">
      <c r="A169" s="457" t="s">
        <v>418</v>
      </c>
      <c r="B169" s="438">
        <v>0</v>
      </c>
      <c r="C169" s="438">
        <v>0.78434999999999999</v>
      </c>
      <c r="D169" s="439">
        <v>0.78434999999999999</v>
      </c>
      <c r="E169" s="448" t="s">
        <v>257</v>
      </c>
      <c r="F169" s="438">
        <v>0</v>
      </c>
      <c r="G169" s="439">
        <v>0</v>
      </c>
      <c r="H169" s="441">
        <v>0</v>
      </c>
      <c r="I169" s="438">
        <v>0.16198000000000001</v>
      </c>
      <c r="J169" s="439">
        <v>0.16198000000000001</v>
      </c>
      <c r="K169" s="449" t="s">
        <v>257</v>
      </c>
    </row>
    <row r="170" spans="1:11" ht="14.45" customHeight="1" thickBot="1" x14ac:dyDescent="0.25">
      <c r="A170" s="463" t="s">
        <v>419</v>
      </c>
      <c r="B170" s="443">
        <v>0</v>
      </c>
      <c r="C170" s="443">
        <v>0.78434999999999999</v>
      </c>
      <c r="D170" s="444">
        <v>0.78434999999999999</v>
      </c>
      <c r="E170" s="445" t="s">
        <v>257</v>
      </c>
      <c r="F170" s="443">
        <v>0</v>
      </c>
      <c r="G170" s="444">
        <v>0</v>
      </c>
      <c r="H170" s="446">
        <v>0</v>
      </c>
      <c r="I170" s="443">
        <v>0.16198000000000001</v>
      </c>
      <c r="J170" s="444">
        <v>0.16198000000000001</v>
      </c>
      <c r="K170" s="447" t="s">
        <v>257</v>
      </c>
    </row>
    <row r="171" spans="1:11" ht="14.45" customHeight="1" thickBot="1" x14ac:dyDescent="0.25">
      <c r="A171" s="459" t="s">
        <v>420</v>
      </c>
      <c r="B171" s="443">
        <v>0</v>
      </c>
      <c r="C171" s="443">
        <v>0.78434999999999999</v>
      </c>
      <c r="D171" s="444">
        <v>0.78434999999999999</v>
      </c>
      <c r="E171" s="445" t="s">
        <v>257</v>
      </c>
      <c r="F171" s="443">
        <v>0</v>
      </c>
      <c r="G171" s="444">
        <v>0</v>
      </c>
      <c r="H171" s="446">
        <v>0</v>
      </c>
      <c r="I171" s="443">
        <v>0.16198000000000001</v>
      </c>
      <c r="J171" s="444">
        <v>0.16198000000000001</v>
      </c>
      <c r="K171" s="447" t="s">
        <v>257</v>
      </c>
    </row>
    <row r="172" spans="1:11" ht="14.45" customHeight="1" thickBot="1" x14ac:dyDescent="0.25">
      <c r="A172" s="460" t="s">
        <v>421</v>
      </c>
      <c r="B172" s="438">
        <v>0</v>
      </c>
      <c r="C172" s="438">
        <v>0.78434999999999999</v>
      </c>
      <c r="D172" s="439">
        <v>0.78434999999999999</v>
      </c>
      <c r="E172" s="448" t="s">
        <v>257</v>
      </c>
      <c r="F172" s="438">
        <v>0</v>
      </c>
      <c r="G172" s="439">
        <v>0</v>
      </c>
      <c r="H172" s="441">
        <v>0</v>
      </c>
      <c r="I172" s="438">
        <v>0.16198000000000001</v>
      </c>
      <c r="J172" s="439">
        <v>0.16198000000000001</v>
      </c>
      <c r="K172" s="449" t="s">
        <v>257</v>
      </c>
    </row>
    <row r="173" spans="1:11" ht="14.45" customHeight="1" thickBot="1" x14ac:dyDescent="0.25">
      <c r="A173" s="456" t="s">
        <v>422</v>
      </c>
      <c r="B173" s="438">
        <v>3186.8240487186699</v>
      </c>
      <c r="C173" s="438">
        <v>3280.9645500000001</v>
      </c>
      <c r="D173" s="439">
        <v>94.140501281325996</v>
      </c>
      <c r="E173" s="440">
        <v>1.029540539371</v>
      </c>
      <c r="F173" s="438">
        <v>3362.57291813335</v>
      </c>
      <c r="G173" s="439">
        <v>2241.7152787555701</v>
      </c>
      <c r="H173" s="441">
        <v>225.50466</v>
      </c>
      <c r="I173" s="438">
        <v>2344.8137999999999</v>
      </c>
      <c r="J173" s="439">
        <v>103.098521244433</v>
      </c>
      <c r="K173" s="442">
        <v>0.69732727202800004</v>
      </c>
    </row>
    <row r="174" spans="1:11" ht="14.45" customHeight="1" thickBot="1" x14ac:dyDescent="0.25">
      <c r="A174" s="461" t="s">
        <v>423</v>
      </c>
      <c r="B174" s="443">
        <v>3186.8240487186699</v>
      </c>
      <c r="C174" s="443">
        <v>3280.9645500000001</v>
      </c>
      <c r="D174" s="444">
        <v>94.140501281325996</v>
      </c>
      <c r="E174" s="450">
        <v>1.029540539371</v>
      </c>
      <c r="F174" s="443">
        <v>3362.57291813335</v>
      </c>
      <c r="G174" s="444">
        <v>2241.7152787555701</v>
      </c>
      <c r="H174" s="446">
        <v>225.50466</v>
      </c>
      <c r="I174" s="443">
        <v>2344.8137999999999</v>
      </c>
      <c r="J174" s="444">
        <v>103.098521244433</v>
      </c>
      <c r="K174" s="451">
        <v>0.69732727202800004</v>
      </c>
    </row>
    <row r="175" spans="1:11" ht="14.45" customHeight="1" thickBot="1" x14ac:dyDescent="0.25">
      <c r="A175" s="463" t="s">
        <v>54</v>
      </c>
      <c r="B175" s="443">
        <v>3186.8240487186699</v>
      </c>
      <c r="C175" s="443">
        <v>3280.9645500000001</v>
      </c>
      <c r="D175" s="444">
        <v>94.140501281325996</v>
      </c>
      <c r="E175" s="450">
        <v>1.029540539371</v>
      </c>
      <c r="F175" s="443">
        <v>3362.57291813335</v>
      </c>
      <c r="G175" s="444">
        <v>2241.7152787555701</v>
      </c>
      <c r="H175" s="446">
        <v>225.50466</v>
      </c>
      <c r="I175" s="443">
        <v>2344.8137999999999</v>
      </c>
      <c r="J175" s="444">
        <v>103.098521244433</v>
      </c>
      <c r="K175" s="451">
        <v>0.69732727202800004</v>
      </c>
    </row>
    <row r="176" spans="1:11" ht="14.45" customHeight="1" thickBot="1" x14ac:dyDescent="0.25">
      <c r="A176" s="462" t="s">
        <v>424</v>
      </c>
      <c r="B176" s="438">
        <v>0</v>
      </c>
      <c r="C176" s="438">
        <v>0.4425</v>
      </c>
      <c r="D176" s="439">
        <v>0.4425</v>
      </c>
      <c r="E176" s="448" t="s">
        <v>280</v>
      </c>
      <c r="F176" s="438">
        <v>0</v>
      </c>
      <c r="G176" s="439">
        <v>0</v>
      </c>
      <c r="H176" s="441">
        <v>0</v>
      </c>
      <c r="I176" s="438">
        <v>9.826E-2</v>
      </c>
      <c r="J176" s="439">
        <v>9.826E-2</v>
      </c>
      <c r="K176" s="449" t="s">
        <v>280</v>
      </c>
    </row>
    <row r="177" spans="1:11" ht="14.45" customHeight="1" thickBot="1" x14ac:dyDescent="0.25">
      <c r="A177" s="460" t="s">
        <v>425</v>
      </c>
      <c r="B177" s="438">
        <v>0</v>
      </c>
      <c r="C177" s="438">
        <v>0.4425</v>
      </c>
      <c r="D177" s="439">
        <v>0.4425</v>
      </c>
      <c r="E177" s="448" t="s">
        <v>280</v>
      </c>
      <c r="F177" s="438">
        <v>0</v>
      </c>
      <c r="G177" s="439">
        <v>0</v>
      </c>
      <c r="H177" s="441">
        <v>0</v>
      </c>
      <c r="I177" s="438">
        <v>9.826E-2</v>
      </c>
      <c r="J177" s="439">
        <v>9.826E-2</v>
      </c>
      <c r="K177" s="449" t="s">
        <v>280</v>
      </c>
    </row>
    <row r="178" spans="1:11" ht="14.45" customHeight="1" thickBot="1" x14ac:dyDescent="0.25">
      <c r="A178" s="459" t="s">
        <v>426</v>
      </c>
      <c r="B178" s="443">
        <v>30.842748270925998</v>
      </c>
      <c r="C178" s="443">
        <v>23.173999999999999</v>
      </c>
      <c r="D178" s="444">
        <v>-7.6687482709259998</v>
      </c>
      <c r="E178" s="450">
        <v>0.75135976199099996</v>
      </c>
      <c r="F178" s="443">
        <v>20.285038163776999</v>
      </c>
      <c r="G178" s="444">
        <v>13.523358775850999</v>
      </c>
      <c r="H178" s="446">
        <v>0.66</v>
      </c>
      <c r="I178" s="443">
        <v>12.053000000000001</v>
      </c>
      <c r="J178" s="444">
        <v>-1.4703587758509999</v>
      </c>
      <c r="K178" s="451">
        <v>0.59418177588200005</v>
      </c>
    </row>
    <row r="179" spans="1:11" ht="14.45" customHeight="1" thickBot="1" x14ac:dyDescent="0.25">
      <c r="A179" s="460" t="s">
        <v>427</v>
      </c>
      <c r="B179" s="438">
        <v>30.842748270925998</v>
      </c>
      <c r="C179" s="438">
        <v>23.173999999999999</v>
      </c>
      <c r="D179" s="439">
        <v>-7.6687482709259998</v>
      </c>
      <c r="E179" s="440">
        <v>0.75135976199099996</v>
      </c>
      <c r="F179" s="438">
        <v>20.285038163776999</v>
      </c>
      <c r="G179" s="439">
        <v>13.523358775850999</v>
      </c>
      <c r="H179" s="441">
        <v>0.66</v>
      </c>
      <c r="I179" s="438">
        <v>12.053000000000001</v>
      </c>
      <c r="J179" s="439">
        <v>-1.4703587758509999</v>
      </c>
      <c r="K179" s="442">
        <v>0.59418177588200005</v>
      </c>
    </row>
    <row r="180" spans="1:11" ht="14.45" customHeight="1" thickBot="1" x14ac:dyDescent="0.25">
      <c r="A180" s="459" t="s">
        <v>428</v>
      </c>
      <c r="B180" s="443">
        <v>2.9555333374739998</v>
      </c>
      <c r="C180" s="443">
        <v>3.2582200000000001</v>
      </c>
      <c r="D180" s="444">
        <v>0.30268666252499998</v>
      </c>
      <c r="E180" s="450">
        <v>1.102413550436</v>
      </c>
      <c r="F180" s="443">
        <v>2.726390473336</v>
      </c>
      <c r="G180" s="444">
        <v>1.8175936488910001</v>
      </c>
      <c r="H180" s="446">
        <v>0.14699999999999999</v>
      </c>
      <c r="I180" s="443">
        <v>1.5905400000000001</v>
      </c>
      <c r="J180" s="444">
        <v>-0.22705364889099999</v>
      </c>
      <c r="K180" s="451">
        <v>0.58338672158399996</v>
      </c>
    </row>
    <row r="181" spans="1:11" ht="14.45" customHeight="1" thickBot="1" x14ac:dyDescent="0.25">
      <c r="A181" s="460" t="s">
        <v>429</v>
      </c>
      <c r="B181" s="438">
        <v>0</v>
      </c>
      <c r="C181" s="438">
        <v>0.37</v>
      </c>
      <c r="D181" s="439">
        <v>0.37</v>
      </c>
      <c r="E181" s="448" t="s">
        <v>280</v>
      </c>
      <c r="F181" s="438">
        <v>0</v>
      </c>
      <c r="G181" s="439">
        <v>0</v>
      </c>
      <c r="H181" s="441">
        <v>0</v>
      </c>
      <c r="I181" s="438">
        <v>0</v>
      </c>
      <c r="J181" s="439">
        <v>0</v>
      </c>
      <c r="K181" s="442">
        <v>0</v>
      </c>
    </row>
    <row r="182" spans="1:11" ht="14.45" customHeight="1" thickBot="1" x14ac:dyDescent="0.25">
      <c r="A182" s="460" t="s">
        <v>430</v>
      </c>
      <c r="B182" s="438">
        <v>0</v>
      </c>
      <c r="C182" s="438">
        <v>0.3216</v>
      </c>
      <c r="D182" s="439">
        <v>0.3216</v>
      </c>
      <c r="E182" s="448" t="s">
        <v>280</v>
      </c>
      <c r="F182" s="438">
        <v>0</v>
      </c>
      <c r="G182" s="439">
        <v>0</v>
      </c>
      <c r="H182" s="441">
        <v>0</v>
      </c>
      <c r="I182" s="438">
        <v>0</v>
      </c>
      <c r="J182" s="439">
        <v>0</v>
      </c>
      <c r="K182" s="442">
        <v>0</v>
      </c>
    </row>
    <row r="183" spans="1:11" ht="14.45" customHeight="1" thickBot="1" x14ac:dyDescent="0.25">
      <c r="A183" s="460" t="s">
        <v>431</v>
      </c>
      <c r="B183" s="438">
        <v>2.9555333374739998</v>
      </c>
      <c r="C183" s="438">
        <v>2.5666199999999999</v>
      </c>
      <c r="D183" s="439">
        <v>-0.38891333747399998</v>
      </c>
      <c r="E183" s="440">
        <v>0.86841179135299995</v>
      </c>
      <c r="F183" s="438">
        <v>2.726390473336</v>
      </c>
      <c r="G183" s="439">
        <v>1.8175936488910001</v>
      </c>
      <c r="H183" s="441">
        <v>0.14699999999999999</v>
      </c>
      <c r="I183" s="438">
        <v>1.5905400000000001</v>
      </c>
      <c r="J183" s="439">
        <v>-0.22705364889099999</v>
      </c>
      <c r="K183" s="442">
        <v>0.58338672158399996</v>
      </c>
    </row>
    <row r="184" spans="1:11" ht="14.45" customHeight="1" thickBot="1" x14ac:dyDescent="0.25">
      <c r="A184" s="462" t="s">
        <v>432</v>
      </c>
      <c r="B184" s="438">
        <v>0</v>
      </c>
      <c r="C184" s="438">
        <v>0</v>
      </c>
      <c r="D184" s="439">
        <v>0</v>
      </c>
      <c r="E184" s="440">
        <v>1</v>
      </c>
      <c r="F184" s="438">
        <v>0</v>
      </c>
      <c r="G184" s="439">
        <v>0</v>
      </c>
      <c r="H184" s="441">
        <v>7.9869999999999997E-2</v>
      </c>
      <c r="I184" s="438">
        <v>0.28404000000000001</v>
      </c>
      <c r="J184" s="439">
        <v>0.28404000000000001</v>
      </c>
      <c r="K184" s="449" t="s">
        <v>280</v>
      </c>
    </row>
    <row r="185" spans="1:11" ht="14.45" customHeight="1" thickBot="1" x14ac:dyDescent="0.25">
      <c r="A185" s="460" t="s">
        <v>433</v>
      </c>
      <c r="B185" s="438">
        <v>0</v>
      </c>
      <c r="C185" s="438">
        <v>0</v>
      </c>
      <c r="D185" s="439">
        <v>0</v>
      </c>
      <c r="E185" s="440">
        <v>1</v>
      </c>
      <c r="F185" s="438">
        <v>0</v>
      </c>
      <c r="G185" s="439">
        <v>0</v>
      </c>
      <c r="H185" s="441">
        <v>7.9869999999999997E-2</v>
      </c>
      <c r="I185" s="438">
        <v>0.28404000000000001</v>
      </c>
      <c r="J185" s="439">
        <v>0.28404000000000001</v>
      </c>
      <c r="K185" s="449" t="s">
        <v>280</v>
      </c>
    </row>
    <row r="186" spans="1:11" ht="14.45" customHeight="1" thickBot="1" x14ac:dyDescent="0.25">
      <c r="A186" s="459" t="s">
        <v>434</v>
      </c>
      <c r="B186" s="443">
        <v>25.692542087014999</v>
      </c>
      <c r="C186" s="443">
        <v>28.5059</v>
      </c>
      <c r="D186" s="444">
        <v>2.8133579129839998</v>
      </c>
      <c r="E186" s="450">
        <v>1.109500955703</v>
      </c>
      <c r="F186" s="443">
        <v>29.720706824592</v>
      </c>
      <c r="G186" s="444">
        <v>19.813804549728001</v>
      </c>
      <c r="H186" s="446">
        <v>0</v>
      </c>
      <c r="I186" s="443">
        <v>7.5845799999999999</v>
      </c>
      <c r="J186" s="444">
        <v>-12.229224549728</v>
      </c>
      <c r="K186" s="451">
        <v>0.255195142052</v>
      </c>
    </row>
    <row r="187" spans="1:11" ht="14.45" customHeight="1" thickBot="1" x14ac:dyDescent="0.25">
      <c r="A187" s="460" t="s">
        <v>435</v>
      </c>
      <c r="B187" s="438">
        <v>25.692542087014999</v>
      </c>
      <c r="C187" s="438">
        <v>28.5059</v>
      </c>
      <c r="D187" s="439">
        <v>2.8133579129839998</v>
      </c>
      <c r="E187" s="440">
        <v>1.109500955703</v>
      </c>
      <c r="F187" s="438">
        <v>29.720706824592</v>
      </c>
      <c r="G187" s="439">
        <v>19.813804549728001</v>
      </c>
      <c r="H187" s="441">
        <v>0</v>
      </c>
      <c r="I187" s="438">
        <v>7.5845799999999999</v>
      </c>
      <c r="J187" s="439">
        <v>-12.229224549728</v>
      </c>
      <c r="K187" s="442">
        <v>0.255195142052</v>
      </c>
    </row>
    <row r="188" spans="1:11" ht="14.45" customHeight="1" thickBot="1" x14ac:dyDescent="0.25">
      <c r="A188" s="459" t="s">
        <v>436</v>
      </c>
      <c r="B188" s="443">
        <v>0</v>
      </c>
      <c r="C188" s="443">
        <v>0.45200000000000001</v>
      </c>
      <c r="D188" s="444">
        <v>0.45200000000000001</v>
      </c>
      <c r="E188" s="445" t="s">
        <v>280</v>
      </c>
      <c r="F188" s="443">
        <v>0</v>
      </c>
      <c r="G188" s="444">
        <v>0</v>
      </c>
      <c r="H188" s="446">
        <v>5.6000000000000001E-2</v>
      </c>
      <c r="I188" s="443">
        <v>0.44800000000000001</v>
      </c>
      <c r="J188" s="444">
        <v>0.44800000000000001</v>
      </c>
      <c r="K188" s="447" t="s">
        <v>280</v>
      </c>
    </row>
    <row r="189" spans="1:11" ht="14.45" customHeight="1" thickBot="1" x14ac:dyDescent="0.25">
      <c r="A189" s="460" t="s">
        <v>437</v>
      </c>
      <c r="B189" s="438">
        <v>0</v>
      </c>
      <c r="C189" s="438">
        <v>0.45200000000000001</v>
      </c>
      <c r="D189" s="439">
        <v>0.45200000000000001</v>
      </c>
      <c r="E189" s="448" t="s">
        <v>280</v>
      </c>
      <c r="F189" s="438">
        <v>0</v>
      </c>
      <c r="G189" s="439">
        <v>0</v>
      </c>
      <c r="H189" s="441">
        <v>5.6000000000000001E-2</v>
      </c>
      <c r="I189" s="438">
        <v>0.44800000000000001</v>
      </c>
      <c r="J189" s="439">
        <v>0.44800000000000001</v>
      </c>
      <c r="K189" s="449" t="s">
        <v>280</v>
      </c>
    </row>
    <row r="190" spans="1:11" ht="14.45" customHeight="1" thickBot="1" x14ac:dyDescent="0.25">
      <c r="A190" s="459" t="s">
        <v>438</v>
      </c>
      <c r="B190" s="443">
        <v>1246.84697830854</v>
      </c>
      <c r="C190" s="443">
        <v>1044.2982199999999</v>
      </c>
      <c r="D190" s="444">
        <v>-202.548758308543</v>
      </c>
      <c r="E190" s="450">
        <v>0.83755122975600005</v>
      </c>
      <c r="F190" s="443">
        <v>1402.17931505212</v>
      </c>
      <c r="G190" s="444">
        <v>934.78621003474598</v>
      </c>
      <c r="H190" s="446">
        <v>66.672920000000005</v>
      </c>
      <c r="I190" s="443">
        <v>825.71292000000005</v>
      </c>
      <c r="J190" s="444">
        <v>-109.07329003474599</v>
      </c>
      <c r="K190" s="451">
        <v>0.58887826338299998</v>
      </c>
    </row>
    <row r="191" spans="1:11" ht="14.45" customHeight="1" thickBot="1" x14ac:dyDescent="0.25">
      <c r="A191" s="460" t="s">
        <v>439</v>
      </c>
      <c r="B191" s="438">
        <v>1246.84697830854</v>
      </c>
      <c r="C191" s="438">
        <v>1044.2982199999999</v>
      </c>
      <c r="D191" s="439">
        <v>-202.548758308543</v>
      </c>
      <c r="E191" s="440">
        <v>0.83755122975600005</v>
      </c>
      <c r="F191" s="438">
        <v>1402.17931505212</v>
      </c>
      <c r="G191" s="439">
        <v>934.78621003474598</v>
      </c>
      <c r="H191" s="441">
        <v>66.672920000000005</v>
      </c>
      <c r="I191" s="438">
        <v>825.71292000000005</v>
      </c>
      <c r="J191" s="439">
        <v>-109.07329003474599</v>
      </c>
      <c r="K191" s="442">
        <v>0.58887826338299998</v>
      </c>
    </row>
    <row r="192" spans="1:11" ht="14.45" customHeight="1" thickBot="1" x14ac:dyDescent="0.25">
      <c r="A192" s="459" t="s">
        <v>440</v>
      </c>
      <c r="B192" s="443">
        <v>0</v>
      </c>
      <c r="C192" s="443">
        <v>0.35637000000000002</v>
      </c>
      <c r="D192" s="444">
        <v>0.35637000000000002</v>
      </c>
      <c r="E192" s="445" t="s">
        <v>280</v>
      </c>
      <c r="F192" s="443">
        <v>0</v>
      </c>
      <c r="G192" s="444">
        <v>0</v>
      </c>
      <c r="H192" s="446">
        <v>0</v>
      </c>
      <c r="I192" s="443">
        <v>0</v>
      </c>
      <c r="J192" s="444">
        <v>0</v>
      </c>
      <c r="K192" s="451">
        <v>0</v>
      </c>
    </row>
    <row r="193" spans="1:11" ht="14.45" customHeight="1" thickBot="1" x14ac:dyDescent="0.25">
      <c r="A193" s="460" t="s">
        <v>441</v>
      </c>
      <c r="B193" s="438">
        <v>0</v>
      </c>
      <c r="C193" s="438">
        <v>0.35637000000000002</v>
      </c>
      <c r="D193" s="439">
        <v>0.35637000000000002</v>
      </c>
      <c r="E193" s="448" t="s">
        <v>280</v>
      </c>
      <c r="F193" s="438">
        <v>0</v>
      </c>
      <c r="G193" s="439">
        <v>0</v>
      </c>
      <c r="H193" s="441">
        <v>0</v>
      </c>
      <c r="I193" s="438">
        <v>0</v>
      </c>
      <c r="J193" s="439">
        <v>0</v>
      </c>
      <c r="K193" s="442">
        <v>0</v>
      </c>
    </row>
    <row r="194" spans="1:11" ht="14.45" customHeight="1" thickBot="1" x14ac:dyDescent="0.25">
      <c r="A194" s="459" t="s">
        <v>442</v>
      </c>
      <c r="B194" s="443">
        <v>1880.48624671471</v>
      </c>
      <c r="C194" s="443">
        <v>2180.4773399999999</v>
      </c>
      <c r="D194" s="444">
        <v>299.99109328528698</v>
      </c>
      <c r="E194" s="450">
        <v>1.159528469729</v>
      </c>
      <c r="F194" s="443">
        <v>1907.66146761953</v>
      </c>
      <c r="G194" s="444">
        <v>1271.7743117463499</v>
      </c>
      <c r="H194" s="446">
        <v>157.88887</v>
      </c>
      <c r="I194" s="443">
        <v>1497.0424599999999</v>
      </c>
      <c r="J194" s="444">
        <v>225.26814825365</v>
      </c>
      <c r="K194" s="451">
        <v>0.78475268563599998</v>
      </c>
    </row>
    <row r="195" spans="1:11" ht="14.45" customHeight="1" thickBot="1" x14ac:dyDescent="0.25">
      <c r="A195" s="460" t="s">
        <v>443</v>
      </c>
      <c r="B195" s="438">
        <v>1880.48624671471</v>
      </c>
      <c r="C195" s="438">
        <v>2180.4773399999999</v>
      </c>
      <c r="D195" s="439">
        <v>299.99109328528698</v>
      </c>
      <c r="E195" s="440">
        <v>1.159528469729</v>
      </c>
      <c r="F195" s="438">
        <v>1907.66146761953</v>
      </c>
      <c r="G195" s="439">
        <v>1271.7743117463499</v>
      </c>
      <c r="H195" s="441">
        <v>157.88887</v>
      </c>
      <c r="I195" s="438">
        <v>1497.0424599999999</v>
      </c>
      <c r="J195" s="439">
        <v>225.26814825365</v>
      </c>
      <c r="K195" s="442">
        <v>0.78475268563599998</v>
      </c>
    </row>
    <row r="196" spans="1:11" ht="14.45" customHeight="1" thickBot="1" x14ac:dyDescent="0.25">
      <c r="A196" s="464"/>
      <c r="B196" s="438">
        <v>52910.385178355296</v>
      </c>
      <c r="C196" s="438">
        <v>10277.03829</v>
      </c>
      <c r="D196" s="439">
        <v>-42633.3468883553</v>
      </c>
      <c r="E196" s="440">
        <v>0.19423480391100001</v>
      </c>
      <c r="F196" s="438">
        <v>-15031.279302646501</v>
      </c>
      <c r="G196" s="439">
        <v>-10020.852868431</v>
      </c>
      <c r="H196" s="441">
        <v>1413.40361999999</v>
      </c>
      <c r="I196" s="438">
        <v>17923.339670000001</v>
      </c>
      <c r="J196" s="439">
        <v>27944.192538431002</v>
      </c>
      <c r="K196" s="442">
        <v>-1.1924028094429999</v>
      </c>
    </row>
    <row r="197" spans="1:11" ht="14.45" customHeight="1" thickBot="1" x14ac:dyDescent="0.25">
      <c r="A197" s="465" t="s">
        <v>66</v>
      </c>
      <c r="B197" s="452">
        <v>52910.385178355296</v>
      </c>
      <c r="C197" s="452">
        <v>10277.03829</v>
      </c>
      <c r="D197" s="453">
        <v>-42633.3468883553</v>
      </c>
      <c r="E197" s="454">
        <v>-1.6133831264809999</v>
      </c>
      <c r="F197" s="452">
        <v>-15031.279302646501</v>
      </c>
      <c r="G197" s="453">
        <v>-10020.852868431</v>
      </c>
      <c r="H197" s="452">
        <v>1413.40361999999</v>
      </c>
      <c r="I197" s="452">
        <v>17923.339670000001</v>
      </c>
      <c r="J197" s="453">
        <v>27944.192538431002</v>
      </c>
      <c r="K197" s="455">
        <v>-1.1924028094429999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2FEA5315-52AD-4350-83E7-422795EBF2A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7" customWidth="1"/>
    <col min="2" max="2" width="61.140625" style="197" customWidth="1"/>
    <col min="3" max="3" width="9.5703125" style="118" hidden="1" customWidth="1" outlineLevel="1"/>
    <col min="4" max="4" width="9.5703125" style="198" customWidth="1" collapsed="1"/>
    <col min="5" max="5" width="2.28515625" style="198" customWidth="1"/>
    <col min="6" max="6" width="9.5703125" style="199" customWidth="1"/>
    <col min="7" max="7" width="9.5703125" style="196" customWidth="1"/>
    <col min="8" max="9" width="9.5703125" style="118" customWidth="1"/>
    <col min="10" max="10" width="0" style="118" hidden="1" customWidth="1"/>
    <col min="11" max="16384" width="8.85546875" style="118"/>
  </cols>
  <sheetData>
    <row r="1" spans="1:10" ht="18.600000000000001" customHeight="1" thickBot="1" x14ac:dyDescent="0.35">
      <c r="A1" s="348" t="s">
        <v>130</v>
      </c>
      <c r="B1" s="349"/>
      <c r="C1" s="349"/>
      <c r="D1" s="349"/>
      <c r="E1" s="349"/>
      <c r="F1" s="349"/>
      <c r="G1" s="319"/>
      <c r="H1" s="350"/>
      <c r="I1" s="350"/>
    </row>
    <row r="2" spans="1:10" ht="14.45" customHeight="1" thickBot="1" x14ac:dyDescent="0.25">
      <c r="A2" s="221" t="s">
        <v>256</v>
      </c>
      <c r="B2" s="195"/>
      <c r="C2" s="195"/>
      <c r="D2" s="195"/>
      <c r="E2" s="195"/>
      <c r="F2" s="195"/>
    </row>
    <row r="3" spans="1:10" ht="14.45" customHeight="1" thickBot="1" x14ac:dyDescent="0.25">
      <c r="A3" s="221"/>
      <c r="B3" s="260"/>
      <c r="C3" s="259">
        <v>2015</v>
      </c>
      <c r="D3" s="228">
        <v>2018</v>
      </c>
      <c r="E3" s="7"/>
      <c r="F3" s="327">
        <v>2019</v>
      </c>
      <c r="G3" s="345"/>
      <c r="H3" s="345"/>
      <c r="I3" s="328"/>
    </row>
    <row r="4" spans="1:10" ht="14.45" customHeight="1" thickBot="1" x14ac:dyDescent="0.25">
      <c r="A4" s="232" t="s">
        <v>0</v>
      </c>
      <c r="B4" s="233" t="s">
        <v>181</v>
      </c>
      <c r="C4" s="346" t="s">
        <v>72</v>
      </c>
      <c r="D4" s="347"/>
      <c r="E4" s="234"/>
      <c r="F4" s="229" t="s">
        <v>72</v>
      </c>
      <c r="G4" s="230" t="s">
        <v>73</v>
      </c>
      <c r="H4" s="230" t="s">
        <v>67</v>
      </c>
      <c r="I4" s="231" t="s">
        <v>74</v>
      </c>
    </row>
    <row r="5" spans="1:10" ht="14.45" customHeight="1" x14ac:dyDescent="0.2">
      <c r="A5" s="466" t="s">
        <v>444</v>
      </c>
      <c r="B5" s="467" t="s">
        <v>445</v>
      </c>
      <c r="C5" s="468" t="s">
        <v>446</v>
      </c>
      <c r="D5" s="468" t="s">
        <v>446</v>
      </c>
      <c r="E5" s="468"/>
      <c r="F5" s="468" t="s">
        <v>446</v>
      </c>
      <c r="G5" s="468" t="s">
        <v>446</v>
      </c>
      <c r="H5" s="468" t="s">
        <v>446</v>
      </c>
      <c r="I5" s="469" t="s">
        <v>446</v>
      </c>
      <c r="J5" s="470" t="s">
        <v>68</v>
      </c>
    </row>
    <row r="6" spans="1:10" ht="14.45" customHeight="1" x14ac:dyDescent="0.2">
      <c r="A6" s="466" t="s">
        <v>444</v>
      </c>
      <c r="B6" s="467" t="s">
        <v>447</v>
      </c>
      <c r="C6" s="468">
        <v>21.321629999999995</v>
      </c>
      <c r="D6" s="468">
        <v>21.575989999999997</v>
      </c>
      <c r="E6" s="468"/>
      <c r="F6" s="468">
        <v>21.338940000000001</v>
      </c>
      <c r="G6" s="468">
        <v>26.666668609619141</v>
      </c>
      <c r="H6" s="468">
        <v>-5.3277286096191396</v>
      </c>
      <c r="I6" s="469">
        <v>0.80021019169611107</v>
      </c>
      <c r="J6" s="470" t="s">
        <v>1</v>
      </c>
    </row>
    <row r="7" spans="1:10" ht="14.45" customHeight="1" x14ac:dyDescent="0.2">
      <c r="A7" s="466" t="s">
        <v>444</v>
      </c>
      <c r="B7" s="467" t="s">
        <v>448</v>
      </c>
      <c r="C7" s="468">
        <v>21.321629999999995</v>
      </c>
      <c r="D7" s="468">
        <v>21.575989999999997</v>
      </c>
      <c r="E7" s="468"/>
      <c r="F7" s="468">
        <v>21.338940000000001</v>
      </c>
      <c r="G7" s="468">
        <v>26.666668609619141</v>
      </c>
      <c r="H7" s="468">
        <v>-5.3277286096191396</v>
      </c>
      <c r="I7" s="469">
        <v>0.80021019169611107</v>
      </c>
      <c r="J7" s="470" t="s">
        <v>449</v>
      </c>
    </row>
    <row r="9" spans="1:10" ht="14.45" customHeight="1" x14ac:dyDescent="0.2">
      <c r="A9" s="466" t="s">
        <v>444</v>
      </c>
      <c r="B9" s="467" t="s">
        <v>445</v>
      </c>
      <c r="C9" s="468" t="s">
        <v>446</v>
      </c>
      <c r="D9" s="468" t="s">
        <v>446</v>
      </c>
      <c r="E9" s="468"/>
      <c r="F9" s="468" t="s">
        <v>446</v>
      </c>
      <c r="G9" s="468" t="s">
        <v>446</v>
      </c>
      <c r="H9" s="468" t="s">
        <v>446</v>
      </c>
      <c r="I9" s="469" t="s">
        <v>446</v>
      </c>
      <c r="J9" s="470" t="s">
        <v>68</v>
      </c>
    </row>
    <row r="10" spans="1:10" ht="14.45" customHeight="1" x14ac:dyDescent="0.2">
      <c r="A10" s="466" t="s">
        <v>450</v>
      </c>
      <c r="B10" s="467" t="s">
        <v>451</v>
      </c>
      <c r="C10" s="468" t="s">
        <v>446</v>
      </c>
      <c r="D10" s="468" t="s">
        <v>446</v>
      </c>
      <c r="E10" s="468"/>
      <c r="F10" s="468" t="s">
        <v>446</v>
      </c>
      <c r="G10" s="468" t="s">
        <v>446</v>
      </c>
      <c r="H10" s="468" t="s">
        <v>446</v>
      </c>
      <c r="I10" s="469" t="s">
        <v>446</v>
      </c>
      <c r="J10" s="470" t="s">
        <v>0</v>
      </c>
    </row>
    <row r="11" spans="1:10" ht="14.45" customHeight="1" x14ac:dyDescent="0.2">
      <c r="A11" s="466" t="s">
        <v>450</v>
      </c>
      <c r="B11" s="467" t="s">
        <v>447</v>
      </c>
      <c r="C11" s="468">
        <v>0.54461999999999999</v>
      </c>
      <c r="D11" s="468">
        <v>0.58833999999999986</v>
      </c>
      <c r="E11" s="468"/>
      <c r="F11" s="468">
        <v>0.41872999999999999</v>
      </c>
      <c r="G11" s="468">
        <v>0</v>
      </c>
      <c r="H11" s="468">
        <v>0.41872999999999999</v>
      </c>
      <c r="I11" s="469" t="s">
        <v>446</v>
      </c>
      <c r="J11" s="470" t="s">
        <v>1</v>
      </c>
    </row>
    <row r="12" spans="1:10" ht="14.45" customHeight="1" x14ac:dyDescent="0.2">
      <c r="A12" s="466" t="s">
        <v>450</v>
      </c>
      <c r="B12" s="467" t="s">
        <v>452</v>
      </c>
      <c r="C12" s="468">
        <v>0.54461999999999999</v>
      </c>
      <c r="D12" s="468">
        <v>0.58833999999999986</v>
      </c>
      <c r="E12" s="468"/>
      <c r="F12" s="468">
        <v>0.41872999999999999</v>
      </c>
      <c r="G12" s="468">
        <v>0</v>
      </c>
      <c r="H12" s="468">
        <v>0.41872999999999999</v>
      </c>
      <c r="I12" s="469" t="s">
        <v>446</v>
      </c>
      <c r="J12" s="470" t="s">
        <v>453</v>
      </c>
    </row>
    <row r="13" spans="1:10" ht="14.45" customHeight="1" x14ac:dyDescent="0.2">
      <c r="A13" s="466" t="s">
        <v>446</v>
      </c>
      <c r="B13" s="467" t="s">
        <v>446</v>
      </c>
      <c r="C13" s="468" t="s">
        <v>446</v>
      </c>
      <c r="D13" s="468" t="s">
        <v>446</v>
      </c>
      <c r="E13" s="468"/>
      <c r="F13" s="468" t="s">
        <v>446</v>
      </c>
      <c r="G13" s="468" t="s">
        <v>446</v>
      </c>
      <c r="H13" s="468" t="s">
        <v>446</v>
      </c>
      <c r="I13" s="469" t="s">
        <v>446</v>
      </c>
      <c r="J13" s="470" t="s">
        <v>454</v>
      </c>
    </row>
    <row r="14" spans="1:10" ht="14.45" customHeight="1" x14ac:dyDescent="0.2">
      <c r="A14" s="466" t="s">
        <v>455</v>
      </c>
      <c r="B14" s="467" t="s">
        <v>456</v>
      </c>
      <c r="C14" s="468" t="s">
        <v>446</v>
      </c>
      <c r="D14" s="468" t="s">
        <v>446</v>
      </c>
      <c r="E14" s="468"/>
      <c r="F14" s="468" t="s">
        <v>446</v>
      </c>
      <c r="G14" s="468" t="s">
        <v>446</v>
      </c>
      <c r="H14" s="468" t="s">
        <v>446</v>
      </c>
      <c r="I14" s="469" t="s">
        <v>446</v>
      </c>
      <c r="J14" s="470" t="s">
        <v>0</v>
      </c>
    </row>
    <row r="15" spans="1:10" ht="14.45" customHeight="1" x14ac:dyDescent="0.2">
      <c r="A15" s="466" t="s">
        <v>455</v>
      </c>
      <c r="B15" s="467" t="s">
        <v>447</v>
      </c>
      <c r="C15" s="468">
        <v>20.777009999999997</v>
      </c>
      <c r="D15" s="468">
        <v>20.987649999999999</v>
      </c>
      <c r="E15" s="468"/>
      <c r="F15" s="468">
        <v>20.920210000000001</v>
      </c>
      <c r="G15" s="468">
        <v>26</v>
      </c>
      <c r="H15" s="468">
        <v>-5.0797899999999991</v>
      </c>
      <c r="I15" s="469">
        <v>0.80462346153846154</v>
      </c>
      <c r="J15" s="470" t="s">
        <v>1</v>
      </c>
    </row>
    <row r="16" spans="1:10" ht="14.45" customHeight="1" x14ac:dyDescent="0.2">
      <c r="A16" s="466" t="s">
        <v>455</v>
      </c>
      <c r="B16" s="467" t="s">
        <v>457</v>
      </c>
      <c r="C16" s="468">
        <v>20.777009999999997</v>
      </c>
      <c r="D16" s="468">
        <v>20.987649999999999</v>
      </c>
      <c r="E16" s="468"/>
      <c r="F16" s="468">
        <v>20.920210000000001</v>
      </c>
      <c r="G16" s="468">
        <v>26</v>
      </c>
      <c r="H16" s="468">
        <v>-5.0797899999999991</v>
      </c>
      <c r="I16" s="469">
        <v>0.80462346153846154</v>
      </c>
      <c r="J16" s="470" t="s">
        <v>453</v>
      </c>
    </row>
    <row r="17" spans="1:10" ht="14.45" customHeight="1" x14ac:dyDescent="0.2">
      <c r="A17" s="466" t="s">
        <v>446</v>
      </c>
      <c r="B17" s="467" t="s">
        <v>446</v>
      </c>
      <c r="C17" s="468" t="s">
        <v>446</v>
      </c>
      <c r="D17" s="468" t="s">
        <v>446</v>
      </c>
      <c r="E17" s="468"/>
      <c r="F17" s="468" t="s">
        <v>446</v>
      </c>
      <c r="G17" s="468" t="s">
        <v>446</v>
      </c>
      <c r="H17" s="468" t="s">
        <v>446</v>
      </c>
      <c r="I17" s="469" t="s">
        <v>446</v>
      </c>
      <c r="J17" s="470" t="s">
        <v>454</v>
      </c>
    </row>
    <row r="18" spans="1:10" ht="14.45" customHeight="1" x14ac:dyDescent="0.2">
      <c r="A18" s="466" t="s">
        <v>444</v>
      </c>
      <c r="B18" s="467" t="s">
        <v>448</v>
      </c>
      <c r="C18" s="468">
        <v>21.321629999999995</v>
      </c>
      <c r="D18" s="468">
        <v>21.575989999999997</v>
      </c>
      <c r="E18" s="468"/>
      <c r="F18" s="468">
        <v>21.338940000000001</v>
      </c>
      <c r="G18" s="468">
        <v>27</v>
      </c>
      <c r="H18" s="468">
        <v>-5.6610599999999991</v>
      </c>
      <c r="I18" s="469">
        <v>0.7903311111111111</v>
      </c>
      <c r="J18" s="470" t="s">
        <v>449</v>
      </c>
    </row>
  </sheetData>
  <mergeCells count="3">
    <mergeCell ref="F3:I3"/>
    <mergeCell ref="C4:D4"/>
    <mergeCell ref="A1:I1"/>
  </mergeCells>
  <conditionalFormatting sqref="F8 F19:F65537">
    <cfRule type="cellIs" dxfId="51" priority="18" stopIfTrue="1" operator="greaterThan">
      <formula>1</formula>
    </cfRule>
  </conditionalFormatting>
  <conditionalFormatting sqref="H5:H7">
    <cfRule type="expression" dxfId="50" priority="14">
      <formula>$H5&gt;0</formula>
    </cfRule>
  </conditionalFormatting>
  <conditionalFormatting sqref="I5:I7">
    <cfRule type="expression" dxfId="49" priority="15">
      <formula>$I5&gt;1</formula>
    </cfRule>
  </conditionalFormatting>
  <conditionalFormatting sqref="B5:B7">
    <cfRule type="expression" dxfId="48" priority="11">
      <formula>OR($J5="NS",$J5="SumaNS",$J5="Účet")</formula>
    </cfRule>
  </conditionalFormatting>
  <conditionalFormatting sqref="B5:D7 F5:I7">
    <cfRule type="expression" dxfId="47" priority="17">
      <formula>AND($J5&lt;&gt;"",$J5&lt;&gt;"mezeraKL")</formula>
    </cfRule>
  </conditionalFormatting>
  <conditionalFormatting sqref="B5:D7 F5:I7">
    <cfRule type="expression" dxfId="46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5" priority="13">
      <formula>OR($J5="SumaNS",$J5="NS")</formula>
    </cfRule>
  </conditionalFormatting>
  <conditionalFormatting sqref="A5:A7">
    <cfRule type="expression" dxfId="44" priority="9">
      <formula>AND($J5&lt;&gt;"mezeraKL",$J5&lt;&gt;"")</formula>
    </cfRule>
  </conditionalFormatting>
  <conditionalFormatting sqref="A5:A7">
    <cfRule type="expression" dxfId="43" priority="10">
      <formula>AND($J5&lt;&gt;"",$J5&lt;&gt;"mezeraKL")</formula>
    </cfRule>
  </conditionalFormatting>
  <conditionalFormatting sqref="H9:H18">
    <cfRule type="expression" dxfId="42" priority="5">
      <formula>$H9&gt;0</formula>
    </cfRule>
  </conditionalFormatting>
  <conditionalFormatting sqref="A9:A18">
    <cfRule type="expression" dxfId="41" priority="2">
      <formula>AND($J9&lt;&gt;"mezeraKL",$J9&lt;&gt;"")</formula>
    </cfRule>
  </conditionalFormatting>
  <conditionalFormatting sqref="I9:I18">
    <cfRule type="expression" dxfId="40" priority="6">
      <formula>$I9&gt;1</formula>
    </cfRule>
  </conditionalFormatting>
  <conditionalFormatting sqref="B9:B18">
    <cfRule type="expression" dxfId="39" priority="1">
      <formula>OR($J9="NS",$J9="SumaNS",$J9="Účet")</formula>
    </cfRule>
  </conditionalFormatting>
  <conditionalFormatting sqref="A9:D18 F9:I18">
    <cfRule type="expression" dxfId="38" priority="8">
      <formula>AND($J9&lt;&gt;"",$J9&lt;&gt;"mezeraKL")</formula>
    </cfRule>
  </conditionalFormatting>
  <conditionalFormatting sqref="B9:D18 F9:I18">
    <cfRule type="expression" dxfId="37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6" priority="4">
      <formula>OR($J9="SumaNS",$J9="NS")</formula>
    </cfRule>
  </conditionalFormatting>
  <hyperlinks>
    <hyperlink ref="A2" location="Obsah!A1" display="Zpět na Obsah  KL 01  1.-4.měsíc" xr:uid="{BE2E609A-3B34-4DFD-8B23-401142E5B4CC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8" hidden="1" customWidth="1" outlineLevel="1"/>
    <col min="2" max="2" width="28.28515625" style="118" hidden="1" customWidth="1" outlineLevel="1"/>
    <col min="3" max="3" width="5.28515625" style="198" bestFit="1" customWidth="1" collapsed="1"/>
    <col min="4" max="4" width="18.7109375" style="202" customWidth="1"/>
    <col min="5" max="5" width="9" style="264" bestFit="1" customWidth="1"/>
    <col min="6" max="6" width="18.7109375" style="202" customWidth="1"/>
    <col min="7" max="7" width="5" style="198" customWidth="1"/>
    <col min="8" max="8" width="12.42578125" style="198" hidden="1" customWidth="1" outlineLevel="1"/>
    <col min="9" max="9" width="8.5703125" style="198" hidden="1" customWidth="1" outlineLevel="1"/>
    <col min="10" max="10" width="25.7109375" style="198" customWidth="1" collapsed="1"/>
    <col min="11" max="11" width="8.7109375" style="198" customWidth="1"/>
    <col min="12" max="13" width="7.7109375" style="196" customWidth="1"/>
    <col min="14" max="14" width="12.7109375" style="196" customWidth="1"/>
    <col min="15" max="16384" width="8.85546875" style="118"/>
  </cols>
  <sheetData>
    <row r="1" spans="1:14" ht="18.600000000000001" customHeight="1" thickBot="1" x14ac:dyDescent="0.35">
      <c r="A1" s="355" t="s">
        <v>151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4.45" customHeight="1" thickBot="1" x14ac:dyDescent="0.25">
      <c r="A2" s="221" t="s">
        <v>256</v>
      </c>
      <c r="B2" s="57"/>
      <c r="C2" s="200"/>
      <c r="D2" s="200"/>
      <c r="E2" s="263"/>
      <c r="F2" s="200"/>
      <c r="G2" s="200"/>
      <c r="H2" s="200"/>
      <c r="I2" s="200"/>
      <c r="J2" s="200"/>
      <c r="K2" s="200"/>
      <c r="L2" s="201"/>
      <c r="M2" s="201"/>
      <c r="N2" s="201"/>
    </row>
    <row r="3" spans="1:14" ht="14.45" customHeight="1" thickBot="1" x14ac:dyDescent="0.25">
      <c r="A3" s="57"/>
      <c r="B3" s="57"/>
      <c r="C3" s="351"/>
      <c r="D3" s="352"/>
      <c r="E3" s="352"/>
      <c r="F3" s="352"/>
      <c r="G3" s="352"/>
      <c r="H3" s="352"/>
      <c r="I3" s="352"/>
      <c r="J3" s="353" t="s">
        <v>127</v>
      </c>
      <c r="K3" s="354"/>
      <c r="L3" s="88">
        <f>IF(M3&lt;&gt;0,N3/M3,0)</f>
        <v>191.75498757494526</v>
      </c>
      <c r="M3" s="88">
        <f>SUBTOTAL(9,M5:M1048576)</f>
        <v>31</v>
      </c>
      <c r="N3" s="89">
        <f>SUBTOTAL(9,N5:N1048576)</f>
        <v>5944.4046148233028</v>
      </c>
    </row>
    <row r="4" spans="1:14" s="19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135</v>
      </c>
      <c r="M4" s="475" t="s">
        <v>13</v>
      </c>
      <c r="N4" s="476" t="s">
        <v>147</v>
      </c>
    </row>
    <row r="5" spans="1:14" ht="14.45" customHeight="1" x14ac:dyDescent="0.2">
      <c r="A5" s="477" t="s">
        <v>444</v>
      </c>
      <c r="B5" s="478" t="s">
        <v>445</v>
      </c>
      <c r="C5" s="479" t="s">
        <v>450</v>
      </c>
      <c r="D5" s="480" t="s">
        <v>451</v>
      </c>
      <c r="E5" s="481">
        <v>50113001</v>
      </c>
      <c r="F5" s="480" t="s">
        <v>458</v>
      </c>
      <c r="G5" s="479" t="s">
        <v>459</v>
      </c>
      <c r="H5" s="479">
        <v>847974</v>
      </c>
      <c r="I5" s="479">
        <v>125525</v>
      </c>
      <c r="J5" s="479" t="s">
        <v>460</v>
      </c>
      <c r="K5" s="479" t="s">
        <v>461</v>
      </c>
      <c r="L5" s="482">
        <v>47.11999999999999</v>
      </c>
      <c r="M5" s="482">
        <v>1</v>
      </c>
      <c r="N5" s="483">
        <v>47.11999999999999</v>
      </c>
    </row>
    <row r="6" spans="1:14" ht="14.45" customHeight="1" x14ac:dyDescent="0.2">
      <c r="A6" s="484" t="s">
        <v>444</v>
      </c>
      <c r="B6" s="485" t="s">
        <v>445</v>
      </c>
      <c r="C6" s="486" t="s">
        <v>450</v>
      </c>
      <c r="D6" s="487" t="s">
        <v>451</v>
      </c>
      <c r="E6" s="488">
        <v>50113001</v>
      </c>
      <c r="F6" s="487" t="s">
        <v>458</v>
      </c>
      <c r="G6" s="486" t="s">
        <v>459</v>
      </c>
      <c r="H6" s="486">
        <v>112895</v>
      </c>
      <c r="I6" s="486">
        <v>12895</v>
      </c>
      <c r="J6" s="486" t="s">
        <v>462</v>
      </c>
      <c r="K6" s="486" t="s">
        <v>463</v>
      </c>
      <c r="L6" s="489">
        <v>105.55000000000003</v>
      </c>
      <c r="M6" s="489">
        <v>2</v>
      </c>
      <c r="N6" s="490">
        <v>211.10000000000005</v>
      </c>
    </row>
    <row r="7" spans="1:14" ht="14.45" customHeight="1" x14ac:dyDescent="0.2">
      <c r="A7" s="484" t="s">
        <v>444</v>
      </c>
      <c r="B7" s="485" t="s">
        <v>445</v>
      </c>
      <c r="C7" s="486" t="s">
        <v>450</v>
      </c>
      <c r="D7" s="487" t="s">
        <v>451</v>
      </c>
      <c r="E7" s="488">
        <v>50113001</v>
      </c>
      <c r="F7" s="487" t="s">
        <v>458</v>
      </c>
      <c r="G7" s="486" t="s">
        <v>459</v>
      </c>
      <c r="H7" s="486">
        <v>841498</v>
      </c>
      <c r="I7" s="486">
        <v>31951</v>
      </c>
      <c r="J7" s="486" t="s">
        <v>464</v>
      </c>
      <c r="K7" s="486" t="s">
        <v>465</v>
      </c>
      <c r="L7" s="489">
        <v>51.760000000000019</v>
      </c>
      <c r="M7" s="489">
        <v>1</v>
      </c>
      <c r="N7" s="490">
        <v>51.760000000000019</v>
      </c>
    </row>
    <row r="8" spans="1:14" ht="14.45" customHeight="1" x14ac:dyDescent="0.2">
      <c r="A8" s="484" t="s">
        <v>444</v>
      </c>
      <c r="B8" s="485" t="s">
        <v>445</v>
      </c>
      <c r="C8" s="486" t="s">
        <v>450</v>
      </c>
      <c r="D8" s="487" t="s">
        <v>451</v>
      </c>
      <c r="E8" s="488">
        <v>50113001</v>
      </c>
      <c r="F8" s="487" t="s">
        <v>458</v>
      </c>
      <c r="G8" s="486" t="s">
        <v>459</v>
      </c>
      <c r="H8" s="486">
        <v>100498</v>
      </c>
      <c r="I8" s="486">
        <v>498</v>
      </c>
      <c r="J8" s="486" t="s">
        <v>466</v>
      </c>
      <c r="K8" s="486" t="s">
        <v>467</v>
      </c>
      <c r="L8" s="489">
        <v>108.75</v>
      </c>
      <c r="M8" s="489">
        <v>1</v>
      </c>
      <c r="N8" s="490">
        <v>108.75</v>
      </c>
    </row>
    <row r="9" spans="1:14" ht="14.45" customHeight="1" x14ac:dyDescent="0.2">
      <c r="A9" s="484" t="s">
        <v>444</v>
      </c>
      <c r="B9" s="485" t="s">
        <v>445</v>
      </c>
      <c r="C9" s="486" t="s">
        <v>455</v>
      </c>
      <c r="D9" s="487" t="s">
        <v>456</v>
      </c>
      <c r="E9" s="488">
        <v>50113001</v>
      </c>
      <c r="F9" s="487" t="s">
        <v>458</v>
      </c>
      <c r="G9" s="486" t="s">
        <v>459</v>
      </c>
      <c r="H9" s="486">
        <v>51366</v>
      </c>
      <c r="I9" s="486">
        <v>51366</v>
      </c>
      <c r="J9" s="486" t="s">
        <v>468</v>
      </c>
      <c r="K9" s="486" t="s">
        <v>469</v>
      </c>
      <c r="L9" s="489">
        <v>171.60000000000002</v>
      </c>
      <c r="M9" s="489">
        <v>1</v>
      </c>
      <c r="N9" s="490">
        <v>171.60000000000002</v>
      </c>
    </row>
    <row r="10" spans="1:14" ht="14.45" customHeight="1" x14ac:dyDescent="0.2">
      <c r="A10" s="484" t="s">
        <v>444</v>
      </c>
      <c r="B10" s="485" t="s">
        <v>445</v>
      </c>
      <c r="C10" s="486" t="s">
        <v>455</v>
      </c>
      <c r="D10" s="487" t="s">
        <v>456</v>
      </c>
      <c r="E10" s="488">
        <v>50113001</v>
      </c>
      <c r="F10" s="487" t="s">
        <v>458</v>
      </c>
      <c r="G10" s="486" t="s">
        <v>459</v>
      </c>
      <c r="H10" s="486">
        <v>930589</v>
      </c>
      <c r="I10" s="486">
        <v>0</v>
      </c>
      <c r="J10" s="486" t="s">
        <v>470</v>
      </c>
      <c r="K10" s="486" t="s">
        <v>446</v>
      </c>
      <c r="L10" s="489">
        <v>111.29871371136778</v>
      </c>
      <c r="M10" s="489">
        <v>2</v>
      </c>
      <c r="N10" s="490">
        <v>222.59742742273556</v>
      </c>
    </row>
    <row r="11" spans="1:14" ht="14.45" customHeight="1" x14ac:dyDescent="0.2">
      <c r="A11" s="484" t="s">
        <v>444</v>
      </c>
      <c r="B11" s="485" t="s">
        <v>445</v>
      </c>
      <c r="C11" s="486" t="s">
        <v>455</v>
      </c>
      <c r="D11" s="487" t="s">
        <v>456</v>
      </c>
      <c r="E11" s="488">
        <v>50113001</v>
      </c>
      <c r="F11" s="487" t="s">
        <v>458</v>
      </c>
      <c r="G11" s="486" t="s">
        <v>459</v>
      </c>
      <c r="H11" s="486">
        <v>900321</v>
      </c>
      <c r="I11" s="486">
        <v>0</v>
      </c>
      <c r="J11" s="486" t="s">
        <v>471</v>
      </c>
      <c r="K11" s="486" t="s">
        <v>446</v>
      </c>
      <c r="L11" s="489">
        <v>226.79999999999998</v>
      </c>
      <c r="M11" s="489">
        <v>8</v>
      </c>
      <c r="N11" s="490">
        <v>1814.3999999999999</v>
      </c>
    </row>
    <row r="12" spans="1:14" ht="14.45" customHeight="1" thickBot="1" x14ac:dyDescent="0.25">
      <c r="A12" s="491" t="s">
        <v>444</v>
      </c>
      <c r="B12" s="492" t="s">
        <v>445</v>
      </c>
      <c r="C12" s="493" t="s">
        <v>455</v>
      </c>
      <c r="D12" s="494" t="s">
        <v>456</v>
      </c>
      <c r="E12" s="495">
        <v>50113001</v>
      </c>
      <c r="F12" s="494" t="s">
        <v>458</v>
      </c>
      <c r="G12" s="493" t="s">
        <v>459</v>
      </c>
      <c r="H12" s="493">
        <v>921227</v>
      </c>
      <c r="I12" s="493">
        <v>0</v>
      </c>
      <c r="J12" s="493" t="s">
        <v>472</v>
      </c>
      <c r="K12" s="493" t="s">
        <v>446</v>
      </c>
      <c r="L12" s="496">
        <v>221.13847916003786</v>
      </c>
      <c r="M12" s="496">
        <v>15</v>
      </c>
      <c r="N12" s="497">
        <v>3317.0771874005677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6E91AE7E-6F39-4D8D-BFC6-A64A364F3FD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47" customWidth="1"/>
    <col min="2" max="2" width="5.42578125" style="196" bestFit="1" customWidth="1"/>
    <col min="3" max="3" width="6.140625" style="196" bestFit="1" customWidth="1"/>
    <col min="4" max="4" width="7.42578125" style="196" bestFit="1" customWidth="1"/>
    <col min="5" max="5" width="6.28515625" style="196" bestFit="1" customWidth="1"/>
    <col min="6" max="6" width="6.28515625" style="199" bestFit="1" customWidth="1"/>
    <col min="7" max="7" width="6.140625" style="199" bestFit="1" customWidth="1"/>
    <col min="8" max="8" width="7.42578125" style="199" bestFit="1" customWidth="1"/>
    <col min="9" max="9" width="6.28515625" style="199" bestFit="1" customWidth="1"/>
    <col min="10" max="10" width="5.42578125" style="196" bestFit="1" customWidth="1"/>
    <col min="11" max="11" width="6.140625" style="196" bestFit="1" customWidth="1"/>
    <col min="12" max="12" width="7.42578125" style="196" bestFit="1" customWidth="1"/>
    <col min="13" max="13" width="6.28515625" style="196" bestFit="1" customWidth="1"/>
    <col min="14" max="14" width="5.28515625" style="199" bestFit="1" customWidth="1"/>
    <col min="15" max="15" width="6.140625" style="199" bestFit="1" customWidth="1"/>
    <col min="16" max="16" width="7.42578125" style="199" bestFit="1" customWidth="1"/>
    <col min="17" max="17" width="6.28515625" style="199" bestFit="1" customWidth="1"/>
    <col min="18" max="16384" width="8.85546875" style="118"/>
  </cols>
  <sheetData>
    <row r="1" spans="1:17" ht="18.600000000000001" customHeight="1" thickBot="1" x14ac:dyDescent="0.35">
      <c r="A1" s="356" t="s">
        <v>182</v>
      </c>
      <c r="B1" s="356"/>
      <c r="C1" s="356"/>
      <c r="D1" s="356"/>
      <c r="E1" s="356"/>
      <c r="F1" s="319"/>
      <c r="G1" s="319"/>
      <c r="H1" s="319"/>
      <c r="I1" s="319"/>
      <c r="J1" s="350"/>
      <c r="K1" s="350"/>
      <c r="L1" s="350"/>
      <c r="M1" s="350"/>
      <c r="N1" s="350"/>
      <c r="O1" s="350"/>
      <c r="P1" s="350"/>
      <c r="Q1" s="350"/>
    </row>
    <row r="2" spans="1:17" ht="14.45" customHeight="1" thickBot="1" x14ac:dyDescent="0.25">
      <c r="A2" s="221" t="s">
        <v>256</v>
      </c>
      <c r="B2" s="203"/>
      <c r="C2" s="203"/>
      <c r="D2" s="203"/>
      <c r="E2" s="203"/>
    </row>
    <row r="3" spans="1:17" ht="14.45" customHeight="1" thickBot="1" x14ac:dyDescent="0.25">
      <c r="A3" s="236" t="s">
        <v>3</v>
      </c>
      <c r="B3" s="240">
        <f>SUM(B6:B1048576)</f>
        <v>45</v>
      </c>
      <c r="C3" s="241">
        <f>SUM(C6:C1048576)</f>
        <v>0</v>
      </c>
      <c r="D3" s="241">
        <f>SUM(D6:D1048576)</f>
        <v>0</v>
      </c>
      <c r="E3" s="242">
        <f>SUM(E6:E1048576)</f>
        <v>0</v>
      </c>
      <c r="F3" s="239">
        <f>IF(SUM($B3:$E3)=0,"",B3/SUM($B3:$E3))</f>
        <v>1</v>
      </c>
      <c r="G3" s="237">
        <f t="shared" ref="G3:I3" si="0">IF(SUM($B3:$E3)=0,"",C3/SUM($B3:$E3))</f>
        <v>0</v>
      </c>
      <c r="H3" s="237">
        <f t="shared" si="0"/>
        <v>0</v>
      </c>
      <c r="I3" s="238">
        <f t="shared" si="0"/>
        <v>0</v>
      </c>
      <c r="J3" s="241">
        <f>SUM(J6:J1048576)</f>
        <v>28</v>
      </c>
      <c r="K3" s="241">
        <f>SUM(K6:K1048576)</f>
        <v>0</v>
      </c>
      <c r="L3" s="241">
        <f>SUM(L6:L1048576)</f>
        <v>0</v>
      </c>
      <c r="M3" s="242">
        <f>SUM(M6:M1048576)</f>
        <v>0</v>
      </c>
      <c r="N3" s="239">
        <f>IF(SUM($J3:$M3)=0,"",J3/SUM($J3:$M3))</f>
        <v>1</v>
      </c>
      <c r="O3" s="237">
        <f t="shared" ref="O3:Q3" si="1">IF(SUM($J3:$M3)=0,"",K3/SUM($J3:$M3))</f>
        <v>0</v>
      </c>
      <c r="P3" s="237">
        <f t="shared" si="1"/>
        <v>0</v>
      </c>
      <c r="Q3" s="238">
        <f t="shared" si="1"/>
        <v>0</v>
      </c>
    </row>
    <row r="4" spans="1:17" ht="14.45" customHeight="1" thickBot="1" x14ac:dyDescent="0.25">
      <c r="A4" s="235"/>
      <c r="B4" s="360" t="s">
        <v>184</v>
      </c>
      <c r="C4" s="361"/>
      <c r="D4" s="361"/>
      <c r="E4" s="362"/>
      <c r="F4" s="357" t="s">
        <v>189</v>
      </c>
      <c r="G4" s="358"/>
      <c r="H4" s="358"/>
      <c r="I4" s="359"/>
      <c r="J4" s="360" t="s">
        <v>190</v>
      </c>
      <c r="K4" s="361"/>
      <c r="L4" s="361"/>
      <c r="M4" s="362"/>
      <c r="N4" s="357" t="s">
        <v>191</v>
      </c>
      <c r="O4" s="358"/>
      <c r="P4" s="358"/>
      <c r="Q4" s="359"/>
    </row>
    <row r="5" spans="1:17" ht="14.45" customHeight="1" thickBot="1" x14ac:dyDescent="0.25">
      <c r="A5" s="498" t="s">
        <v>183</v>
      </c>
      <c r="B5" s="499" t="s">
        <v>185</v>
      </c>
      <c r="C5" s="499" t="s">
        <v>186</v>
      </c>
      <c r="D5" s="499" t="s">
        <v>187</v>
      </c>
      <c r="E5" s="500" t="s">
        <v>188</v>
      </c>
      <c r="F5" s="501" t="s">
        <v>185</v>
      </c>
      <c r="G5" s="502" t="s">
        <v>186</v>
      </c>
      <c r="H5" s="502" t="s">
        <v>187</v>
      </c>
      <c r="I5" s="503" t="s">
        <v>188</v>
      </c>
      <c r="J5" s="499" t="s">
        <v>185</v>
      </c>
      <c r="K5" s="499" t="s">
        <v>186</v>
      </c>
      <c r="L5" s="499" t="s">
        <v>187</v>
      </c>
      <c r="M5" s="500" t="s">
        <v>188</v>
      </c>
      <c r="N5" s="501" t="s">
        <v>185</v>
      </c>
      <c r="O5" s="502" t="s">
        <v>186</v>
      </c>
      <c r="P5" s="502" t="s">
        <v>187</v>
      </c>
      <c r="Q5" s="503" t="s">
        <v>188</v>
      </c>
    </row>
    <row r="6" spans="1:17" ht="14.45" customHeight="1" x14ac:dyDescent="0.2">
      <c r="A6" s="510" t="s">
        <v>473</v>
      </c>
      <c r="B6" s="516"/>
      <c r="C6" s="482"/>
      <c r="D6" s="482"/>
      <c r="E6" s="483"/>
      <c r="F6" s="513"/>
      <c r="G6" s="504"/>
      <c r="H6" s="504"/>
      <c r="I6" s="519"/>
      <c r="J6" s="516"/>
      <c r="K6" s="482"/>
      <c r="L6" s="482"/>
      <c r="M6" s="483"/>
      <c r="N6" s="513"/>
      <c r="O6" s="504"/>
      <c r="P6" s="504"/>
      <c r="Q6" s="505"/>
    </row>
    <row r="7" spans="1:17" ht="14.45" customHeight="1" x14ac:dyDescent="0.2">
      <c r="A7" s="511" t="s">
        <v>474</v>
      </c>
      <c r="B7" s="517">
        <v>20</v>
      </c>
      <c r="C7" s="489"/>
      <c r="D7" s="489"/>
      <c r="E7" s="490"/>
      <c r="F7" s="514">
        <v>1</v>
      </c>
      <c r="G7" s="506">
        <v>0</v>
      </c>
      <c r="H7" s="506">
        <v>0</v>
      </c>
      <c r="I7" s="520">
        <v>0</v>
      </c>
      <c r="J7" s="517">
        <v>6</v>
      </c>
      <c r="K7" s="489"/>
      <c r="L7" s="489"/>
      <c r="M7" s="490"/>
      <c r="N7" s="514">
        <v>1</v>
      </c>
      <c r="O7" s="506">
        <v>0</v>
      </c>
      <c r="P7" s="506">
        <v>0</v>
      </c>
      <c r="Q7" s="507">
        <v>0</v>
      </c>
    </row>
    <row r="8" spans="1:17" ht="14.45" customHeight="1" thickBot="1" x14ac:dyDescent="0.25">
      <c r="A8" s="512" t="s">
        <v>475</v>
      </c>
      <c r="B8" s="518">
        <v>25</v>
      </c>
      <c r="C8" s="496"/>
      <c r="D8" s="496"/>
      <c r="E8" s="497"/>
      <c r="F8" s="515">
        <v>1</v>
      </c>
      <c r="G8" s="508">
        <v>0</v>
      </c>
      <c r="H8" s="508">
        <v>0</v>
      </c>
      <c r="I8" s="521">
        <v>0</v>
      </c>
      <c r="J8" s="518">
        <v>22</v>
      </c>
      <c r="K8" s="496"/>
      <c r="L8" s="496"/>
      <c r="M8" s="497"/>
      <c r="N8" s="515">
        <v>1</v>
      </c>
      <c r="O8" s="508">
        <v>0</v>
      </c>
      <c r="P8" s="508">
        <v>0</v>
      </c>
      <c r="Q8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5" priority="1" operator="greaterThan">
      <formula>0.3</formula>
    </cfRule>
  </conditionalFormatting>
  <hyperlinks>
    <hyperlink ref="A2" location="Obsah!A1" display="Zpět na Obsah  KL 01  1.-4.měsíc" xr:uid="{C1DC596E-93EB-4E94-8723-6128ED4992F4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3</vt:i4>
      </vt:variant>
    </vt:vector>
  </HeadingPairs>
  <TitlesOfParts>
    <vt:vector size="2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2019-09-25T12:01:22Z</dcterms:modified>
</cp:coreProperties>
</file>